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0\"/>
    </mc:Choice>
  </mc:AlternateContent>
  <xr:revisionPtr revIDLastSave="0" documentId="13_ncr:1_{0061C9AD-9E69-4A2D-BAD2-FEC28FEFE393}" xr6:coauthVersionLast="47" xr6:coauthVersionMax="47" xr10:uidLastSave="{00000000-0000-0000-0000-000000000000}"/>
  <bookViews>
    <workbookView xWindow="-120" yWindow="-120" windowWidth="29040" windowHeight="15720" firstSheet="4" activeTab="4" xr2:uid="{B37134F1-3819-4264-B908-035369E0179C}"/>
  </bookViews>
  <sheets>
    <sheet name="1" sheetId="2" r:id="rId1"/>
    <sheet name="2" sheetId="5" r:id="rId2"/>
    <sheet name="3" sheetId="7" r:id="rId3"/>
    <sheet name="4" sheetId="8" r:id="rId4"/>
    <sheet name="5" sheetId="9" r:id="rId5"/>
    <sheet name="6" sheetId="10" r:id="rId6"/>
    <sheet name="7" sheetId="11" r:id="rId7"/>
    <sheet name="8" sheetId="12" r:id="rId8"/>
    <sheet name="9" sheetId="13" r:id="rId9"/>
    <sheet name="10" sheetId="14" r:id="rId10"/>
    <sheet name="11" sheetId="15" r:id="rId11"/>
    <sheet name="12" sheetId="17" r:id="rId12"/>
    <sheet name="13" sheetId="19" r:id="rId13"/>
    <sheet name="14" sheetId="20" r:id="rId14"/>
    <sheet name="15" sheetId="22" r:id="rId15"/>
    <sheet name="16" sheetId="23" r:id="rId16"/>
    <sheet name="17" sheetId="24" r:id="rId17"/>
    <sheet name="18" sheetId="25" r:id="rId18"/>
    <sheet name="19" sheetId="26" r:id="rId19"/>
    <sheet name="20" sheetId="27" r:id="rId20"/>
    <sheet name="21" sheetId="28" r:id="rId21"/>
    <sheet name="22" sheetId="30" r:id="rId22"/>
    <sheet name="23" sheetId="31" r:id="rId23"/>
    <sheet name="24" sheetId="32" r:id="rId24"/>
    <sheet name="25" sheetId="33" r:id="rId25"/>
    <sheet name="26" sheetId="34" r:id="rId26"/>
    <sheet name="27" sheetId="35" r:id="rId27"/>
    <sheet name="28" sheetId="36" r:id="rId28"/>
    <sheet name="29" sheetId="37" r:id="rId29"/>
    <sheet name="mag1" sheetId="38" r:id="rId30"/>
    <sheet name="NSample" sheetId="16" r:id="rId31"/>
    <sheet name="Sheet4" sheetId="29" r:id="rId32"/>
    <sheet name="Sheet1" sheetId="4" r:id="rId33"/>
    <sheet name="Praveen" sheetId="18" r:id="rId34"/>
    <sheet name="Sheet2" sheetId="21" r:id="rId35"/>
  </sheets>
  <externalReferences>
    <externalReference r:id="rId36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29">#REF!</definedName>
    <definedName name="IPP" localSheetId="30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29">#REF!</definedName>
    <definedName name="ippp" localSheetId="30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29">#REF!</definedName>
    <definedName name="sdasdf" localSheetId="30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3" i="38" l="1"/>
  <c r="U123" i="38"/>
  <c r="T123" i="38"/>
  <c r="S123" i="38"/>
  <c r="R123" i="38"/>
  <c r="O123" i="38" l="1"/>
  <c r="N123" i="38"/>
  <c r="N58" i="38"/>
  <c r="N62" i="38"/>
  <c r="N76" i="38"/>
  <c r="N80" i="38"/>
  <c r="M123" i="38"/>
  <c r="L123" i="38"/>
  <c r="L58" i="38"/>
  <c r="L62" i="38"/>
  <c r="L76" i="38"/>
  <c r="L80" i="38"/>
  <c r="L92" i="38"/>
  <c r="L101" i="38"/>
  <c r="L107" i="38" s="1"/>
  <c r="L102" i="38"/>
  <c r="L103" i="38"/>
  <c r="L104" i="38"/>
  <c r="L105" i="38"/>
  <c r="L118" i="38"/>
  <c r="K123" i="38"/>
  <c r="K118" i="38" s="1"/>
  <c r="K58" i="38"/>
  <c r="K62" i="38"/>
  <c r="K76" i="38"/>
  <c r="K80" i="38"/>
  <c r="K92" i="38"/>
  <c r="K101" i="38"/>
  <c r="K102" i="38"/>
  <c r="K103" i="38"/>
  <c r="K107" i="38" s="1"/>
  <c r="K104" i="38"/>
  <c r="K105" i="38"/>
  <c r="J123" i="38"/>
  <c r="J58" i="38"/>
  <c r="J62" i="38"/>
  <c r="J76" i="38"/>
  <c r="J80" i="38"/>
  <c r="J92" i="38"/>
  <c r="I5" i="38" s="1"/>
  <c r="J101" i="38"/>
  <c r="J102" i="38"/>
  <c r="J103" i="38"/>
  <c r="J104" i="38"/>
  <c r="J105" i="38"/>
  <c r="I123" i="38"/>
  <c r="I58" i="38"/>
  <c r="I97" i="38" s="1"/>
  <c r="I99" i="38" s="1"/>
  <c r="I100" i="38" s="1"/>
  <c r="I62" i="38"/>
  <c r="I76" i="38"/>
  <c r="I80" i="38"/>
  <c r="I92" i="38"/>
  <c r="I108" i="38" s="1"/>
  <c r="I101" i="38"/>
  <c r="I102" i="38"/>
  <c r="I103" i="38"/>
  <c r="I104" i="38"/>
  <c r="I105" i="38"/>
  <c r="I107" i="38"/>
  <c r="I118" i="38"/>
  <c r="H123" i="38"/>
  <c r="H58" i="38"/>
  <c r="H62" i="38"/>
  <c r="H76" i="38"/>
  <c r="H80" i="38"/>
  <c r="H92" i="38"/>
  <c r="G5" i="38" s="1"/>
  <c r="H101" i="38"/>
  <c r="H107" i="38" s="1"/>
  <c r="H102" i="38"/>
  <c r="H103" i="38"/>
  <c r="H104" i="38"/>
  <c r="H105" i="38"/>
  <c r="G123" i="38"/>
  <c r="G58" i="38"/>
  <c r="G62" i="38"/>
  <c r="G76" i="38"/>
  <c r="G80" i="38"/>
  <c r="G92" i="38"/>
  <c r="F5" i="38" s="1"/>
  <c r="G101" i="38"/>
  <c r="G102" i="38"/>
  <c r="G107" i="38" s="1"/>
  <c r="G103" i="38"/>
  <c r="G104" i="38"/>
  <c r="G105" i="38"/>
  <c r="G118" i="38"/>
  <c r="F123" i="38"/>
  <c r="F58" i="38"/>
  <c r="F62" i="38"/>
  <c r="F76" i="38"/>
  <c r="F80" i="38"/>
  <c r="F92" i="38"/>
  <c r="F108" i="38" s="1"/>
  <c r="F101" i="38"/>
  <c r="F102" i="38"/>
  <c r="F103" i="38"/>
  <c r="F104" i="38"/>
  <c r="F105" i="38"/>
  <c r="F107" i="38"/>
  <c r="F118" i="38"/>
  <c r="E58" i="38"/>
  <c r="E62" i="38"/>
  <c r="E76" i="38"/>
  <c r="E80" i="38"/>
  <c r="E92" i="38"/>
  <c r="E101" i="38"/>
  <c r="E102" i="38"/>
  <c r="E103" i="38"/>
  <c r="E104" i="38"/>
  <c r="E105" i="38"/>
  <c r="E118" i="38"/>
  <c r="D123" i="38"/>
  <c r="D118" i="38" s="1"/>
  <c r="D58" i="38"/>
  <c r="D62" i="38"/>
  <c r="D76" i="38"/>
  <c r="D80" i="38"/>
  <c r="D92" i="38"/>
  <c r="C5" i="38" s="1"/>
  <c r="D101" i="38"/>
  <c r="D102" i="38"/>
  <c r="D103" i="38"/>
  <c r="D104" i="38"/>
  <c r="D105" i="38"/>
  <c r="C58" i="38"/>
  <c r="C97" i="38" s="1"/>
  <c r="C99" i="38" s="1"/>
  <c r="C62" i="38"/>
  <c r="C76" i="38"/>
  <c r="C80" i="38"/>
  <c r="C92" i="38"/>
  <c r="B5" i="38" s="1"/>
  <c r="C101" i="38"/>
  <c r="C102" i="38"/>
  <c r="C103" i="38"/>
  <c r="C104" i="38"/>
  <c r="C107" i="38" s="1"/>
  <c r="C108" i="38" s="1"/>
  <c r="C105" i="38"/>
  <c r="C118" i="38"/>
  <c r="B118" i="38"/>
  <c r="B105" i="38"/>
  <c r="B104" i="38"/>
  <c r="B103" i="38"/>
  <c r="B102" i="38"/>
  <c r="B101" i="38"/>
  <c r="B107" i="38" s="1"/>
  <c r="B92" i="38"/>
  <c r="B80" i="38"/>
  <c r="B76" i="38"/>
  <c r="B62" i="38"/>
  <c r="B58" i="38"/>
  <c r="AF286" i="38"/>
  <c r="AE286" i="38"/>
  <c r="AD286" i="38"/>
  <c r="AC286" i="38"/>
  <c r="AB286" i="38"/>
  <c r="AA286" i="38"/>
  <c r="Z286" i="38"/>
  <c r="Y286" i="38"/>
  <c r="X286" i="38"/>
  <c r="W286" i="38"/>
  <c r="V286" i="38"/>
  <c r="U286" i="38"/>
  <c r="T286" i="38"/>
  <c r="S286" i="38"/>
  <c r="R286" i="38"/>
  <c r="Q286" i="38"/>
  <c r="P286" i="38"/>
  <c r="O286" i="38"/>
  <c r="N286" i="38"/>
  <c r="M286" i="38"/>
  <c r="L286" i="38"/>
  <c r="K286" i="38"/>
  <c r="J286" i="38"/>
  <c r="I286" i="38"/>
  <c r="H286" i="38"/>
  <c r="G286" i="38"/>
  <c r="F286" i="38"/>
  <c r="E286" i="38"/>
  <c r="D286" i="38"/>
  <c r="C286" i="38"/>
  <c r="B286" i="38"/>
  <c r="A286" i="38"/>
  <c r="AF285" i="38"/>
  <c r="AE285" i="38"/>
  <c r="AD285" i="38"/>
  <c r="AC285" i="38"/>
  <c r="AB285" i="38"/>
  <c r="AA285" i="38"/>
  <c r="Z285" i="38"/>
  <c r="Y285" i="38"/>
  <c r="X285" i="38"/>
  <c r="W285" i="38"/>
  <c r="V285" i="38"/>
  <c r="U285" i="38"/>
  <c r="T285" i="38"/>
  <c r="S285" i="38"/>
  <c r="R285" i="38"/>
  <c r="Q285" i="38"/>
  <c r="P285" i="38"/>
  <c r="O285" i="38"/>
  <c r="N285" i="38"/>
  <c r="M285" i="38"/>
  <c r="L285" i="38"/>
  <c r="K285" i="38"/>
  <c r="J285" i="38"/>
  <c r="I285" i="38"/>
  <c r="H285" i="38"/>
  <c r="G285" i="38"/>
  <c r="F285" i="38"/>
  <c r="E285" i="38"/>
  <c r="D285" i="38"/>
  <c r="C285" i="38"/>
  <c r="B285" i="38"/>
  <c r="A285" i="38"/>
  <c r="AF284" i="38"/>
  <c r="AE284" i="38"/>
  <c r="AD284" i="38"/>
  <c r="AC284" i="38"/>
  <c r="AB284" i="38"/>
  <c r="AA284" i="38"/>
  <c r="Z284" i="38"/>
  <c r="Y284" i="38"/>
  <c r="X284" i="38"/>
  <c r="W284" i="38"/>
  <c r="V284" i="38"/>
  <c r="U284" i="38"/>
  <c r="T284" i="38"/>
  <c r="S284" i="38"/>
  <c r="R284" i="38"/>
  <c r="Q284" i="38"/>
  <c r="P284" i="38"/>
  <c r="O284" i="38"/>
  <c r="N284" i="38"/>
  <c r="M284" i="38"/>
  <c r="L284" i="38"/>
  <c r="K284" i="38"/>
  <c r="J284" i="38"/>
  <c r="I284" i="38"/>
  <c r="H284" i="38"/>
  <c r="G284" i="38"/>
  <c r="F284" i="38"/>
  <c r="E284" i="38"/>
  <c r="D284" i="38"/>
  <c r="C284" i="38"/>
  <c r="B284" i="38"/>
  <c r="A284" i="38"/>
  <c r="AF283" i="38"/>
  <c r="AE283" i="38"/>
  <c r="AD283" i="38"/>
  <c r="AC283" i="38"/>
  <c r="AB283" i="38"/>
  <c r="AA283" i="38"/>
  <c r="Z283" i="38"/>
  <c r="Y283" i="38"/>
  <c r="X283" i="38"/>
  <c r="W283" i="38"/>
  <c r="V283" i="38"/>
  <c r="U283" i="38"/>
  <c r="T283" i="38"/>
  <c r="S283" i="38"/>
  <c r="R283" i="38"/>
  <c r="Q283" i="38"/>
  <c r="P283" i="38"/>
  <c r="O283" i="38"/>
  <c r="N283" i="38"/>
  <c r="M283" i="38"/>
  <c r="L283" i="38"/>
  <c r="K283" i="38"/>
  <c r="J283" i="38"/>
  <c r="I283" i="38"/>
  <c r="H283" i="38"/>
  <c r="G283" i="38"/>
  <c r="F283" i="38"/>
  <c r="E283" i="38"/>
  <c r="D283" i="38"/>
  <c r="C283" i="38"/>
  <c r="B283" i="38"/>
  <c r="A283" i="38"/>
  <c r="B282" i="38"/>
  <c r="S257" i="38"/>
  <c r="AG252" i="38"/>
  <c r="E252" i="38"/>
  <c r="C252" i="38"/>
  <c r="E251" i="38"/>
  <c r="D251" i="38"/>
  <c r="C282" i="38" s="1"/>
  <c r="E250" i="38"/>
  <c r="F250" i="38" s="1"/>
  <c r="G250" i="38" s="1"/>
  <c r="H250" i="38" s="1"/>
  <c r="I250" i="38" s="1"/>
  <c r="J250" i="38" s="1"/>
  <c r="K250" i="38" s="1"/>
  <c r="L250" i="38" s="1"/>
  <c r="M250" i="38" s="1"/>
  <c r="N250" i="38" s="1"/>
  <c r="O250" i="38" s="1"/>
  <c r="P250" i="38" s="1"/>
  <c r="Q250" i="38" s="1"/>
  <c r="R250" i="38" s="1"/>
  <c r="S250" i="38" s="1"/>
  <c r="T250" i="38" s="1"/>
  <c r="U250" i="38" s="1"/>
  <c r="V250" i="38" s="1"/>
  <c r="W250" i="38" s="1"/>
  <c r="X250" i="38" s="1"/>
  <c r="Y250" i="38" s="1"/>
  <c r="Z250" i="38" s="1"/>
  <c r="AA250" i="38" s="1"/>
  <c r="AB250" i="38" s="1"/>
  <c r="AC250" i="38" s="1"/>
  <c r="AD250" i="38" s="1"/>
  <c r="AE250" i="38" s="1"/>
  <c r="AF250" i="38" s="1"/>
  <c r="B250" i="38" s="1"/>
  <c r="D250" i="38"/>
  <c r="E249" i="38"/>
  <c r="F249" i="38" s="1"/>
  <c r="G249" i="38" s="1"/>
  <c r="H249" i="38" s="1"/>
  <c r="I249" i="38" s="1"/>
  <c r="J249" i="38" s="1"/>
  <c r="K249" i="38" s="1"/>
  <c r="L249" i="38" s="1"/>
  <c r="M249" i="38" s="1"/>
  <c r="N249" i="38" s="1"/>
  <c r="O249" i="38" s="1"/>
  <c r="P249" i="38" s="1"/>
  <c r="Q249" i="38" s="1"/>
  <c r="R249" i="38" s="1"/>
  <c r="S249" i="38" s="1"/>
  <c r="T249" i="38" s="1"/>
  <c r="U249" i="38" s="1"/>
  <c r="V249" i="38" s="1"/>
  <c r="W249" i="38" s="1"/>
  <c r="X249" i="38" s="1"/>
  <c r="Y249" i="38" s="1"/>
  <c r="Z249" i="38" s="1"/>
  <c r="AA249" i="38" s="1"/>
  <c r="AB249" i="38" s="1"/>
  <c r="AC249" i="38" s="1"/>
  <c r="AD249" i="38" s="1"/>
  <c r="AE249" i="38" s="1"/>
  <c r="AF249" i="38" s="1"/>
  <c r="B249" i="38" s="1"/>
  <c r="D249" i="38"/>
  <c r="F248" i="38"/>
  <c r="G248" i="38" s="1"/>
  <c r="H248" i="38" s="1"/>
  <c r="I248" i="38" s="1"/>
  <c r="J248" i="38" s="1"/>
  <c r="K248" i="38" s="1"/>
  <c r="L248" i="38" s="1"/>
  <c r="M248" i="38" s="1"/>
  <c r="N248" i="38" s="1"/>
  <c r="O248" i="38" s="1"/>
  <c r="P248" i="38" s="1"/>
  <c r="Q248" i="38" s="1"/>
  <c r="R248" i="38" s="1"/>
  <c r="S248" i="38" s="1"/>
  <c r="T248" i="38" s="1"/>
  <c r="U248" i="38" s="1"/>
  <c r="V248" i="38" s="1"/>
  <c r="W248" i="38" s="1"/>
  <c r="X248" i="38" s="1"/>
  <c r="Y248" i="38" s="1"/>
  <c r="Z248" i="38" s="1"/>
  <c r="AA248" i="38" s="1"/>
  <c r="AB248" i="38" s="1"/>
  <c r="AC248" i="38" s="1"/>
  <c r="AD248" i="38" s="1"/>
  <c r="AE248" i="38" s="1"/>
  <c r="AF248" i="38" s="1"/>
  <c r="B248" i="38" s="1"/>
  <c r="E248" i="38"/>
  <c r="D248" i="38"/>
  <c r="L247" i="38"/>
  <c r="M247" i="38" s="1"/>
  <c r="N247" i="38" s="1"/>
  <c r="O247" i="38" s="1"/>
  <c r="P247" i="38" s="1"/>
  <c r="Q247" i="38" s="1"/>
  <c r="R247" i="38" s="1"/>
  <c r="S247" i="38" s="1"/>
  <c r="T247" i="38" s="1"/>
  <c r="U247" i="38" s="1"/>
  <c r="V247" i="38" s="1"/>
  <c r="W247" i="38" s="1"/>
  <c r="X247" i="38" s="1"/>
  <c r="Y247" i="38" s="1"/>
  <c r="Z247" i="38" s="1"/>
  <c r="AA247" i="38" s="1"/>
  <c r="AB247" i="38" s="1"/>
  <c r="AC247" i="38" s="1"/>
  <c r="AD247" i="38" s="1"/>
  <c r="AE247" i="38" s="1"/>
  <c r="AF247" i="38" s="1"/>
  <c r="B247" i="38" s="1"/>
  <c r="E247" i="38"/>
  <c r="F247" i="38" s="1"/>
  <c r="G247" i="38" s="1"/>
  <c r="H247" i="38" s="1"/>
  <c r="I247" i="38" s="1"/>
  <c r="J247" i="38" s="1"/>
  <c r="K247" i="38" s="1"/>
  <c r="D247" i="38"/>
  <c r="E246" i="38"/>
  <c r="F246" i="38" s="1"/>
  <c r="D246" i="38"/>
  <c r="AG244" i="38"/>
  <c r="AF244" i="38"/>
  <c r="AE244" i="38"/>
  <c r="AD244" i="38"/>
  <c r="AC244" i="38"/>
  <c r="AB244" i="38"/>
  <c r="AA244" i="38"/>
  <c r="Z244" i="38"/>
  <c r="Y244" i="38"/>
  <c r="X244" i="38"/>
  <c r="W244" i="38"/>
  <c r="V244" i="38"/>
  <c r="U244" i="38"/>
  <c r="T244" i="38"/>
  <c r="S244" i="38"/>
  <c r="R244" i="38"/>
  <c r="Q244" i="38"/>
  <c r="P244" i="38"/>
  <c r="O244" i="38"/>
  <c r="N244" i="38"/>
  <c r="M244" i="38"/>
  <c r="L244" i="38"/>
  <c r="K244" i="38"/>
  <c r="J244" i="38"/>
  <c r="I244" i="38"/>
  <c r="H244" i="38"/>
  <c r="G244" i="38"/>
  <c r="F244" i="38"/>
  <c r="E244" i="38"/>
  <c r="D244" i="38"/>
  <c r="C244" i="38"/>
  <c r="B244" i="38"/>
  <c r="AI130" i="38"/>
  <c r="AH130" i="38"/>
  <c r="AI129" i="38"/>
  <c r="AH129" i="38"/>
  <c r="AI128" i="38"/>
  <c r="AH128" i="38"/>
  <c r="AI127" i="38"/>
  <c r="AH127" i="38"/>
  <c r="AI126" i="38"/>
  <c r="AH126" i="38"/>
  <c r="AI122" i="38"/>
  <c r="AH122" i="38"/>
  <c r="AI121" i="38"/>
  <c r="AH121" i="38"/>
  <c r="AI120" i="38"/>
  <c r="AH120" i="38"/>
  <c r="AI119" i="38"/>
  <c r="AH119" i="38"/>
  <c r="AI117" i="38"/>
  <c r="AH117" i="38"/>
  <c r="AI116" i="38"/>
  <c r="AH116" i="38"/>
  <c r="AI115" i="38"/>
  <c r="AH115" i="38"/>
  <c r="AI114" i="38"/>
  <c r="AH114" i="38"/>
  <c r="AI113" i="38"/>
  <c r="AH113" i="38"/>
  <c r="AI112" i="38"/>
  <c r="AH112" i="38"/>
  <c r="AI111" i="38"/>
  <c r="AH111" i="38"/>
  <c r="AI110" i="38"/>
  <c r="AH110" i="38"/>
  <c r="AI109" i="38"/>
  <c r="AH109" i="38"/>
  <c r="AC107" i="38"/>
  <c r="Y107" i="38"/>
  <c r="Q107" i="38"/>
  <c r="M107" i="38"/>
  <c r="AI106" i="38"/>
  <c r="AH106" i="38"/>
  <c r="AF105" i="38"/>
  <c r="AE105" i="38"/>
  <c r="AD105" i="38"/>
  <c r="AC105" i="38"/>
  <c r="AB105" i="38"/>
  <c r="AA105" i="38"/>
  <c r="Z105" i="38"/>
  <c r="Y105" i="38"/>
  <c r="X105" i="38"/>
  <c r="W105" i="38"/>
  <c r="V105" i="38"/>
  <c r="U105" i="38"/>
  <c r="T105" i="38"/>
  <c r="S105" i="38"/>
  <c r="R105" i="38"/>
  <c r="Q105" i="38"/>
  <c r="P105" i="38"/>
  <c r="O105" i="38"/>
  <c r="N105" i="38"/>
  <c r="M105" i="38"/>
  <c r="AF104" i="38"/>
  <c r="AE104" i="38"/>
  <c r="AD104" i="38"/>
  <c r="AC104" i="38"/>
  <c r="AB104" i="38"/>
  <c r="AA104" i="38"/>
  <c r="Z104" i="38"/>
  <c r="Y104" i="38"/>
  <c r="X104" i="38"/>
  <c r="W104" i="38"/>
  <c r="V104" i="38"/>
  <c r="U104" i="38"/>
  <c r="T104" i="38"/>
  <c r="S104" i="38"/>
  <c r="R104" i="38"/>
  <c r="Q104" i="38"/>
  <c r="P104" i="38"/>
  <c r="O104" i="38"/>
  <c r="N104" i="38"/>
  <c r="M104" i="38"/>
  <c r="AF103" i="38"/>
  <c r="AE103" i="38"/>
  <c r="AD103" i="38"/>
  <c r="AC103" i="38"/>
  <c r="AB103" i="38"/>
  <c r="AA103" i="38"/>
  <c r="Z103" i="38"/>
  <c r="Y103" i="38"/>
  <c r="X103" i="38"/>
  <c r="W103" i="38"/>
  <c r="V103" i="38"/>
  <c r="U103" i="38"/>
  <c r="T103" i="38"/>
  <c r="S103" i="38"/>
  <c r="R103" i="38"/>
  <c r="Q103" i="38"/>
  <c r="P103" i="38"/>
  <c r="O103" i="38"/>
  <c r="N103" i="38"/>
  <c r="M103" i="38"/>
  <c r="AF102" i="38"/>
  <c r="AE102" i="38"/>
  <c r="AD102" i="38"/>
  <c r="AC102" i="38"/>
  <c r="AB102" i="38"/>
  <c r="AA102" i="38"/>
  <c r="Z102" i="38"/>
  <c r="Y102" i="38"/>
  <c r="X102" i="38"/>
  <c r="W102" i="38"/>
  <c r="V102" i="38"/>
  <c r="U102" i="38"/>
  <c r="T102" i="38"/>
  <c r="S102" i="38"/>
  <c r="R102" i="38"/>
  <c r="Q102" i="38"/>
  <c r="P102" i="38"/>
  <c r="O102" i="38"/>
  <c r="N102" i="38"/>
  <c r="M102" i="38"/>
  <c r="AF101" i="38"/>
  <c r="AF107" i="38" s="1"/>
  <c r="AE101" i="38"/>
  <c r="AD101" i="38"/>
  <c r="AD107" i="38" s="1"/>
  <c r="AC101" i="38"/>
  <c r="AB101" i="38"/>
  <c r="AA101" i="38"/>
  <c r="Z101" i="38"/>
  <c r="Z107" i="38" s="1"/>
  <c r="Y101" i="38"/>
  <c r="X101" i="38"/>
  <c r="X107" i="38" s="1"/>
  <c r="X108" i="38" s="1"/>
  <c r="W101" i="38"/>
  <c r="V101" i="38"/>
  <c r="U101" i="38"/>
  <c r="T101" i="38"/>
  <c r="S101" i="38"/>
  <c r="R101" i="38"/>
  <c r="R107" i="38" s="1"/>
  <c r="Q101" i="38"/>
  <c r="P101" i="38"/>
  <c r="O101" i="38"/>
  <c r="N101" i="38"/>
  <c r="M101" i="38"/>
  <c r="AI98" i="38"/>
  <c r="AH98" i="38"/>
  <c r="AA97" i="38"/>
  <c r="AA99" i="38" s="1"/>
  <c r="W97" i="38"/>
  <c r="W99" i="38" s="1"/>
  <c r="AI96" i="38"/>
  <c r="AH96" i="38"/>
  <c r="AG96" i="38"/>
  <c r="AI95" i="38"/>
  <c r="AH95" i="38"/>
  <c r="AI94" i="38"/>
  <c r="AH94" i="38"/>
  <c r="AI93" i="38"/>
  <c r="AH93" i="38"/>
  <c r="AG92" i="38"/>
  <c r="AF92" i="38"/>
  <c r="AE92" i="38"/>
  <c r="AD92" i="38"/>
  <c r="AC92" i="38"/>
  <c r="AC108" i="38" s="1"/>
  <c r="AB92" i="38"/>
  <c r="AA5" i="38" s="1"/>
  <c r="AA92" i="38"/>
  <c r="Z92" i="38"/>
  <c r="Y92" i="38"/>
  <c r="X92" i="38"/>
  <c r="W92" i="38"/>
  <c r="V92" i="38"/>
  <c r="U5" i="38" s="1"/>
  <c r="U92" i="38"/>
  <c r="T5" i="38" s="1"/>
  <c r="T92" i="38"/>
  <c r="S5" i="38" s="1"/>
  <c r="S92" i="38"/>
  <c r="R5" i="38" s="1"/>
  <c r="R92" i="38"/>
  <c r="Q5" i="38" s="1"/>
  <c r="Q92" i="38"/>
  <c r="P92" i="38"/>
  <c r="O5" i="38" s="1"/>
  <c r="O92" i="38"/>
  <c r="N5" i="38" s="1"/>
  <c r="N92" i="38"/>
  <c r="M5" i="38" s="1"/>
  <c r="M92" i="38"/>
  <c r="M108" i="38" s="1"/>
  <c r="K5" i="38"/>
  <c r="AI91" i="38"/>
  <c r="AH91" i="38"/>
  <c r="AI90" i="38"/>
  <c r="AH90" i="38"/>
  <c r="AI89" i="38"/>
  <c r="AH89" i="38"/>
  <c r="AI88" i="38"/>
  <c r="AH88" i="38"/>
  <c r="AI87" i="38"/>
  <c r="AH87" i="38"/>
  <c r="AI86" i="38"/>
  <c r="AH86" i="38"/>
  <c r="AI85" i="38"/>
  <c r="AH85" i="38"/>
  <c r="AI84" i="38"/>
  <c r="AH84" i="38"/>
  <c r="AI83" i="38"/>
  <c r="AH83" i="38"/>
  <c r="AI82" i="38"/>
  <c r="AH82" i="38"/>
  <c r="AI81" i="38"/>
  <c r="AH81" i="38"/>
  <c r="AG80" i="38"/>
  <c r="AF80" i="38"/>
  <c r="AE80" i="38"/>
  <c r="AD80" i="38"/>
  <c r="AC80" i="38"/>
  <c r="AB80" i="38"/>
  <c r="AA80" i="38"/>
  <c r="Z80" i="38"/>
  <c r="Y80" i="38"/>
  <c r="X80" i="38"/>
  <c r="W80" i="38"/>
  <c r="V80" i="38"/>
  <c r="U80" i="38"/>
  <c r="T80" i="38"/>
  <c r="S80" i="38"/>
  <c r="R80" i="38"/>
  <c r="Q80" i="38"/>
  <c r="P80" i="38"/>
  <c r="O80" i="38"/>
  <c r="M80" i="38"/>
  <c r="AI79" i="38"/>
  <c r="AH79" i="38"/>
  <c r="AI78" i="38"/>
  <c r="AH78" i="38"/>
  <c r="AI77" i="38"/>
  <c r="AH77" i="38"/>
  <c r="AG76" i="38"/>
  <c r="AG3" i="38" s="1"/>
  <c r="AF76" i="38"/>
  <c r="AE76" i="38"/>
  <c r="AD76" i="38"/>
  <c r="AC76" i="38"/>
  <c r="AB76" i="38"/>
  <c r="AA76" i="38"/>
  <c r="Z76" i="38"/>
  <c r="Y76" i="38"/>
  <c r="X76" i="38"/>
  <c r="W76" i="38"/>
  <c r="V76" i="38"/>
  <c r="U76" i="38"/>
  <c r="T76" i="38"/>
  <c r="S76" i="38"/>
  <c r="R76" i="38"/>
  <c r="Q76" i="38"/>
  <c r="P76" i="38"/>
  <c r="O76" i="38"/>
  <c r="M76" i="38"/>
  <c r="AI75" i="38"/>
  <c r="AH75" i="38"/>
  <c r="AG75" i="38"/>
  <c r="AI74" i="38"/>
  <c r="AH74" i="38"/>
  <c r="AI73" i="38"/>
  <c r="AH73" i="38"/>
  <c r="AI72" i="38"/>
  <c r="AH72" i="38"/>
  <c r="AI71" i="38"/>
  <c r="AH71" i="38"/>
  <c r="AI70" i="38"/>
  <c r="AH70" i="38"/>
  <c r="AI69" i="38"/>
  <c r="AH69" i="38"/>
  <c r="AI68" i="38"/>
  <c r="AH68" i="38"/>
  <c r="AI67" i="38"/>
  <c r="AH67" i="38"/>
  <c r="AI66" i="38"/>
  <c r="AH66" i="38"/>
  <c r="AI65" i="38"/>
  <c r="AH65" i="38"/>
  <c r="AI64" i="38"/>
  <c r="AH64" i="38"/>
  <c r="AI63" i="38"/>
  <c r="AH63" i="38"/>
  <c r="AG62" i="38"/>
  <c r="AF62" i="38"/>
  <c r="AE62" i="38"/>
  <c r="AE97" i="38" s="1"/>
  <c r="AE99" i="38" s="1"/>
  <c r="AD62" i="38"/>
  <c r="AC62" i="38"/>
  <c r="AB62" i="38"/>
  <c r="AA62" i="38"/>
  <c r="Z62" i="38"/>
  <c r="Y62" i="38"/>
  <c r="X62" i="38"/>
  <c r="W62" i="38"/>
  <c r="V62" i="38"/>
  <c r="U62" i="38"/>
  <c r="T62" i="38"/>
  <c r="S62" i="38"/>
  <c r="R62" i="38"/>
  <c r="Q62" i="38"/>
  <c r="P62" i="38"/>
  <c r="O62" i="38"/>
  <c r="M62" i="38"/>
  <c r="AI61" i="38"/>
  <c r="AH61" i="38"/>
  <c r="AI60" i="38"/>
  <c r="AH60" i="38"/>
  <c r="AI59" i="38"/>
  <c r="AH59" i="38"/>
  <c r="AG58" i="38"/>
  <c r="AG2" i="38" s="1"/>
  <c r="AF58" i="38"/>
  <c r="AF97" i="38" s="1"/>
  <c r="AF99" i="38" s="1"/>
  <c r="AX261" i="38" s="1"/>
  <c r="AE58" i="38"/>
  <c r="AD58" i="38"/>
  <c r="AD97" i="38" s="1"/>
  <c r="AD99" i="38" s="1"/>
  <c r="AC58" i="38"/>
  <c r="AC97" i="38" s="1"/>
  <c r="AC99" i="38" s="1"/>
  <c r="AU261" i="38" s="1"/>
  <c r="AB58" i="38"/>
  <c r="AB97" i="38" s="1"/>
  <c r="AB99" i="38" s="1"/>
  <c r="AA58" i="38"/>
  <c r="Z58" i="38"/>
  <c r="Y58" i="38"/>
  <c r="X58" i="38"/>
  <c r="X97" i="38" s="1"/>
  <c r="X99" i="38" s="1"/>
  <c r="X100" i="38" s="1"/>
  <c r="X7" i="38" s="1"/>
  <c r="W58" i="38"/>
  <c r="V58" i="38"/>
  <c r="U58" i="38"/>
  <c r="U97" i="38" s="1"/>
  <c r="U99" i="38" s="1"/>
  <c r="AM261" i="38" s="1"/>
  <c r="T58" i="38"/>
  <c r="S58" i="38"/>
  <c r="R58" i="38"/>
  <c r="Q58" i="38"/>
  <c r="P58" i="38"/>
  <c r="O58" i="38"/>
  <c r="M58" i="38"/>
  <c r="AI57" i="38"/>
  <c r="AH57" i="38"/>
  <c r="AI56" i="38"/>
  <c r="AH56" i="38"/>
  <c r="AI55" i="38"/>
  <c r="AH55" i="38"/>
  <c r="AI54" i="38"/>
  <c r="AH54" i="38"/>
  <c r="AI53" i="38"/>
  <c r="AH53" i="38"/>
  <c r="AI52" i="38"/>
  <c r="AH52" i="38"/>
  <c r="AI51" i="38"/>
  <c r="AH51" i="38"/>
  <c r="AI50" i="38"/>
  <c r="AH50" i="38"/>
  <c r="AI49" i="38"/>
  <c r="AH49" i="38"/>
  <c r="AI48" i="38"/>
  <c r="AH48" i="38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1" i="38"/>
  <c r="AH41" i="38"/>
  <c r="AI40" i="38"/>
  <c r="AH40" i="38"/>
  <c r="AI39" i="38"/>
  <c r="AH39" i="38"/>
  <c r="AI38" i="38"/>
  <c r="AH38" i="38"/>
  <c r="AI37" i="38"/>
  <c r="AH37" i="38"/>
  <c r="AI36" i="38"/>
  <c r="AH36" i="38"/>
  <c r="AI35" i="38"/>
  <c r="AH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AI23" i="38"/>
  <c r="AH23" i="38"/>
  <c r="AI22" i="38"/>
  <c r="AH22" i="38"/>
  <c r="AI21" i="38"/>
  <c r="AH21" i="38"/>
  <c r="AI20" i="38"/>
  <c r="AH20" i="38"/>
  <c r="AI19" i="38"/>
  <c r="AH19" i="38"/>
  <c r="AI18" i="38"/>
  <c r="AH18" i="38"/>
  <c r="AI17" i="38"/>
  <c r="AH17" i="38"/>
  <c r="AI16" i="38"/>
  <c r="AH16" i="38"/>
  <c r="AI15" i="38"/>
  <c r="AH15" i="38"/>
  <c r="AI14" i="38"/>
  <c r="AH14" i="38"/>
  <c r="AI13" i="38"/>
  <c r="AH13" i="38"/>
  <c r="AI12" i="38"/>
  <c r="AH12" i="38"/>
  <c r="AI11" i="38"/>
  <c r="AH11" i="38"/>
  <c r="AE5" i="38"/>
  <c r="AD5" i="38"/>
  <c r="AC5" i="38"/>
  <c r="AB5" i="38"/>
  <c r="Z5" i="38"/>
  <c r="Y5" i="38"/>
  <c r="W5" i="38"/>
  <c r="V5" i="38"/>
  <c r="L5" i="38"/>
  <c r="J5" i="38"/>
  <c r="AG4" i="38"/>
  <c r="K4" i="38"/>
  <c r="E4" i="38"/>
  <c r="H4" i="38" s="1"/>
  <c r="B4" i="38"/>
  <c r="S258" i="38" s="1"/>
  <c r="AF58" i="37"/>
  <c r="AF62" i="37"/>
  <c r="AF76" i="37"/>
  <c r="AF80" i="37"/>
  <c r="AF92" i="37"/>
  <c r="AF108" i="37" s="1"/>
  <c r="AF101" i="37"/>
  <c r="AF102" i="37"/>
  <c r="AF103" i="37"/>
  <c r="AF104" i="37"/>
  <c r="AF105" i="37"/>
  <c r="AF107" i="37"/>
  <c r="AF118" i="37"/>
  <c r="AE58" i="37"/>
  <c r="AE62" i="37"/>
  <c r="AE76" i="37"/>
  <c r="AE80" i="37"/>
  <c r="AE92" i="37"/>
  <c r="AE101" i="37"/>
  <c r="AE102" i="37"/>
  <c r="AE103" i="37"/>
  <c r="AE104" i="37"/>
  <c r="AE105" i="37"/>
  <c r="AE107" i="37"/>
  <c r="AE118" i="37"/>
  <c r="AD58" i="37"/>
  <c r="AD62" i="37"/>
  <c r="AD76" i="37"/>
  <c r="AD80" i="37"/>
  <c r="AD92" i="37"/>
  <c r="AD101" i="37"/>
  <c r="AD102" i="37"/>
  <c r="AD103" i="37"/>
  <c r="AD104" i="37"/>
  <c r="AD105" i="37"/>
  <c r="AD118" i="37"/>
  <c r="AC58" i="37"/>
  <c r="AC62" i="37"/>
  <c r="AC76" i="37"/>
  <c r="AC80" i="37"/>
  <c r="AC92" i="37"/>
  <c r="AC97" i="37" s="1"/>
  <c r="AC99" i="37" s="1"/>
  <c r="AC101" i="37"/>
  <c r="AC102" i="37"/>
  <c r="AC103" i="37"/>
  <c r="AC104" i="37"/>
  <c r="AC105" i="37"/>
  <c r="AC107" i="37" s="1"/>
  <c r="AC118" i="37"/>
  <c r="AB58" i="37"/>
  <c r="AB62" i="37"/>
  <c r="AB76" i="37"/>
  <c r="AB80" i="37"/>
  <c r="AB92" i="37"/>
  <c r="AB101" i="37"/>
  <c r="AB102" i="37"/>
  <c r="AB103" i="37"/>
  <c r="AB104" i="37"/>
  <c r="AB105" i="37"/>
  <c r="AB107" i="37" s="1"/>
  <c r="AB123" i="37"/>
  <c r="AB118" i="37" s="1"/>
  <c r="AA123" i="37"/>
  <c r="Z123" i="37"/>
  <c r="Y123" i="37"/>
  <c r="Y121" i="37"/>
  <c r="W123" i="37"/>
  <c r="V123" i="37"/>
  <c r="U123" i="37"/>
  <c r="T123" i="37"/>
  <c r="T121" i="37"/>
  <c r="S123" i="37"/>
  <c r="S121" i="37"/>
  <c r="V107" i="38" l="1"/>
  <c r="V97" i="38"/>
  <c r="V99" i="38" s="1"/>
  <c r="U107" i="38"/>
  <c r="T97" i="38"/>
  <c r="T99" i="38" s="1"/>
  <c r="S97" i="38"/>
  <c r="S99" i="38" s="1"/>
  <c r="AK261" i="38" s="1"/>
  <c r="P107" i="38"/>
  <c r="P97" i="38"/>
  <c r="P99" i="38" s="1"/>
  <c r="AH261" i="38" s="1"/>
  <c r="O97" i="38"/>
  <c r="O99" i="38" s="1"/>
  <c r="N97" i="38"/>
  <c r="N99" i="38" s="1"/>
  <c r="AF261" i="38" s="1"/>
  <c r="N107" i="38"/>
  <c r="M97" i="38"/>
  <c r="M99" i="38" s="1"/>
  <c r="AE261" i="38" s="1"/>
  <c r="L97" i="38"/>
  <c r="L99" i="38" s="1"/>
  <c r="L100" i="38" s="1"/>
  <c r="L108" i="38"/>
  <c r="AI123" i="38"/>
  <c r="K97" i="38"/>
  <c r="K99" i="38" s="1"/>
  <c r="K100" i="38" s="1"/>
  <c r="K7" i="38" s="1"/>
  <c r="K108" i="38"/>
  <c r="J107" i="38"/>
  <c r="J97" i="38"/>
  <c r="J99" i="38" s="1"/>
  <c r="J100" i="38" s="1"/>
  <c r="J118" i="38"/>
  <c r="J108" i="38"/>
  <c r="AI101" i="38"/>
  <c r="H108" i="38"/>
  <c r="H97" i="38"/>
  <c r="H99" i="38" s="1"/>
  <c r="Z261" i="38" s="1"/>
  <c r="H118" i="38"/>
  <c r="G97" i="38"/>
  <c r="G99" i="38" s="1"/>
  <c r="G100" i="38" s="1"/>
  <c r="G7" i="38" s="1"/>
  <c r="G108" i="38"/>
  <c r="AH103" i="38"/>
  <c r="AI62" i="38"/>
  <c r="AI76" i="38"/>
  <c r="E107" i="38"/>
  <c r="E108" i="38"/>
  <c r="F97" i="38"/>
  <c r="F99" i="38" s="1"/>
  <c r="F100" i="38" s="1"/>
  <c r="E5" i="38"/>
  <c r="D5" i="38"/>
  <c r="E97" i="38"/>
  <c r="E99" i="38" s="1"/>
  <c r="W261" i="38" s="1"/>
  <c r="AI80" i="38"/>
  <c r="AH123" i="38"/>
  <c r="D107" i="38"/>
  <c r="D97" i="38"/>
  <c r="D99" i="38" s="1"/>
  <c r="D100" i="38" s="1"/>
  <c r="D7" i="38" s="1"/>
  <c r="D108" i="38"/>
  <c r="AI102" i="38"/>
  <c r="C100" i="38"/>
  <c r="C7" i="38" s="1"/>
  <c r="AH104" i="38"/>
  <c r="B108" i="38"/>
  <c r="B97" i="38"/>
  <c r="B99" i="38" s="1"/>
  <c r="B100" i="38" s="1"/>
  <c r="AI58" i="38"/>
  <c r="U261" i="38"/>
  <c r="AC261" i="38"/>
  <c r="AO261" i="38"/>
  <c r="AS261" i="38"/>
  <c r="P100" i="38"/>
  <c r="P7" i="38" s="1"/>
  <c r="P108" i="38"/>
  <c r="AF100" i="38"/>
  <c r="AF7" i="38" s="1"/>
  <c r="AF108" i="38"/>
  <c r="AG261" i="38"/>
  <c r="AW261" i="38"/>
  <c r="AN261" i="38"/>
  <c r="V100" i="38"/>
  <c r="V7" i="38" s="1"/>
  <c r="AV261" i="38"/>
  <c r="AD100" i="38"/>
  <c r="AD7" i="38" s="1"/>
  <c r="AH102" i="38"/>
  <c r="AA107" i="38"/>
  <c r="AA100" i="38" s="1"/>
  <c r="AA7" i="38" s="1"/>
  <c r="N108" i="38"/>
  <c r="V108" i="38"/>
  <c r="AD108" i="38"/>
  <c r="AP261" i="38"/>
  <c r="U100" i="38"/>
  <c r="U7" i="38" s="1"/>
  <c r="T107" i="38"/>
  <c r="T108" i="38" s="1"/>
  <c r="AB107" i="38"/>
  <c r="AB108" i="38" s="1"/>
  <c r="D282" i="38"/>
  <c r="F251" i="38"/>
  <c r="AH76" i="38"/>
  <c r="U108" i="38"/>
  <c r="S107" i="38"/>
  <c r="Q97" i="38"/>
  <c r="Q99" i="38" s="1"/>
  <c r="Y97" i="38"/>
  <c r="Y99" i="38" s="1"/>
  <c r="AG6" i="38"/>
  <c r="R97" i="38"/>
  <c r="R99" i="38" s="1"/>
  <c r="Z97" i="38"/>
  <c r="Z99" i="38" s="1"/>
  <c r="H5" i="38"/>
  <c r="P5" i="38"/>
  <c r="Q108" i="38"/>
  <c r="X5" i="38"/>
  <c r="Y108" i="38"/>
  <c r="AG99" i="38"/>
  <c r="AH58" i="38"/>
  <c r="AF5" i="38"/>
  <c r="AI92" i="38"/>
  <c r="R108" i="38"/>
  <c r="Z108" i="38"/>
  <c r="AH92" i="38"/>
  <c r="AC100" i="38"/>
  <c r="AC7" i="38" s="1"/>
  <c r="O107" i="38"/>
  <c r="O108" i="38" s="1"/>
  <c r="W107" i="38"/>
  <c r="W108" i="38" s="1"/>
  <c r="AE107" i="38"/>
  <c r="AE108" i="38" s="1"/>
  <c r="AI103" i="38"/>
  <c r="D252" i="38"/>
  <c r="V261" i="38"/>
  <c r="AL261" i="38"/>
  <c r="T100" i="38"/>
  <c r="T7" i="38" s="1"/>
  <c r="AT261" i="38"/>
  <c r="AH80" i="38"/>
  <c r="AI104" i="38"/>
  <c r="AI105" i="38"/>
  <c r="G246" i="38"/>
  <c r="D258" i="38"/>
  <c r="AH101" i="38"/>
  <c r="AG97" i="38"/>
  <c r="AH62" i="38"/>
  <c r="AH105" i="38"/>
  <c r="AF97" i="37"/>
  <c r="AF99" i="37" s="1"/>
  <c r="AF100" i="37" s="1"/>
  <c r="AE97" i="37"/>
  <c r="AE99" i="37" s="1"/>
  <c r="AE100" i="37" s="1"/>
  <c r="AE108" i="37"/>
  <c r="AD107" i="37"/>
  <c r="AD97" i="37"/>
  <c r="AD99" i="37" s="1"/>
  <c r="AD100" i="37" s="1"/>
  <c r="AD108" i="37"/>
  <c r="AC100" i="37"/>
  <c r="AC108" i="37"/>
  <c r="AB108" i="37"/>
  <c r="AB97" i="37"/>
  <c r="AB99" i="37" s="1"/>
  <c r="AB100" i="37" s="1"/>
  <c r="S100" i="38" l="1"/>
  <c r="S7" i="38" s="1"/>
  <c r="S108" i="38"/>
  <c r="N100" i="38"/>
  <c r="N7" i="38" s="1"/>
  <c r="AD261" i="38"/>
  <c r="M100" i="38"/>
  <c r="M7" i="38" s="1"/>
  <c r="H100" i="38"/>
  <c r="H7" i="38" s="1"/>
  <c r="Y261" i="38"/>
  <c r="E100" i="38"/>
  <c r="E7" i="38" s="1"/>
  <c r="AE100" i="38"/>
  <c r="AE7" i="38" s="1"/>
  <c r="AB261" i="38"/>
  <c r="J7" i="38"/>
  <c r="X261" i="38"/>
  <c r="F7" i="38"/>
  <c r="AI107" i="38"/>
  <c r="AH107" i="38"/>
  <c r="W100" i="38"/>
  <c r="W7" i="38" s="1"/>
  <c r="L7" i="38"/>
  <c r="AQ261" i="38"/>
  <c r="Y100" i="38"/>
  <c r="Y7" i="38" s="1"/>
  <c r="AH97" i="38"/>
  <c r="AI97" i="38"/>
  <c r="E282" i="38"/>
  <c r="G251" i="38"/>
  <c r="AA108" i="38"/>
  <c r="AI261" i="38"/>
  <c r="Q100" i="38"/>
  <c r="Q7" i="38" s="1"/>
  <c r="O100" i="38"/>
  <c r="O7" i="38" s="1"/>
  <c r="AA261" i="38"/>
  <c r="I7" i="38"/>
  <c r="F252" i="38"/>
  <c r="AR261" i="38"/>
  <c r="Z100" i="38"/>
  <c r="Z7" i="38" s="1"/>
  <c r="C256" i="38"/>
  <c r="H246" i="38"/>
  <c r="G252" i="38"/>
  <c r="AB100" i="38"/>
  <c r="AB7" i="38" s="1"/>
  <c r="AJ261" i="38"/>
  <c r="R100" i="38"/>
  <c r="R7" i="38" s="1"/>
  <c r="B256" i="38"/>
  <c r="I246" i="38" l="1"/>
  <c r="H252" i="38"/>
  <c r="T261" i="38"/>
  <c r="AI99" i="38"/>
  <c r="AH99" i="38"/>
  <c r="K6" i="38"/>
  <c r="AI108" i="38"/>
  <c r="AH108" i="38"/>
  <c r="F282" i="38"/>
  <c r="H251" i="38"/>
  <c r="AI100" i="38" l="1"/>
  <c r="B7" i="38"/>
  <c r="A7" i="38" s="1"/>
  <c r="AH100" i="38"/>
  <c r="I251" i="38"/>
  <c r="G282" i="38"/>
  <c r="I252" i="38"/>
  <c r="J246" i="38"/>
  <c r="K246" i="38" l="1"/>
  <c r="H282" i="38"/>
  <c r="J251" i="38"/>
  <c r="J252" i="38" s="1"/>
  <c r="L246" i="38" l="1"/>
  <c r="K251" i="38"/>
  <c r="I282" i="38"/>
  <c r="J282" i="38" l="1"/>
  <c r="L251" i="38"/>
  <c r="L252" i="38" s="1"/>
  <c r="M246" i="38"/>
  <c r="K252" i="38"/>
  <c r="N246" i="38" l="1"/>
  <c r="K282" i="38"/>
  <c r="M251" i="38"/>
  <c r="L282" i="38" l="1"/>
  <c r="N251" i="38"/>
  <c r="M252" i="38"/>
  <c r="M118" i="38"/>
  <c r="O246" i="38"/>
  <c r="N118" i="38"/>
  <c r="N252" i="38"/>
  <c r="P246" i="38" l="1"/>
  <c r="M282" i="38"/>
  <c r="O251" i="38"/>
  <c r="N282" i="38" l="1"/>
  <c r="P251" i="38"/>
  <c r="O118" i="38"/>
  <c r="O252" i="38"/>
  <c r="Q246" i="38"/>
  <c r="P252" i="38"/>
  <c r="O282" i="38" l="1"/>
  <c r="Q251" i="38"/>
  <c r="Q252" i="38"/>
  <c r="Q118" i="38"/>
  <c r="R246" i="38"/>
  <c r="P282" i="38" l="1"/>
  <c r="R251" i="38"/>
  <c r="R252" i="38"/>
  <c r="R118" i="38"/>
  <c r="S246" i="38"/>
  <c r="S251" i="38" l="1"/>
  <c r="Q282" i="38"/>
  <c r="S252" i="38"/>
  <c r="S118" i="38"/>
  <c r="T246" i="38"/>
  <c r="U246" i="38" l="1"/>
  <c r="R282" i="38"/>
  <c r="T251" i="38"/>
  <c r="T118" i="38" s="1"/>
  <c r="U251" i="38" l="1"/>
  <c r="S282" i="38"/>
  <c r="V246" i="38"/>
  <c r="U118" i="38"/>
  <c r="U252" i="38"/>
  <c r="T252" i="38"/>
  <c r="W246" i="38" l="1"/>
  <c r="T282" i="38"/>
  <c r="V251" i="38"/>
  <c r="U282" i="38" l="1"/>
  <c r="W251" i="38"/>
  <c r="V252" i="38"/>
  <c r="V118" i="38"/>
  <c r="X246" i="38"/>
  <c r="W252" i="38"/>
  <c r="W118" i="38"/>
  <c r="Y246" i="38" l="1"/>
  <c r="V282" i="38"/>
  <c r="X251" i="38"/>
  <c r="Y251" i="38" l="1"/>
  <c r="W282" i="38"/>
  <c r="X252" i="38"/>
  <c r="X118" i="38"/>
  <c r="Y252" i="38"/>
  <c r="Y118" i="38"/>
  <c r="Z246" i="38"/>
  <c r="AA246" i="38" l="1"/>
  <c r="X282" i="38"/>
  <c r="Z251" i="38"/>
  <c r="AA251" i="38" l="1"/>
  <c r="Y282" i="38"/>
  <c r="AA252" i="38"/>
  <c r="AA118" i="38"/>
  <c r="AB246" i="38"/>
  <c r="Z252" i="38"/>
  <c r="Z118" i="38"/>
  <c r="AC246" i="38" l="1"/>
  <c r="Z282" i="38"/>
  <c r="AB251" i="38"/>
  <c r="AB118" i="38" s="1"/>
  <c r="AD246" i="38" l="1"/>
  <c r="AA282" i="38"/>
  <c r="AC251" i="38"/>
  <c r="AC118" i="38" s="1"/>
  <c r="AB252" i="38"/>
  <c r="AB282" i="38" l="1"/>
  <c r="AD251" i="38"/>
  <c r="AC252" i="38"/>
  <c r="AE246" i="38"/>
  <c r="AD252" i="38"/>
  <c r="AC282" i="38" l="1"/>
  <c r="AE251" i="38"/>
  <c r="AF246" i="38"/>
  <c r="AE252" i="38"/>
  <c r="AE118" i="38"/>
  <c r="AD282" i="38" l="1"/>
  <c r="AF251" i="38"/>
  <c r="AF252" i="38"/>
  <c r="AF118" i="38"/>
  <c r="B246" i="38"/>
  <c r="B251" i="38" l="1"/>
  <c r="AF282" i="38" s="1"/>
  <c r="AE282" i="38"/>
  <c r="B252" i="38"/>
  <c r="AI118" i="38" l="1"/>
  <c r="AH118" i="38"/>
  <c r="Q123" i="37" l="1"/>
  <c r="Q58" i="37"/>
  <c r="Q62" i="37"/>
  <c r="Q76" i="37"/>
  <c r="Q80" i="37"/>
  <c r="Q92" i="37"/>
  <c r="Q101" i="37"/>
  <c r="Q102" i="37"/>
  <c r="Q103" i="37"/>
  <c r="Q104" i="37"/>
  <c r="Q105" i="37"/>
  <c r="Q118" i="37"/>
  <c r="P123" i="37"/>
  <c r="P58" i="37"/>
  <c r="P62" i="37"/>
  <c r="P76" i="37"/>
  <c r="P80" i="37"/>
  <c r="P92" i="37"/>
  <c r="P101" i="37"/>
  <c r="P102" i="37"/>
  <c r="P103" i="37"/>
  <c r="P104" i="37"/>
  <c r="P105" i="37"/>
  <c r="P107" i="37" s="1"/>
  <c r="P118" i="37"/>
  <c r="O58" i="37"/>
  <c r="O62" i="37"/>
  <c r="O76" i="37"/>
  <c r="O80" i="37"/>
  <c r="O92" i="37"/>
  <c r="O101" i="37"/>
  <c r="O102" i="37"/>
  <c r="O103" i="37"/>
  <c r="O104" i="37"/>
  <c r="O105" i="37"/>
  <c r="O118" i="37"/>
  <c r="O123" i="37"/>
  <c r="N58" i="37"/>
  <c r="N62" i="37"/>
  <c r="N76" i="37"/>
  <c r="N80" i="37"/>
  <c r="N92" i="37"/>
  <c r="N108" i="37" s="1"/>
  <c r="N101" i="37"/>
  <c r="N102" i="37"/>
  <c r="N103" i="37"/>
  <c r="N104" i="37"/>
  <c r="N105" i="37"/>
  <c r="N107" i="37" s="1"/>
  <c r="N118" i="37"/>
  <c r="N123" i="37"/>
  <c r="M123" i="37"/>
  <c r="M58" i="37"/>
  <c r="M62" i="37"/>
  <c r="M76" i="37"/>
  <c r="M80" i="37"/>
  <c r="M92" i="37"/>
  <c r="M108" i="37" s="1"/>
  <c r="M101" i="37"/>
  <c r="M102" i="37"/>
  <c r="M103" i="37"/>
  <c r="M104" i="37"/>
  <c r="M105" i="37"/>
  <c r="M107" i="37"/>
  <c r="M118" i="37"/>
  <c r="L123" i="37"/>
  <c r="K123" i="37"/>
  <c r="P97" i="37" l="1"/>
  <c r="P99" i="37" s="1"/>
  <c r="P100" i="37" s="1"/>
  <c r="Q97" i="37"/>
  <c r="Q99" i="37" s="1"/>
  <c r="Q100" i="37" s="1"/>
  <c r="Q107" i="37"/>
  <c r="Q108" i="37"/>
  <c r="P108" i="37"/>
  <c r="O107" i="37"/>
  <c r="O108" i="37"/>
  <c r="O97" i="37"/>
  <c r="O99" i="37" s="1"/>
  <c r="O100" i="37" s="1"/>
  <c r="N97" i="37"/>
  <c r="N99" i="37" s="1"/>
  <c r="N100" i="37" s="1"/>
  <c r="M97" i="37"/>
  <c r="M99" i="37" s="1"/>
  <c r="M100" i="37" s="1"/>
  <c r="H58" i="37" l="1"/>
  <c r="H62" i="37"/>
  <c r="G58" i="37"/>
  <c r="G62" i="37"/>
  <c r="G76" i="37"/>
  <c r="G80" i="37"/>
  <c r="F62" i="37"/>
  <c r="F58" i="37"/>
  <c r="E58" i="37"/>
  <c r="E62" i="37"/>
  <c r="D123" i="37"/>
  <c r="D121" i="37"/>
  <c r="C123" i="37"/>
  <c r="C121" i="37"/>
  <c r="B123" i="37"/>
  <c r="B121" i="37"/>
  <c r="AH121" i="37" s="1"/>
  <c r="AF286" i="37"/>
  <c r="AE286" i="37"/>
  <c r="AD286" i="37"/>
  <c r="AC286" i="37"/>
  <c r="AB286" i="37"/>
  <c r="AA286" i="37"/>
  <c r="Z286" i="37"/>
  <c r="Y286" i="37"/>
  <c r="X286" i="37"/>
  <c r="W286" i="37"/>
  <c r="V286" i="37"/>
  <c r="U286" i="37"/>
  <c r="T286" i="37"/>
  <c r="S286" i="37"/>
  <c r="R286" i="37"/>
  <c r="Q286" i="37"/>
  <c r="P286" i="37"/>
  <c r="O286" i="37"/>
  <c r="N286" i="37"/>
  <c r="M286" i="37"/>
  <c r="L286" i="37"/>
  <c r="K286" i="37"/>
  <c r="J286" i="37"/>
  <c r="I286" i="37"/>
  <c r="H286" i="37"/>
  <c r="G286" i="37"/>
  <c r="F286" i="37"/>
  <c r="E286" i="37"/>
  <c r="D286" i="37"/>
  <c r="C286" i="37"/>
  <c r="B286" i="37"/>
  <c r="A286" i="37"/>
  <c r="AF285" i="37"/>
  <c r="AE285" i="37"/>
  <c r="AD285" i="37"/>
  <c r="AC285" i="37"/>
  <c r="AB285" i="37"/>
  <c r="AA285" i="37"/>
  <c r="Z285" i="37"/>
  <c r="Y285" i="37"/>
  <c r="X285" i="37"/>
  <c r="W285" i="37"/>
  <c r="V285" i="37"/>
  <c r="U285" i="37"/>
  <c r="T285" i="37"/>
  <c r="S285" i="37"/>
  <c r="R285" i="37"/>
  <c r="Q285" i="37"/>
  <c r="P285" i="37"/>
  <c r="O285" i="37"/>
  <c r="N285" i="37"/>
  <c r="M285" i="37"/>
  <c r="L285" i="37"/>
  <c r="K285" i="37"/>
  <c r="J285" i="37"/>
  <c r="I285" i="37"/>
  <c r="H285" i="37"/>
  <c r="G285" i="37"/>
  <c r="F285" i="37"/>
  <c r="E285" i="37"/>
  <c r="D285" i="37"/>
  <c r="C285" i="37"/>
  <c r="B285" i="37"/>
  <c r="A285" i="37"/>
  <c r="AF284" i="37"/>
  <c r="AE284" i="37"/>
  <c r="AD284" i="37"/>
  <c r="AC284" i="37"/>
  <c r="AB284" i="37"/>
  <c r="AA284" i="37"/>
  <c r="Z284" i="37"/>
  <c r="Y284" i="37"/>
  <c r="X284" i="37"/>
  <c r="W284" i="37"/>
  <c r="V284" i="37"/>
  <c r="U284" i="37"/>
  <c r="T284" i="37"/>
  <c r="S284" i="37"/>
  <c r="R284" i="37"/>
  <c r="Q284" i="37"/>
  <c r="P284" i="37"/>
  <c r="O284" i="37"/>
  <c r="N284" i="37"/>
  <c r="M284" i="37"/>
  <c r="L284" i="37"/>
  <c r="K284" i="37"/>
  <c r="J284" i="37"/>
  <c r="I284" i="37"/>
  <c r="H284" i="37"/>
  <c r="G284" i="37"/>
  <c r="F284" i="37"/>
  <c r="E284" i="37"/>
  <c r="D284" i="37"/>
  <c r="C284" i="37"/>
  <c r="B284" i="37"/>
  <c r="A284" i="37"/>
  <c r="AF283" i="37"/>
  <c r="AE283" i="37"/>
  <c r="AD283" i="37"/>
  <c r="AC283" i="37"/>
  <c r="AB283" i="37"/>
  <c r="AA283" i="37"/>
  <c r="Z283" i="37"/>
  <c r="Y283" i="37"/>
  <c r="X283" i="37"/>
  <c r="W283" i="37"/>
  <c r="V283" i="37"/>
  <c r="U283" i="37"/>
  <c r="T283" i="37"/>
  <c r="S283" i="37"/>
  <c r="R283" i="37"/>
  <c r="Q283" i="37"/>
  <c r="P283" i="37"/>
  <c r="O283" i="37"/>
  <c r="N283" i="37"/>
  <c r="M283" i="37"/>
  <c r="L283" i="37"/>
  <c r="K283" i="37"/>
  <c r="J283" i="37"/>
  <c r="I283" i="37"/>
  <c r="H283" i="37"/>
  <c r="G283" i="37"/>
  <c r="F283" i="37"/>
  <c r="E283" i="37"/>
  <c r="D283" i="37"/>
  <c r="C283" i="37"/>
  <c r="B283" i="37"/>
  <c r="A283" i="37"/>
  <c r="B282" i="37"/>
  <c r="S257" i="37"/>
  <c r="AG252" i="37"/>
  <c r="C252" i="37"/>
  <c r="D251" i="37"/>
  <c r="C282" i="37" s="1"/>
  <c r="E250" i="37"/>
  <c r="F250" i="37" s="1"/>
  <c r="G250" i="37" s="1"/>
  <c r="H250" i="37" s="1"/>
  <c r="I250" i="37" s="1"/>
  <c r="J250" i="37" s="1"/>
  <c r="K250" i="37" s="1"/>
  <c r="L250" i="37" s="1"/>
  <c r="M250" i="37" s="1"/>
  <c r="N250" i="37" s="1"/>
  <c r="O250" i="37" s="1"/>
  <c r="P250" i="37" s="1"/>
  <c r="Q250" i="37" s="1"/>
  <c r="R250" i="37" s="1"/>
  <c r="S250" i="37" s="1"/>
  <c r="T250" i="37" s="1"/>
  <c r="U250" i="37" s="1"/>
  <c r="V250" i="37" s="1"/>
  <c r="W250" i="37" s="1"/>
  <c r="X250" i="37" s="1"/>
  <c r="Y250" i="37" s="1"/>
  <c r="Z250" i="37" s="1"/>
  <c r="AA250" i="37" s="1"/>
  <c r="AB250" i="37" s="1"/>
  <c r="AC250" i="37" s="1"/>
  <c r="AD250" i="37" s="1"/>
  <c r="AE250" i="37" s="1"/>
  <c r="AF250" i="37" s="1"/>
  <c r="B250" i="37" s="1"/>
  <c r="D250" i="37"/>
  <c r="E249" i="37"/>
  <c r="F249" i="37" s="1"/>
  <c r="G249" i="37" s="1"/>
  <c r="H249" i="37" s="1"/>
  <c r="I249" i="37" s="1"/>
  <c r="J249" i="37" s="1"/>
  <c r="K249" i="37" s="1"/>
  <c r="L249" i="37" s="1"/>
  <c r="M249" i="37" s="1"/>
  <c r="N249" i="37" s="1"/>
  <c r="O249" i="37" s="1"/>
  <c r="P249" i="37" s="1"/>
  <c r="Q249" i="37" s="1"/>
  <c r="R249" i="37" s="1"/>
  <c r="S249" i="37" s="1"/>
  <c r="T249" i="37" s="1"/>
  <c r="U249" i="37" s="1"/>
  <c r="V249" i="37" s="1"/>
  <c r="W249" i="37" s="1"/>
  <c r="X249" i="37" s="1"/>
  <c r="Y249" i="37" s="1"/>
  <c r="Z249" i="37" s="1"/>
  <c r="AA249" i="37" s="1"/>
  <c r="AB249" i="37" s="1"/>
  <c r="AC249" i="37" s="1"/>
  <c r="AD249" i="37" s="1"/>
  <c r="AE249" i="37" s="1"/>
  <c r="AF249" i="37" s="1"/>
  <c r="B249" i="37" s="1"/>
  <c r="D249" i="37"/>
  <c r="F248" i="37"/>
  <c r="G248" i="37" s="1"/>
  <c r="H248" i="37" s="1"/>
  <c r="I248" i="37" s="1"/>
  <c r="J248" i="37" s="1"/>
  <c r="K248" i="37" s="1"/>
  <c r="L248" i="37" s="1"/>
  <c r="M248" i="37" s="1"/>
  <c r="N248" i="37" s="1"/>
  <c r="O248" i="37" s="1"/>
  <c r="P248" i="37" s="1"/>
  <c r="Q248" i="37" s="1"/>
  <c r="R248" i="37" s="1"/>
  <c r="S248" i="37" s="1"/>
  <c r="T248" i="37" s="1"/>
  <c r="U248" i="37" s="1"/>
  <c r="V248" i="37" s="1"/>
  <c r="W248" i="37" s="1"/>
  <c r="X248" i="37" s="1"/>
  <c r="Y248" i="37" s="1"/>
  <c r="Z248" i="37" s="1"/>
  <c r="AA248" i="37" s="1"/>
  <c r="AB248" i="37" s="1"/>
  <c r="AC248" i="37" s="1"/>
  <c r="AD248" i="37" s="1"/>
  <c r="AE248" i="37" s="1"/>
  <c r="AF248" i="37" s="1"/>
  <c r="B248" i="37" s="1"/>
  <c r="E248" i="37"/>
  <c r="D248" i="37"/>
  <c r="D247" i="37"/>
  <c r="D252" i="37" s="1"/>
  <c r="E246" i="37"/>
  <c r="F246" i="37" s="1"/>
  <c r="D246" i="37"/>
  <c r="AG244" i="37"/>
  <c r="AF244" i="37"/>
  <c r="AE244" i="37"/>
  <c r="AD244" i="37"/>
  <c r="AC244" i="37"/>
  <c r="AB244" i="37"/>
  <c r="AA244" i="37"/>
  <c r="Z244" i="37"/>
  <c r="Y244" i="37"/>
  <c r="X244" i="37"/>
  <c r="W244" i="37"/>
  <c r="V244" i="37"/>
  <c r="U244" i="37"/>
  <c r="T244" i="37"/>
  <c r="S244" i="37"/>
  <c r="R244" i="37"/>
  <c r="Q244" i="37"/>
  <c r="P244" i="37"/>
  <c r="O244" i="37"/>
  <c r="N244" i="37"/>
  <c r="M244" i="37"/>
  <c r="L244" i="37"/>
  <c r="K244" i="37"/>
  <c r="J244" i="37"/>
  <c r="I244" i="37"/>
  <c r="H244" i="37"/>
  <c r="G244" i="37"/>
  <c r="F244" i="37"/>
  <c r="E244" i="37"/>
  <c r="D244" i="37"/>
  <c r="C244" i="37"/>
  <c r="B244" i="37"/>
  <c r="AI130" i="37"/>
  <c r="AH130" i="37"/>
  <c r="AI129" i="37"/>
  <c r="AH129" i="37"/>
  <c r="AI128" i="37"/>
  <c r="AH128" i="37"/>
  <c r="AI127" i="37"/>
  <c r="AH127" i="37"/>
  <c r="AI126" i="37"/>
  <c r="AH126" i="37"/>
  <c r="AI123" i="37"/>
  <c r="AH123" i="37"/>
  <c r="AI122" i="37"/>
  <c r="AH122" i="37"/>
  <c r="AI121" i="37"/>
  <c r="AI120" i="37"/>
  <c r="AH120" i="37"/>
  <c r="AI119" i="37"/>
  <c r="AH119" i="37"/>
  <c r="D118" i="37"/>
  <c r="C118" i="37"/>
  <c r="AI117" i="37"/>
  <c r="AH117" i="37"/>
  <c r="AI116" i="37"/>
  <c r="AH116" i="37"/>
  <c r="AI115" i="37"/>
  <c r="AH115" i="37"/>
  <c r="AI114" i="37"/>
  <c r="AH114" i="37"/>
  <c r="AI113" i="37"/>
  <c r="AH113" i="37"/>
  <c r="AI112" i="37"/>
  <c r="AH112" i="37"/>
  <c r="AI111" i="37"/>
  <c r="AH111" i="37"/>
  <c r="AI110" i="37"/>
  <c r="AH110" i="37"/>
  <c r="AI109" i="37"/>
  <c r="AH109" i="37"/>
  <c r="H107" i="37"/>
  <c r="AI106" i="37"/>
  <c r="AH106" i="37"/>
  <c r="AA105" i="37"/>
  <c r="Z105" i="37"/>
  <c r="Y105" i="37"/>
  <c r="X105" i="37"/>
  <c r="W105" i="37"/>
  <c r="V105" i="37"/>
  <c r="U105" i="37"/>
  <c r="T105" i="37"/>
  <c r="S105" i="37"/>
  <c r="R105" i="37"/>
  <c r="L105" i="37"/>
  <c r="K105" i="37"/>
  <c r="J105" i="37"/>
  <c r="I105" i="37"/>
  <c r="H105" i="37"/>
  <c r="G105" i="37"/>
  <c r="F105" i="37"/>
  <c r="E105" i="37"/>
  <c r="D105" i="37"/>
  <c r="C105" i="37"/>
  <c r="AA104" i="37"/>
  <c r="Z104" i="37"/>
  <c r="Y104" i="37"/>
  <c r="X104" i="37"/>
  <c r="W104" i="37"/>
  <c r="V104" i="37"/>
  <c r="U104" i="37"/>
  <c r="T104" i="37"/>
  <c r="S104" i="37"/>
  <c r="R104" i="37"/>
  <c r="L104" i="37"/>
  <c r="K104" i="37"/>
  <c r="J104" i="37"/>
  <c r="I104" i="37"/>
  <c r="H104" i="37"/>
  <c r="G104" i="37"/>
  <c r="F104" i="37"/>
  <c r="E104" i="37"/>
  <c r="D104" i="37"/>
  <c r="C104" i="37"/>
  <c r="AA103" i="37"/>
  <c r="Z103" i="37"/>
  <c r="Y103" i="37"/>
  <c r="X103" i="37"/>
  <c r="W103" i="37"/>
  <c r="V103" i="37"/>
  <c r="U103" i="37"/>
  <c r="T103" i="37"/>
  <c r="S103" i="37"/>
  <c r="R103" i="37"/>
  <c r="L103" i="37"/>
  <c r="K103" i="37"/>
  <c r="J103" i="37"/>
  <c r="I103" i="37"/>
  <c r="H103" i="37"/>
  <c r="G103" i="37"/>
  <c r="AI103" i="37" s="1"/>
  <c r="F103" i="37"/>
  <c r="E103" i="37"/>
  <c r="D103" i="37"/>
  <c r="C103" i="37"/>
  <c r="AA102" i="37"/>
  <c r="Z102" i="37"/>
  <c r="Y102" i="37"/>
  <c r="X102" i="37"/>
  <c r="W102" i="37"/>
  <c r="V102" i="37"/>
  <c r="U102" i="37"/>
  <c r="T102" i="37"/>
  <c r="S102" i="37"/>
  <c r="R102" i="37"/>
  <c r="L102" i="37"/>
  <c r="K102" i="37"/>
  <c r="J102" i="37"/>
  <c r="I102" i="37"/>
  <c r="H102" i="37"/>
  <c r="G102" i="37"/>
  <c r="F102" i="37"/>
  <c r="E102" i="37"/>
  <c r="D102" i="37"/>
  <c r="C102" i="37"/>
  <c r="AA101" i="37"/>
  <c r="AA107" i="37" s="1"/>
  <c r="Z101" i="37"/>
  <c r="Y101" i="37"/>
  <c r="X101" i="37"/>
  <c r="X107" i="37" s="1"/>
  <c r="W101" i="37"/>
  <c r="V101" i="37"/>
  <c r="V107" i="37" s="1"/>
  <c r="U101" i="37"/>
  <c r="T101" i="37"/>
  <c r="S101" i="37"/>
  <c r="R101" i="37"/>
  <c r="L101" i="37"/>
  <c r="K101" i="37"/>
  <c r="K107" i="37" s="1"/>
  <c r="J101" i="37"/>
  <c r="I101" i="37"/>
  <c r="H101" i="37"/>
  <c r="G101" i="37"/>
  <c r="G107" i="37" s="1"/>
  <c r="F101" i="37"/>
  <c r="F107" i="37" s="1"/>
  <c r="E101" i="37"/>
  <c r="D101" i="37"/>
  <c r="C101" i="37"/>
  <c r="C107" i="37" s="1"/>
  <c r="AI98" i="37"/>
  <c r="AH98" i="37"/>
  <c r="AI96" i="37"/>
  <c r="AH96" i="37"/>
  <c r="AG96" i="37"/>
  <c r="AI95" i="37"/>
  <c r="AH95" i="37"/>
  <c r="AI94" i="37"/>
  <c r="AH94" i="37"/>
  <c r="AI93" i="37"/>
  <c r="AH93" i="37"/>
  <c r="AG92" i="37"/>
  <c r="AG99" i="37" s="1"/>
  <c r="AA92" i="37"/>
  <c r="Z5" i="37" s="1"/>
  <c r="Z92" i="37"/>
  <c r="Y92" i="37"/>
  <c r="X5" i="37" s="1"/>
  <c r="X92" i="37"/>
  <c r="W92" i="37"/>
  <c r="V5" i="37" s="1"/>
  <c r="V92" i="37"/>
  <c r="U92" i="37"/>
  <c r="T5" i="37" s="1"/>
  <c r="T92" i="37"/>
  <c r="S5" i="37" s="1"/>
  <c r="S92" i="37"/>
  <c r="R5" i="37" s="1"/>
  <c r="R92" i="37"/>
  <c r="Q5" i="37" s="1"/>
  <c r="P5" i="37"/>
  <c r="L92" i="37"/>
  <c r="K5" i="37" s="1"/>
  <c r="K92" i="37"/>
  <c r="J5" i="37" s="1"/>
  <c r="J92" i="37"/>
  <c r="I92" i="37"/>
  <c r="H5" i="37" s="1"/>
  <c r="H92" i="37"/>
  <c r="G92" i="37"/>
  <c r="F92" i="37"/>
  <c r="E92" i="37"/>
  <c r="E97" i="37" s="1"/>
  <c r="E99" i="37" s="1"/>
  <c r="D92" i="37"/>
  <c r="C5" i="37" s="1"/>
  <c r="C92" i="37"/>
  <c r="B5" i="37" s="1"/>
  <c r="AI91" i="37"/>
  <c r="AH91" i="37"/>
  <c r="AI90" i="37"/>
  <c r="AH90" i="37"/>
  <c r="AI89" i="37"/>
  <c r="AH89" i="37"/>
  <c r="AI88" i="37"/>
  <c r="AH88" i="37"/>
  <c r="AI87" i="37"/>
  <c r="AH87" i="37"/>
  <c r="AI86" i="37"/>
  <c r="AH86" i="37"/>
  <c r="AI85" i="37"/>
  <c r="AH85" i="37"/>
  <c r="AI84" i="37"/>
  <c r="AH84" i="37"/>
  <c r="AI83" i="37"/>
  <c r="AH83" i="37"/>
  <c r="AI82" i="37"/>
  <c r="AH82" i="37"/>
  <c r="AI81" i="37"/>
  <c r="AH81" i="37"/>
  <c r="AG80" i="37"/>
  <c r="AG4" i="37" s="1"/>
  <c r="AA80" i="37"/>
  <c r="Z80" i="37"/>
  <c r="Y80" i="37"/>
  <c r="W80" i="37"/>
  <c r="V80" i="37"/>
  <c r="U80" i="37"/>
  <c r="T80" i="37"/>
  <c r="S80" i="37"/>
  <c r="R80" i="37"/>
  <c r="L80" i="37"/>
  <c r="K80" i="37"/>
  <c r="J80" i="37"/>
  <c r="I80" i="37"/>
  <c r="H80" i="37"/>
  <c r="F80" i="37"/>
  <c r="E80" i="37"/>
  <c r="D80" i="37"/>
  <c r="C80" i="37"/>
  <c r="AI79" i="37"/>
  <c r="AH79" i="37"/>
  <c r="AI78" i="37"/>
  <c r="AH78" i="37"/>
  <c r="AI77" i="37"/>
  <c r="AH77" i="37"/>
  <c r="AG76" i="37"/>
  <c r="AA76" i="37"/>
  <c r="Z76" i="37"/>
  <c r="W76" i="37"/>
  <c r="V76" i="37"/>
  <c r="U76" i="37"/>
  <c r="T76" i="37"/>
  <c r="S76" i="37"/>
  <c r="R76" i="37"/>
  <c r="L76" i="37"/>
  <c r="K76" i="37"/>
  <c r="J76" i="37"/>
  <c r="I76" i="37"/>
  <c r="H76" i="37"/>
  <c r="H97" i="37" s="1"/>
  <c r="H99" i="37" s="1"/>
  <c r="F76" i="37"/>
  <c r="E76" i="37"/>
  <c r="D76" i="37"/>
  <c r="C76" i="37"/>
  <c r="AI75" i="37"/>
  <c r="AH75" i="37"/>
  <c r="AG75" i="37"/>
  <c r="AI74" i="37"/>
  <c r="AH74" i="37"/>
  <c r="AI73" i="37"/>
  <c r="AH73" i="37"/>
  <c r="AI72" i="37"/>
  <c r="AH72" i="37"/>
  <c r="AI71" i="37"/>
  <c r="AH71" i="37"/>
  <c r="AI70" i="37"/>
  <c r="AH70" i="37"/>
  <c r="AI69" i="37"/>
  <c r="AH69" i="37"/>
  <c r="AI68" i="37"/>
  <c r="AH68" i="37"/>
  <c r="AI67" i="37"/>
  <c r="AH67" i="37"/>
  <c r="AI66" i="37"/>
  <c r="AH66" i="37"/>
  <c r="AI65" i="37"/>
  <c r="AH65" i="37"/>
  <c r="AI64" i="37"/>
  <c r="AH64" i="37"/>
  <c r="AI63" i="37"/>
  <c r="AH63" i="37"/>
  <c r="AG62" i="37"/>
  <c r="AA62" i="37"/>
  <c r="Z62" i="37"/>
  <c r="W62" i="37"/>
  <c r="V62" i="37"/>
  <c r="U62" i="37"/>
  <c r="T62" i="37"/>
  <c r="S62" i="37"/>
  <c r="R62" i="37"/>
  <c r="L62" i="37"/>
  <c r="K62" i="37"/>
  <c r="J62" i="37"/>
  <c r="I62" i="37"/>
  <c r="D62" i="37"/>
  <c r="C62" i="37"/>
  <c r="AI61" i="37"/>
  <c r="AH61" i="37"/>
  <c r="AI60" i="37"/>
  <c r="AH60" i="37"/>
  <c r="AI59" i="37"/>
  <c r="AH59" i="37"/>
  <c r="AG58" i="37"/>
  <c r="AG97" i="37" s="1"/>
  <c r="AA58" i="37"/>
  <c r="Z58" i="37"/>
  <c r="X97" i="37"/>
  <c r="X99" i="37" s="1"/>
  <c r="W58" i="37"/>
  <c r="V58" i="37"/>
  <c r="U58" i="37"/>
  <c r="T58" i="37"/>
  <c r="S58" i="37"/>
  <c r="R58" i="37"/>
  <c r="L58" i="37"/>
  <c r="K58" i="37"/>
  <c r="J58" i="37"/>
  <c r="I58" i="37"/>
  <c r="D58" i="37"/>
  <c r="C58" i="37"/>
  <c r="AI57" i="37"/>
  <c r="AH57" i="37"/>
  <c r="AI56" i="37"/>
  <c r="AH56" i="37"/>
  <c r="AI55" i="37"/>
  <c r="AH55" i="37"/>
  <c r="AI54" i="37"/>
  <c r="AH54" i="37"/>
  <c r="AI53" i="37"/>
  <c r="AH53" i="37"/>
  <c r="AI52" i="37"/>
  <c r="AH52" i="37"/>
  <c r="AI51" i="37"/>
  <c r="AH51" i="37"/>
  <c r="AI50" i="37"/>
  <c r="AH50" i="37"/>
  <c r="AI49" i="37"/>
  <c r="AH49" i="37"/>
  <c r="AI48" i="37"/>
  <c r="AH48" i="37"/>
  <c r="AI47" i="37"/>
  <c r="AH47" i="37"/>
  <c r="AI46" i="37"/>
  <c r="AH46" i="37"/>
  <c r="AI45" i="37"/>
  <c r="AH45" i="37"/>
  <c r="AI44" i="37"/>
  <c r="AH44" i="37"/>
  <c r="AI43" i="37"/>
  <c r="AH43" i="37"/>
  <c r="AI42" i="37"/>
  <c r="AH42" i="37"/>
  <c r="AI41" i="37"/>
  <c r="AH41" i="37"/>
  <c r="AI40" i="37"/>
  <c r="AH40" i="37"/>
  <c r="AI39" i="37"/>
  <c r="AH39" i="37"/>
  <c r="AI38" i="37"/>
  <c r="AH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AF5" i="37"/>
  <c r="AE5" i="37"/>
  <c r="AD5" i="37"/>
  <c r="AC5" i="37"/>
  <c r="AB5" i="37"/>
  <c r="AA5" i="37"/>
  <c r="W5" i="37"/>
  <c r="O5" i="37"/>
  <c r="N5" i="37"/>
  <c r="M5" i="37"/>
  <c r="L5" i="37"/>
  <c r="G5" i="37"/>
  <c r="E5" i="37"/>
  <c r="K4" i="37"/>
  <c r="E4" i="37"/>
  <c r="H4" i="37" s="1"/>
  <c r="B4" i="37"/>
  <c r="S258" i="37" s="1"/>
  <c r="AG3" i="37"/>
  <c r="AG2" i="37"/>
  <c r="AG6" i="37" s="1"/>
  <c r="AA97" i="37" l="1"/>
  <c r="AA99" i="37" s="1"/>
  <c r="Z108" i="37"/>
  <c r="Z107" i="37"/>
  <c r="Y5" i="37"/>
  <c r="Z97" i="37"/>
  <c r="Z99" i="37" s="1"/>
  <c r="Y107" i="37"/>
  <c r="Y97" i="37"/>
  <c r="Y99" i="37" s="1"/>
  <c r="X108" i="37"/>
  <c r="AI102" i="37"/>
  <c r="W107" i="37"/>
  <c r="W108" i="37" s="1"/>
  <c r="W97" i="37"/>
  <c r="W99" i="37" s="1"/>
  <c r="V108" i="37"/>
  <c r="U5" i="37"/>
  <c r="V97" i="37"/>
  <c r="V99" i="37" s="1"/>
  <c r="U107" i="37"/>
  <c r="U97" i="37"/>
  <c r="U99" i="37" s="1"/>
  <c r="T107" i="37"/>
  <c r="T97" i="37"/>
  <c r="T99" i="37" s="1"/>
  <c r="S107" i="37"/>
  <c r="S97" i="37"/>
  <c r="S99" i="37" s="1"/>
  <c r="R107" i="37"/>
  <c r="R108" i="37" s="1"/>
  <c r="AI80" i="37"/>
  <c r="R97" i="37"/>
  <c r="R99" i="37" s="1"/>
  <c r="L107" i="37"/>
  <c r="L97" i="37"/>
  <c r="L99" i="37" s="1"/>
  <c r="K97" i="37"/>
  <c r="K99" i="37" s="1"/>
  <c r="J107" i="37"/>
  <c r="J108" i="37" s="1"/>
  <c r="I5" i="37"/>
  <c r="J97" i="37"/>
  <c r="J99" i="37" s="1"/>
  <c r="J100" i="37" s="1"/>
  <c r="J7" i="37" s="1"/>
  <c r="AI104" i="37"/>
  <c r="I107" i="37"/>
  <c r="I97" i="37"/>
  <c r="I99" i="37" s="1"/>
  <c r="AA261" i="37" s="1"/>
  <c r="H108" i="37"/>
  <c r="AI105" i="37"/>
  <c r="G97" i="37"/>
  <c r="G99" i="37" s="1"/>
  <c r="G108" i="37"/>
  <c r="F5" i="37"/>
  <c r="AI101" i="37"/>
  <c r="F108" i="37"/>
  <c r="F97" i="37"/>
  <c r="F99" i="37" s="1"/>
  <c r="AI76" i="37"/>
  <c r="D5" i="37"/>
  <c r="E107" i="37"/>
  <c r="D107" i="37"/>
  <c r="D97" i="37"/>
  <c r="D99" i="37" s="1"/>
  <c r="V261" i="37" s="1"/>
  <c r="AI62" i="37"/>
  <c r="C97" i="37"/>
  <c r="C99" i="37" s="1"/>
  <c r="U261" i="37" s="1"/>
  <c r="D258" i="37"/>
  <c r="AD261" i="37"/>
  <c r="L100" i="37"/>
  <c r="L7" i="37" s="1"/>
  <c r="AL261" i="37"/>
  <c r="T100" i="37"/>
  <c r="T7" i="37" s="1"/>
  <c r="AT261" i="37"/>
  <c r="AB7" i="37"/>
  <c r="G246" i="37"/>
  <c r="AC261" i="37"/>
  <c r="K100" i="37"/>
  <c r="K7" i="37" s="1"/>
  <c r="W261" i="37"/>
  <c r="E100" i="37"/>
  <c r="E7" i="37" s="1"/>
  <c r="AE261" i="37"/>
  <c r="M7" i="37"/>
  <c r="AM261" i="37"/>
  <c r="U100" i="37"/>
  <c r="U7" i="37" s="1"/>
  <c r="AU261" i="37"/>
  <c r="AC7" i="37"/>
  <c r="AK261" i="37"/>
  <c r="S100" i="37"/>
  <c r="S7" i="37" s="1"/>
  <c r="X261" i="37"/>
  <c r="F100" i="37"/>
  <c r="F7" i="37" s="1"/>
  <c r="AF261" i="37"/>
  <c r="N7" i="37"/>
  <c r="AN261" i="37"/>
  <c r="V100" i="37"/>
  <c r="V7" i="37" s="1"/>
  <c r="AV261" i="37"/>
  <c r="AD7" i="37"/>
  <c r="AS261" i="37"/>
  <c r="AA100" i="37"/>
  <c r="AA7" i="37" s="1"/>
  <c r="Y261" i="37"/>
  <c r="G100" i="37"/>
  <c r="G7" i="37" s="1"/>
  <c r="AG261" i="37"/>
  <c r="O7" i="37"/>
  <c r="AO261" i="37"/>
  <c r="W100" i="37"/>
  <c r="W7" i="37" s="1"/>
  <c r="AW261" i="37"/>
  <c r="AE7" i="37"/>
  <c r="AH261" i="37"/>
  <c r="P7" i="37"/>
  <c r="AP261" i="37"/>
  <c r="X100" i="37"/>
  <c r="X7" i="37" s="1"/>
  <c r="AF7" i="37"/>
  <c r="AX261" i="37"/>
  <c r="C108" i="37"/>
  <c r="K108" i="37"/>
  <c r="S108" i="37"/>
  <c r="AA108" i="37"/>
  <c r="I100" i="37"/>
  <c r="I7" i="37" s="1"/>
  <c r="AI261" i="37"/>
  <c r="Q7" i="37"/>
  <c r="AQ261" i="37"/>
  <c r="Y100" i="37"/>
  <c r="Y7" i="37" s="1"/>
  <c r="D108" i="37"/>
  <c r="L108" i="37"/>
  <c r="T108" i="37"/>
  <c r="Z261" i="37"/>
  <c r="H100" i="37"/>
  <c r="H7" i="37" s="1"/>
  <c r="AJ261" i="37"/>
  <c r="R100" i="37"/>
  <c r="R7" i="37" s="1"/>
  <c r="AR261" i="37"/>
  <c r="Z100" i="37"/>
  <c r="Z7" i="37" s="1"/>
  <c r="E108" i="37"/>
  <c r="U108" i="37"/>
  <c r="AH76" i="37"/>
  <c r="AH80" i="37"/>
  <c r="AH92" i="37"/>
  <c r="E247" i="37"/>
  <c r="E251" i="37"/>
  <c r="AI92" i="37"/>
  <c r="AH101" i="37"/>
  <c r="I108" i="37"/>
  <c r="Y108" i="37"/>
  <c r="AH102" i="37"/>
  <c r="AH58" i="37"/>
  <c r="AH62" i="37"/>
  <c r="AH103" i="37"/>
  <c r="AI58" i="37"/>
  <c r="AH104" i="37"/>
  <c r="AH105" i="37"/>
  <c r="AF123" i="36"/>
  <c r="AF121" i="36"/>
  <c r="AE123" i="36"/>
  <c r="AE121" i="36"/>
  <c r="AD123" i="36"/>
  <c r="AD121" i="36"/>
  <c r="AC123" i="36"/>
  <c r="AB123" i="36"/>
  <c r="Q107" i="36"/>
  <c r="R107" i="36"/>
  <c r="S107" i="36"/>
  <c r="T107" i="36"/>
  <c r="U107" i="36"/>
  <c r="V107" i="36"/>
  <c r="W107" i="36"/>
  <c r="X107" i="36"/>
  <c r="Y107" i="36"/>
  <c r="Z107" i="36"/>
  <c r="AA107" i="36"/>
  <c r="AA123" i="36"/>
  <c r="C97" i="18"/>
  <c r="AA58" i="36"/>
  <c r="AA62" i="36"/>
  <c r="AA76" i="36"/>
  <c r="AA80" i="36"/>
  <c r="AA92" i="36"/>
  <c r="AA101" i="36"/>
  <c r="AA102" i="36"/>
  <c r="AA103" i="36"/>
  <c r="AA104" i="36"/>
  <c r="AA105" i="36"/>
  <c r="AA118" i="36"/>
  <c r="Z123" i="36"/>
  <c r="Z58" i="36"/>
  <c r="Z62" i="36"/>
  <c r="Z76" i="36"/>
  <c r="Z80" i="36"/>
  <c r="Z92" i="36"/>
  <c r="Z101" i="36"/>
  <c r="Z102" i="36"/>
  <c r="Z103" i="36"/>
  <c r="Z104" i="36"/>
  <c r="Z105" i="36"/>
  <c r="Z118" i="36"/>
  <c r="Y123" i="36"/>
  <c r="Y58" i="36"/>
  <c r="Y62" i="36"/>
  <c r="Y76" i="36"/>
  <c r="Y80" i="36"/>
  <c r="Y92" i="36"/>
  <c r="Y101" i="36"/>
  <c r="Y102" i="36"/>
  <c r="Y103" i="36"/>
  <c r="Y104" i="36"/>
  <c r="Y105" i="36"/>
  <c r="Y118" i="36"/>
  <c r="X123" i="36"/>
  <c r="X118" i="36"/>
  <c r="X105" i="36"/>
  <c r="X104" i="36"/>
  <c r="X103" i="36"/>
  <c r="X102" i="36"/>
  <c r="X101" i="36"/>
  <c r="X92" i="36"/>
  <c r="X108" i="36" s="1"/>
  <c r="X80" i="36"/>
  <c r="X76" i="36"/>
  <c r="X62" i="36"/>
  <c r="X58" i="36"/>
  <c r="W123" i="36"/>
  <c r="W58" i="36"/>
  <c r="W62" i="36"/>
  <c r="W76" i="36"/>
  <c r="W80" i="36"/>
  <c r="W92" i="36"/>
  <c r="W101" i="36"/>
  <c r="W102" i="36"/>
  <c r="W103" i="36"/>
  <c r="W104" i="36"/>
  <c r="W105" i="36"/>
  <c r="W118" i="36"/>
  <c r="V123" i="36"/>
  <c r="V118" i="36" s="1"/>
  <c r="V58" i="36"/>
  <c r="V62" i="36"/>
  <c r="V76" i="36"/>
  <c r="V80" i="36"/>
  <c r="V92" i="36"/>
  <c r="V101" i="36"/>
  <c r="V102" i="36"/>
  <c r="V103" i="36"/>
  <c r="V104" i="36"/>
  <c r="V105" i="36"/>
  <c r="U123" i="36"/>
  <c r="U58" i="36"/>
  <c r="U62" i="36"/>
  <c r="U76" i="36"/>
  <c r="U80" i="36"/>
  <c r="U92" i="36"/>
  <c r="U101" i="36"/>
  <c r="U102" i="36"/>
  <c r="U103" i="36"/>
  <c r="U104" i="36"/>
  <c r="U105" i="36"/>
  <c r="U118" i="36"/>
  <c r="T123" i="36"/>
  <c r="B256" i="37" l="1"/>
  <c r="C256" i="37"/>
  <c r="AB261" i="37"/>
  <c r="D100" i="37"/>
  <c r="D7" i="37" s="1"/>
  <c r="C100" i="37"/>
  <c r="C7" i="37" s="1"/>
  <c r="AI97" i="37"/>
  <c r="AH97" i="37"/>
  <c r="AI107" i="37"/>
  <c r="AH107" i="37"/>
  <c r="D282" i="37"/>
  <c r="F251" i="37"/>
  <c r="E118" i="37"/>
  <c r="H246" i="37"/>
  <c r="E252" i="37"/>
  <c r="F247" i="37"/>
  <c r="AA108" i="36"/>
  <c r="AA97" i="36"/>
  <c r="AA99" i="36" s="1"/>
  <c r="AA100" i="36" s="1"/>
  <c r="Z97" i="36"/>
  <c r="Z99" i="36" s="1"/>
  <c r="Z100" i="36" s="1"/>
  <c r="X97" i="36"/>
  <c r="X99" i="36" s="1"/>
  <c r="Z108" i="36"/>
  <c r="Y97" i="36"/>
  <c r="Y99" i="36" s="1"/>
  <c r="Y100" i="36"/>
  <c r="Y108" i="36"/>
  <c r="X100" i="36"/>
  <c r="W108" i="36"/>
  <c r="W97" i="36"/>
  <c r="W99" i="36" s="1"/>
  <c r="W100" i="36" s="1"/>
  <c r="V108" i="36"/>
  <c r="V97" i="36"/>
  <c r="V99" i="36" s="1"/>
  <c r="V100" i="36" s="1"/>
  <c r="U108" i="36"/>
  <c r="U97" i="36"/>
  <c r="U99" i="36" s="1"/>
  <c r="U100" i="36" s="1"/>
  <c r="T58" i="36"/>
  <c r="T62" i="36"/>
  <c r="T76" i="36"/>
  <c r="T80" i="36"/>
  <c r="T92" i="36"/>
  <c r="T101" i="36"/>
  <c r="T102" i="36"/>
  <c r="T103" i="36"/>
  <c r="T104" i="36"/>
  <c r="T105" i="36"/>
  <c r="T118" i="36"/>
  <c r="K6" i="37" l="1"/>
  <c r="E282" i="37"/>
  <c r="G251" i="37"/>
  <c r="F118" i="37"/>
  <c r="AI108" i="37"/>
  <c r="AH108" i="37"/>
  <c r="G247" i="37"/>
  <c r="F252" i="37"/>
  <c r="I246" i="37"/>
  <c r="AH99" i="37"/>
  <c r="T261" i="37"/>
  <c r="AI99" i="37"/>
  <c r="T97" i="36"/>
  <c r="T99" i="36" s="1"/>
  <c r="T100" i="36" s="1"/>
  <c r="T108" i="36"/>
  <c r="J246" i="37" l="1"/>
  <c r="H247" i="37"/>
  <c r="G252" i="37"/>
  <c r="B7" i="37"/>
  <c r="A7" i="37" s="1"/>
  <c r="AI100" i="37"/>
  <c r="AH100" i="37"/>
  <c r="F282" i="37"/>
  <c r="H251" i="37"/>
  <c r="G118" i="37"/>
  <c r="I247" i="37" l="1"/>
  <c r="H252" i="37"/>
  <c r="G282" i="37"/>
  <c r="I251" i="37"/>
  <c r="H118" i="37"/>
  <c r="K246" i="37"/>
  <c r="H282" i="37" l="1"/>
  <c r="J251" i="37"/>
  <c r="I118" i="37"/>
  <c r="L246" i="37"/>
  <c r="J247" i="37"/>
  <c r="I252" i="37"/>
  <c r="K247" i="37" l="1"/>
  <c r="J252" i="37"/>
  <c r="M246" i="37"/>
  <c r="K251" i="37"/>
  <c r="I282" i="37"/>
  <c r="J118" i="37"/>
  <c r="J282" i="37" l="1"/>
  <c r="L251" i="37"/>
  <c r="K118" i="37"/>
  <c r="N246" i="37"/>
  <c r="L247" i="37"/>
  <c r="K252" i="37"/>
  <c r="M247" i="37" l="1"/>
  <c r="L252" i="37"/>
  <c r="O246" i="37"/>
  <c r="K282" i="37"/>
  <c r="M251" i="37"/>
  <c r="L118" i="37"/>
  <c r="L282" i="37" l="1"/>
  <c r="N251" i="37"/>
  <c r="P246" i="37"/>
  <c r="N247" i="37"/>
  <c r="M252" i="37"/>
  <c r="O247" i="37" l="1"/>
  <c r="N252" i="37"/>
  <c r="Q246" i="37"/>
  <c r="M282" i="37"/>
  <c r="O251" i="37"/>
  <c r="N282" i="37" l="1"/>
  <c r="P251" i="37"/>
  <c r="R246" i="37"/>
  <c r="P247" i="37"/>
  <c r="O252" i="37"/>
  <c r="S246" i="37" l="1"/>
  <c r="Q247" i="37"/>
  <c r="P252" i="37"/>
  <c r="O282" i="37"/>
  <c r="Q251" i="37"/>
  <c r="P282" i="37" l="1"/>
  <c r="R251" i="37"/>
  <c r="T246" i="37"/>
  <c r="R247" i="37"/>
  <c r="Q252" i="37"/>
  <c r="S247" i="37" l="1"/>
  <c r="R252" i="37"/>
  <c r="U246" i="37"/>
  <c r="S251" i="37"/>
  <c r="Q282" i="37"/>
  <c r="R118" i="37"/>
  <c r="T251" i="37" l="1"/>
  <c r="R282" i="37"/>
  <c r="S118" i="37"/>
  <c r="V246" i="37"/>
  <c r="T247" i="37"/>
  <c r="S252" i="37"/>
  <c r="U247" i="37" l="1"/>
  <c r="T252" i="37"/>
  <c r="W246" i="37"/>
  <c r="S282" i="37"/>
  <c r="U251" i="37"/>
  <c r="T118" i="37"/>
  <c r="T282" i="37" l="1"/>
  <c r="V251" i="37"/>
  <c r="U118" i="37"/>
  <c r="X246" i="37"/>
  <c r="V247" i="37"/>
  <c r="U252" i="37"/>
  <c r="W247" i="37" l="1"/>
  <c r="V252" i="37"/>
  <c r="Y246" i="37"/>
  <c r="U282" i="37"/>
  <c r="W251" i="37"/>
  <c r="V118" i="37"/>
  <c r="Z246" i="37" l="1"/>
  <c r="V282" i="37"/>
  <c r="X251" i="37"/>
  <c r="W118" i="37"/>
  <c r="X247" i="37"/>
  <c r="W252" i="37"/>
  <c r="W282" i="37" l="1"/>
  <c r="Y251" i="37"/>
  <c r="X118" i="37"/>
  <c r="Y247" i="37"/>
  <c r="X252" i="37"/>
  <c r="AA246" i="37"/>
  <c r="AB246" i="37" l="1"/>
  <c r="Z247" i="37"/>
  <c r="Y252" i="37"/>
  <c r="X282" i="37"/>
  <c r="Z251" i="37"/>
  <c r="Y118" i="37"/>
  <c r="AA251" i="37" l="1"/>
  <c r="Y282" i="37"/>
  <c r="Z118" i="37"/>
  <c r="AA247" i="37"/>
  <c r="Z252" i="37"/>
  <c r="AC246" i="37"/>
  <c r="AD246" i="37" l="1"/>
  <c r="AB247" i="37"/>
  <c r="AA252" i="37"/>
  <c r="AB251" i="37"/>
  <c r="Z282" i="37"/>
  <c r="AA118" i="37"/>
  <c r="AE246" i="37" l="1"/>
  <c r="AA282" i="37"/>
  <c r="AC251" i="37"/>
  <c r="AC247" i="37"/>
  <c r="AB252" i="37"/>
  <c r="AD247" i="37" l="1"/>
  <c r="AC252" i="37"/>
  <c r="AB282" i="37"/>
  <c r="AD251" i="37"/>
  <c r="AF246" i="37"/>
  <c r="B246" i="37" l="1"/>
  <c r="AC282" i="37"/>
  <c r="AE251" i="37"/>
  <c r="AE247" i="37"/>
  <c r="AD252" i="37"/>
  <c r="AF247" i="37" l="1"/>
  <c r="AE252" i="37"/>
  <c r="AD282" i="37"/>
  <c r="AF251" i="37"/>
  <c r="B251" i="37" l="1"/>
  <c r="AE282" i="37"/>
  <c r="B247" i="37"/>
  <c r="B252" i="37" s="1"/>
  <c r="AF252" i="37"/>
  <c r="AF282" i="37" l="1"/>
  <c r="AI118" i="37" l="1"/>
  <c r="AH118" i="37"/>
  <c r="S123" i="36" l="1"/>
  <c r="S58" i="36"/>
  <c r="S62" i="36"/>
  <c r="S76" i="36"/>
  <c r="S80" i="36"/>
  <c r="S92" i="36"/>
  <c r="S101" i="36"/>
  <c r="S102" i="36"/>
  <c r="S103" i="36"/>
  <c r="S104" i="36"/>
  <c r="S105" i="36"/>
  <c r="S118" i="36"/>
  <c r="R123" i="36"/>
  <c r="R121" i="36"/>
  <c r="Q58" i="36"/>
  <c r="Q62" i="36"/>
  <c r="Q76" i="36"/>
  <c r="Q80" i="36"/>
  <c r="Q92" i="36"/>
  <c r="Q101" i="36"/>
  <c r="Q108" i="36" s="1"/>
  <c r="Q102" i="36"/>
  <c r="Q103" i="36"/>
  <c r="Q104" i="36"/>
  <c r="Q105" i="36"/>
  <c r="P123" i="36"/>
  <c r="O123" i="36"/>
  <c r="N123" i="36"/>
  <c r="M123" i="36"/>
  <c r="M121" i="36"/>
  <c r="S108" i="36" l="1"/>
  <c r="S97" i="36"/>
  <c r="S99" i="36" s="1"/>
  <c r="Q97" i="36"/>
  <c r="Q99" i="36" s="1"/>
  <c r="Q100" i="36"/>
  <c r="D123" i="36"/>
  <c r="C123" i="36"/>
  <c r="C58" i="36"/>
  <c r="D58" i="36"/>
  <c r="E58" i="36"/>
  <c r="F58" i="36"/>
  <c r="G58" i="36"/>
  <c r="H58" i="36"/>
  <c r="I58" i="36"/>
  <c r="J58" i="36"/>
  <c r="K58" i="36"/>
  <c r="L58" i="36"/>
  <c r="B58" i="36"/>
  <c r="B58" i="35"/>
  <c r="B123" i="36"/>
  <c r="AF286" i="36"/>
  <c r="AE286" i="36"/>
  <c r="AD286" i="36"/>
  <c r="AC286" i="36"/>
  <c r="AB286" i="36"/>
  <c r="AA286" i="36"/>
  <c r="Z286" i="36"/>
  <c r="Y286" i="36"/>
  <c r="X286" i="36"/>
  <c r="W286" i="36"/>
  <c r="V286" i="36"/>
  <c r="U286" i="36"/>
  <c r="T286" i="36"/>
  <c r="S286" i="36"/>
  <c r="R286" i="36"/>
  <c r="Q286" i="36"/>
  <c r="P286" i="36"/>
  <c r="O286" i="36"/>
  <c r="N286" i="36"/>
  <c r="M286" i="36"/>
  <c r="L286" i="36"/>
  <c r="K286" i="36"/>
  <c r="J286" i="36"/>
  <c r="I286" i="36"/>
  <c r="H286" i="36"/>
  <c r="G286" i="36"/>
  <c r="F286" i="36"/>
  <c r="E286" i="36"/>
  <c r="D286" i="36"/>
  <c r="C286" i="36"/>
  <c r="B286" i="36"/>
  <c r="A286" i="36"/>
  <c r="AF285" i="36"/>
  <c r="AE285" i="36"/>
  <c r="AD285" i="36"/>
  <c r="AC285" i="36"/>
  <c r="AB285" i="36"/>
  <c r="AA285" i="36"/>
  <c r="Z285" i="36"/>
  <c r="Y285" i="36"/>
  <c r="X285" i="36"/>
  <c r="W285" i="36"/>
  <c r="V285" i="36"/>
  <c r="U285" i="36"/>
  <c r="T285" i="36"/>
  <c r="S285" i="36"/>
  <c r="R285" i="36"/>
  <c r="Q285" i="36"/>
  <c r="P285" i="36"/>
  <c r="O285" i="36"/>
  <c r="N285" i="36"/>
  <c r="M285" i="36"/>
  <c r="L285" i="36"/>
  <c r="K285" i="36"/>
  <c r="J285" i="36"/>
  <c r="I285" i="36"/>
  <c r="H285" i="36"/>
  <c r="G285" i="36"/>
  <c r="F285" i="36"/>
  <c r="E285" i="36"/>
  <c r="D285" i="36"/>
  <c r="C285" i="36"/>
  <c r="B285" i="36"/>
  <c r="A285" i="36"/>
  <c r="AF284" i="36"/>
  <c r="AE284" i="36"/>
  <c r="AD284" i="36"/>
  <c r="AC284" i="36"/>
  <c r="AB284" i="36"/>
  <c r="AA284" i="36"/>
  <c r="Z284" i="36"/>
  <c r="Y284" i="36"/>
  <c r="X284" i="36"/>
  <c r="W284" i="36"/>
  <c r="V284" i="36"/>
  <c r="U284" i="36"/>
  <c r="T284" i="36"/>
  <c r="S284" i="36"/>
  <c r="R284" i="36"/>
  <c r="Q284" i="36"/>
  <c r="P284" i="36"/>
  <c r="O284" i="36"/>
  <c r="N284" i="36"/>
  <c r="M284" i="36"/>
  <c r="L284" i="36"/>
  <c r="K284" i="36"/>
  <c r="J284" i="36"/>
  <c r="I284" i="36"/>
  <c r="H284" i="36"/>
  <c r="G284" i="36"/>
  <c r="F284" i="36"/>
  <c r="E284" i="36"/>
  <c r="D284" i="36"/>
  <c r="C284" i="36"/>
  <c r="B284" i="36"/>
  <c r="A284" i="36"/>
  <c r="AF283" i="36"/>
  <c r="AE283" i="36"/>
  <c r="AD283" i="36"/>
  <c r="AC283" i="36"/>
  <c r="AB283" i="36"/>
  <c r="AA283" i="36"/>
  <c r="Z283" i="36"/>
  <c r="Y283" i="36"/>
  <c r="X283" i="36"/>
  <c r="W283" i="36"/>
  <c r="V283" i="36"/>
  <c r="U283" i="36"/>
  <c r="T283" i="36"/>
  <c r="S283" i="36"/>
  <c r="R283" i="36"/>
  <c r="Q283" i="36"/>
  <c r="P283" i="36"/>
  <c r="O283" i="36"/>
  <c r="N283" i="36"/>
  <c r="M283" i="36"/>
  <c r="L283" i="36"/>
  <c r="K283" i="36"/>
  <c r="J283" i="36"/>
  <c r="I283" i="36"/>
  <c r="H283" i="36"/>
  <c r="G283" i="36"/>
  <c r="F283" i="36"/>
  <c r="E283" i="36"/>
  <c r="D283" i="36"/>
  <c r="C283" i="36"/>
  <c r="B283" i="36"/>
  <c r="A283" i="36"/>
  <c r="B282" i="36"/>
  <c r="S257" i="36"/>
  <c r="AG252" i="36"/>
  <c r="C252" i="36"/>
  <c r="D251" i="36"/>
  <c r="C282" i="36" s="1"/>
  <c r="D250" i="36"/>
  <c r="E250" i="36" s="1"/>
  <c r="F250" i="36" s="1"/>
  <c r="G250" i="36" s="1"/>
  <c r="H250" i="36" s="1"/>
  <c r="I250" i="36" s="1"/>
  <c r="J250" i="36" s="1"/>
  <c r="K250" i="36" s="1"/>
  <c r="L250" i="36" s="1"/>
  <c r="M250" i="36" s="1"/>
  <c r="N250" i="36" s="1"/>
  <c r="O250" i="36" s="1"/>
  <c r="P250" i="36" s="1"/>
  <c r="Q250" i="36" s="1"/>
  <c r="R250" i="36" s="1"/>
  <c r="S250" i="36" s="1"/>
  <c r="T250" i="36" s="1"/>
  <c r="U250" i="36" s="1"/>
  <c r="V250" i="36" s="1"/>
  <c r="W250" i="36" s="1"/>
  <c r="X250" i="36" s="1"/>
  <c r="Y250" i="36" s="1"/>
  <c r="Z250" i="36" s="1"/>
  <c r="AA250" i="36" s="1"/>
  <c r="AB250" i="36" s="1"/>
  <c r="AC250" i="36" s="1"/>
  <c r="AD250" i="36" s="1"/>
  <c r="AE250" i="36" s="1"/>
  <c r="AF250" i="36" s="1"/>
  <c r="B250" i="36" s="1"/>
  <c r="E249" i="36"/>
  <c r="F249" i="36" s="1"/>
  <c r="G249" i="36" s="1"/>
  <c r="H249" i="36" s="1"/>
  <c r="I249" i="36" s="1"/>
  <c r="J249" i="36" s="1"/>
  <c r="K249" i="36" s="1"/>
  <c r="L249" i="36" s="1"/>
  <c r="M249" i="36" s="1"/>
  <c r="N249" i="36" s="1"/>
  <c r="O249" i="36" s="1"/>
  <c r="P249" i="36" s="1"/>
  <c r="Q249" i="36" s="1"/>
  <c r="R249" i="36" s="1"/>
  <c r="S249" i="36" s="1"/>
  <c r="T249" i="36" s="1"/>
  <c r="U249" i="36" s="1"/>
  <c r="V249" i="36" s="1"/>
  <c r="W249" i="36" s="1"/>
  <c r="X249" i="36" s="1"/>
  <c r="Y249" i="36" s="1"/>
  <c r="Z249" i="36" s="1"/>
  <c r="AA249" i="36" s="1"/>
  <c r="AB249" i="36" s="1"/>
  <c r="AC249" i="36" s="1"/>
  <c r="AD249" i="36" s="1"/>
  <c r="AE249" i="36" s="1"/>
  <c r="AF249" i="36" s="1"/>
  <c r="B249" i="36" s="1"/>
  <c r="D249" i="36"/>
  <c r="F248" i="36"/>
  <c r="G248" i="36" s="1"/>
  <c r="H248" i="36" s="1"/>
  <c r="I248" i="36" s="1"/>
  <c r="J248" i="36" s="1"/>
  <c r="K248" i="36" s="1"/>
  <c r="L248" i="36" s="1"/>
  <c r="M248" i="36" s="1"/>
  <c r="N248" i="36" s="1"/>
  <c r="O248" i="36" s="1"/>
  <c r="P248" i="36" s="1"/>
  <c r="Q248" i="36" s="1"/>
  <c r="R248" i="36" s="1"/>
  <c r="S248" i="36" s="1"/>
  <c r="T248" i="36" s="1"/>
  <c r="U248" i="36" s="1"/>
  <c r="V248" i="36" s="1"/>
  <c r="W248" i="36" s="1"/>
  <c r="X248" i="36" s="1"/>
  <c r="Y248" i="36" s="1"/>
  <c r="Z248" i="36" s="1"/>
  <c r="AA248" i="36" s="1"/>
  <c r="AB248" i="36" s="1"/>
  <c r="AC248" i="36" s="1"/>
  <c r="AD248" i="36" s="1"/>
  <c r="AE248" i="36" s="1"/>
  <c r="AF248" i="36" s="1"/>
  <c r="B248" i="36" s="1"/>
  <c r="E248" i="36"/>
  <c r="D248" i="36"/>
  <c r="D247" i="36"/>
  <c r="E247" i="36" s="1"/>
  <c r="F247" i="36" s="1"/>
  <c r="G247" i="36" s="1"/>
  <c r="H247" i="36" s="1"/>
  <c r="I247" i="36" s="1"/>
  <c r="J247" i="36" s="1"/>
  <c r="K247" i="36" s="1"/>
  <c r="L247" i="36" s="1"/>
  <c r="M247" i="36" s="1"/>
  <c r="N247" i="36" s="1"/>
  <c r="O247" i="36" s="1"/>
  <c r="P247" i="36" s="1"/>
  <c r="Q247" i="36" s="1"/>
  <c r="R247" i="36" s="1"/>
  <c r="S247" i="36" s="1"/>
  <c r="T247" i="36" s="1"/>
  <c r="U247" i="36" s="1"/>
  <c r="V247" i="36" s="1"/>
  <c r="W247" i="36" s="1"/>
  <c r="X247" i="36" s="1"/>
  <c r="Y247" i="36" s="1"/>
  <c r="Z247" i="36" s="1"/>
  <c r="AA247" i="36" s="1"/>
  <c r="AB247" i="36" s="1"/>
  <c r="AC247" i="36" s="1"/>
  <c r="AD247" i="36" s="1"/>
  <c r="AE247" i="36" s="1"/>
  <c r="AF247" i="36" s="1"/>
  <c r="B247" i="36" s="1"/>
  <c r="D246" i="36"/>
  <c r="AG244" i="36"/>
  <c r="AF244" i="36"/>
  <c r="AE244" i="36"/>
  <c r="AD244" i="36"/>
  <c r="AC244" i="36"/>
  <c r="AB244" i="36"/>
  <c r="AA244" i="36"/>
  <c r="Z244" i="36"/>
  <c r="Y244" i="36"/>
  <c r="X244" i="36"/>
  <c r="W244" i="36"/>
  <c r="V244" i="36"/>
  <c r="U244" i="36"/>
  <c r="T244" i="36"/>
  <c r="S244" i="36"/>
  <c r="R244" i="36"/>
  <c r="Q244" i="36"/>
  <c r="P244" i="36"/>
  <c r="O244" i="36"/>
  <c r="N244" i="36"/>
  <c r="M244" i="36"/>
  <c r="L244" i="36"/>
  <c r="K244" i="36"/>
  <c r="J244" i="36"/>
  <c r="I244" i="36"/>
  <c r="H244" i="36"/>
  <c r="G244" i="36"/>
  <c r="F244" i="36"/>
  <c r="E244" i="36"/>
  <c r="D244" i="36"/>
  <c r="C244" i="36"/>
  <c r="B244" i="36"/>
  <c r="AI130" i="36"/>
  <c r="AH130" i="36"/>
  <c r="AI129" i="36"/>
  <c r="AH129" i="36"/>
  <c r="AI128" i="36"/>
  <c r="AH128" i="36"/>
  <c r="AI127" i="36"/>
  <c r="AH127" i="36"/>
  <c r="AI126" i="36"/>
  <c r="AH126" i="36"/>
  <c r="AI123" i="36"/>
  <c r="AH123" i="36"/>
  <c r="AI122" i="36"/>
  <c r="AH122" i="36"/>
  <c r="AI121" i="36"/>
  <c r="AH121" i="36"/>
  <c r="AI120" i="36"/>
  <c r="AH120" i="36"/>
  <c r="AI119" i="36"/>
  <c r="AH119" i="36"/>
  <c r="D118" i="36"/>
  <c r="C118" i="36"/>
  <c r="AI117" i="36"/>
  <c r="AH117" i="36"/>
  <c r="AI116" i="36"/>
  <c r="AH116" i="36"/>
  <c r="AI115" i="36"/>
  <c r="AH115" i="36"/>
  <c r="AI114" i="36"/>
  <c r="AH114" i="36"/>
  <c r="AI113" i="36"/>
  <c r="AH113" i="36"/>
  <c r="AI112" i="36"/>
  <c r="AH112" i="36"/>
  <c r="AI111" i="36"/>
  <c r="AH111" i="36"/>
  <c r="AI110" i="36"/>
  <c r="AH110" i="36"/>
  <c r="AI109" i="36"/>
  <c r="AH109" i="36"/>
  <c r="AI106" i="36"/>
  <c r="AH106" i="36"/>
  <c r="AF105" i="36"/>
  <c r="AE105" i="36"/>
  <c r="AD105" i="36"/>
  <c r="AC105" i="36"/>
  <c r="AB105" i="36"/>
  <c r="R105" i="36"/>
  <c r="P105" i="36"/>
  <c r="O105" i="36"/>
  <c r="N105" i="36"/>
  <c r="M105" i="36"/>
  <c r="L105" i="36"/>
  <c r="K105" i="36"/>
  <c r="J105" i="36"/>
  <c r="J107" i="36" s="1"/>
  <c r="I105" i="36"/>
  <c r="H105" i="36"/>
  <c r="G105" i="36"/>
  <c r="F105" i="36"/>
  <c r="E105" i="36"/>
  <c r="D105" i="36"/>
  <c r="C105" i="36"/>
  <c r="B105" i="36"/>
  <c r="AF104" i="36"/>
  <c r="AE104" i="36"/>
  <c r="AD104" i="36"/>
  <c r="AC104" i="36"/>
  <c r="AB104" i="36"/>
  <c r="R104" i="36"/>
  <c r="P104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B104" i="36"/>
  <c r="AF103" i="36"/>
  <c r="AE103" i="36"/>
  <c r="AD103" i="36"/>
  <c r="AC103" i="36"/>
  <c r="AB103" i="36"/>
  <c r="R103" i="36"/>
  <c r="P103" i="36"/>
  <c r="O103" i="36"/>
  <c r="N103" i="36"/>
  <c r="M103" i="36"/>
  <c r="L103" i="36"/>
  <c r="K103" i="36"/>
  <c r="J103" i="36"/>
  <c r="I103" i="36"/>
  <c r="H103" i="36"/>
  <c r="G103" i="36"/>
  <c r="F103" i="36"/>
  <c r="E103" i="36"/>
  <c r="D103" i="36"/>
  <c r="C103" i="36"/>
  <c r="B103" i="36"/>
  <c r="AF102" i="36"/>
  <c r="AF107" i="36" s="1"/>
  <c r="AE102" i="36"/>
  <c r="AD102" i="36"/>
  <c r="AC102" i="36"/>
  <c r="AB102" i="36"/>
  <c r="R102" i="36"/>
  <c r="P102" i="36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C102" i="36"/>
  <c r="B102" i="36"/>
  <c r="AI102" i="36" s="1"/>
  <c r="AF101" i="36"/>
  <c r="AE101" i="36"/>
  <c r="AD101" i="36"/>
  <c r="AC101" i="36"/>
  <c r="AC107" i="36" s="1"/>
  <c r="AB101" i="36"/>
  <c r="R101" i="36"/>
  <c r="P101" i="36"/>
  <c r="O101" i="36"/>
  <c r="N101" i="36"/>
  <c r="M101" i="36"/>
  <c r="L101" i="36"/>
  <c r="K101" i="36"/>
  <c r="J101" i="36"/>
  <c r="I101" i="36"/>
  <c r="H101" i="36"/>
  <c r="G101" i="36"/>
  <c r="F101" i="36"/>
  <c r="E101" i="36"/>
  <c r="D101" i="36"/>
  <c r="C101" i="36"/>
  <c r="B101" i="36"/>
  <c r="AI98" i="36"/>
  <c r="AH98" i="36"/>
  <c r="AI96" i="36"/>
  <c r="AH96" i="36"/>
  <c r="AG96" i="36"/>
  <c r="AI95" i="36"/>
  <c r="AH95" i="36"/>
  <c r="AI94" i="36"/>
  <c r="AH94" i="36"/>
  <c r="AI93" i="36"/>
  <c r="AH93" i="36"/>
  <c r="AG92" i="36"/>
  <c r="AF92" i="36"/>
  <c r="AE92" i="36"/>
  <c r="AD5" i="36" s="1"/>
  <c r="AD92" i="36"/>
  <c r="AC5" i="36" s="1"/>
  <c r="AC92" i="36"/>
  <c r="AC108" i="36" s="1"/>
  <c r="AB92" i="36"/>
  <c r="AA5" i="36" s="1"/>
  <c r="R92" i="36"/>
  <c r="P92" i="36"/>
  <c r="O5" i="36" s="1"/>
  <c r="O92" i="36"/>
  <c r="N5" i="36" s="1"/>
  <c r="N92" i="36"/>
  <c r="M92" i="36"/>
  <c r="L92" i="36"/>
  <c r="K5" i="36" s="1"/>
  <c r="K92" i="36"/>
  <c r="J92" i="36"/>
  <c r="I5" i="36" s="1"/>
  <c r="I92" i="36"/>
  <c r="H92" i="36"/>
  <c r="G5" i="36" s="1"/>
  <c r="G92" i="36"/>
  <c r="F5" i="36" s="1"/>
  <c r="F92" i="36"/>
  <c r="E5" i="36" s="1"/>
  <c r="E92" i="36"/>
  <c r="D92" i="36"/>
  <c r="C5" i="36" s="1"/>
  <c r="C92" i="36"/>
  <c r="B92" i="36"/>
  <c r="AF5" i="36" s="1"/>
  <c r="AI91" i="36"/>
  <c r="AH91" i="36"/>
  <c r="AI90" i="36"/>
  <c r="AH90" i="36"/>
  <c r="AI89" i="36"/>
  <c r="AH89" i="36"/>
  <c r="AI88" i="36"/>
  <c r="AH88" i="36"/>
  <c r="AI87" i="36"/>
  <c r="AH87" i="36"/>
  <c r="AI86" i="36"/>
  <c r="AH86" i="36"/>
  <c r="AI85" i="36"/>
  <c r="AH85" i="36"/>
  <c r="AI84" i="36"/>
  <c r="AH84" i="36"/>
  <c r="AI83" i="36"/>
  <c r="AH83" i="36"/>
  <c r="AI82" i="36"/>
  <c r="AH82" i="36"/>
  <c r="AI81" i="36"/>
  <c r="AH81" i="36"/>
  <c r="AG80" i="36"/>
  <c r="AG4" i="36" s="1"/>
  <c r="AF80" i="36"/>
  <c r="AE80" i="36"/>
  <c r="AD80" i="36"/>
  <c r="AC80" i="36"/>
  <c r="AB80" i="36"/>
  <c r="R80" i="36"/>
  <c r="P80" i="36"/>
  <c r="O80" i="36"/>
  <c r="N80" i="36"/>
  <c r="M80" i="36"/>
  <c r="L80" i="36"/>
  <c r="K80" i="36"/>
  <c r="J80" i="36"/>
  <c r="I80" i="36"/>
  <c r="H80" i="36"/>
  <c r="G80" i="36"/>
  <c r="F80" i="36"/>
  <c r="E80" i="36"/>
  <c r="D80" i="36"/>
  <c r="C80" i="36"/>
  <c r="B80" i="36"/>
  <c r="AI79" i="36"/>
  <c r="AH79" i="36"/>
  <c r="AI78" i="36"/>
  <c r="AH78" i="36"/>
  <c r="AI77" i="36"/>
  <c r="AH77" i="36"/>
  <c r="AG76" i="36"/>
  <c r="AG3" i="36" s="1"/>
  <c r="AF76" i="36"/>
  <c r="AE76" i="36"/>
  <c r="AD76" i="36"/>
  <c r="AC76" i="36"/>
  <c r="AB76" i="36"/>
  <c r="R76" i="36"/>
  <c r="P76" i="36"/>
  <c r="O76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B76" i="36"/>
  <c r="AI75" i="36"/>
  <c r="AH75" i="36"/>
  <c r="AG75" i="36"/>
  <c r="AI74" i="36"/>
  <c r="AH74" i="36"/>
  <c r="AI73" i="36"/>
  <c r="AH73" i="36"/>
  <c r="AI72" i="36"/>
  <c r="AH72" i="36"/>
  <c r="AI71" i="36"/>
  <c r="AH71" i="36"/>
  <c r="AI70" i="36"/>
  <c r="AH70" i="36"/>
  <c r="AI69" i="36"/>
  <c r="AH69" i="36"/>
  <c r="AI68" i="36"/>
  <c r="AH68" i="36"/>
  <c r="AI67" i="36"/>
  <c r="AH67" i="36"/>
  <c r="AI66" i="36"/>
  <c r="AH66" i="36"/>
  <c r="AI65" i="36"/>
  <c r="AH65" i="36"/>
  <c r="AI64" i="36"/>
  <c r="AH64" i="36"/>
  <c r="AI63" i="36"/>
  <c r="AH63" i="36"/>
  <c r="AG62" i="36"/>
  <c r="AF62" i="36"/>
  <c r="AE62" i="36"/>
  <c r="AD62" i="36"/>
  <c r="AC62" i="36"/>
  <c r="AB62" i="36"/>
  <c r="R62" i="36"/>
  <c r="P62" i="36"/>
  <c r="O62" i="36"/>
  <c r="N62" i="36"/>
  <c r="M62" i="36"/>
  <c r="L62" i="36"/>
  <c r="K62" i="36"/>
  <c r="J62" i="36"/>
  <c r="I62" i="36"/>
  <c r="H62" i="36"/>
  <c r="G62" i="36"/>
  <c r="F62" i="36"/>
  <c r="E62" i="36"/>
  <c r="D62" i="36"/>
  <c r="C62" i="36"/>
  <c r="B62" i="36"/>
  <c r="AI61" i="36"/>
  <c r="AH61" i="36"/>
  <c r="AI60" i="36"/>
  <c r="AH60" i="36"/>
  <c r="AI59" i="36"/>
  <c r="AH59" i="36"/>
  <c r="AG58" i="36"/>
  <c r="AF58" i="36"/>
  <c r="AE58" i="36"/>
  <c r="AD58" i="36"/>
  <c r="AC58" i="36"/>
  <c r="AB58" i="36"/>
  <c r="R58" i="36"/>
  <c r="P58" i="36"/>
  <c r="O58" i="36"/>
  <c r="N58" i="36"/>
  <c r="M58" i="36"/>
  <c r="AI57" i="36"/>
  <c r="AH57" i="36"/>
  <c r="AI56" i="36"/>
  <c r="AH56" i="36"/>
  <c r="AI55" i="36"/>
  <c r="AH55" i="36"/>
  <c r="AI54" i="36"/>
  <c r="AH54" i="36"/>
  <c r="AI53" i="36"/>
  <c r="AH53" i="36"/>
  <c r="AI52" i="36"/>
  <c r="AH52" i="36"/>
  <c r="AI51" i="36"/>
  <c r="AH51" i="36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E5" i="36"/>
  <c r="AB5" i="36"/>
  <c r="Y5" i="36"/>
  <c r="W5" i="36"/>
  <c r="V5" i="36"/>
  <c r="U5" i="36"/>
  <c r="T5" i="36"/>
  <c r="S5" i="36"/>
  <c r="D5" i="36"/>
  <c r="K4" i="36"/>
  <c r="E4" i="36"/>
  <c r="H4" i="36" s="1"/>
  <c r="B4" i="36"/>
  <c r="S258" i="36" s="1"/>
  <c r="AG2" i="36"/>
  <c r="AF123" i="35"/>
  <c r="AE123" i="35"/>
  <c r="AD123" i="35"/>
  <c r="AC123" i="35"/>
  <c r="AB123" i="35"/>
  <c r="AA123" i="35"/>
  <c r="Z123" i="35"/>
  <c r="Z58" i="35"/>
  <c r="Z62" i="35"/>
  <c r="Z76" i="35"/>
  <c r="Z80" i="35"/>
  <c r="Y123" i="35"/>
  <c r="X105" i="35"/>
  <c r="X104" i="35"/>
  <c r="X103" i="35"/>
  <c r="X102" i="35"/>
  <c r="X101" i="35"/>
  <c r="X107" i="35" s="1"/>
  <c r="X92" i="35"/>
  <c r="X108" i="35" s="1"/>
  <c r="X80" i="35"/>
  <c r="X76" i="35"/>
  <c r="X62" i="35"/>
  <c r="X58" i="35"/>
  <c r="W123" i="35"/>
  <c r="V58" i="35"/>
  <c r="V62" i="35"/>
  <c r="V76" i="35"/>
  <c r="V80" i="35"/>
  <c r="V92" i="35"/>
  <c r="V101" i="35"/>
  <c r="V102" i="35"/>
  <c r="V103" i="35"/>
  <c r="V104" i="35"/>
  <c r="V105" i="35"/>
  <c r="V123" i="35"/>
  <c r="U123" i="35"/>
  <c r="T123" i="35"/>
  <c r="T58" i="35"/>
  <c r="T62" i="35"/>
  <c r="T76" i="35"/>
  <c r="T80" i="35"/>
  <c r="O118" i="28"/>
  <c r="P118" i="28"/>
  <c r="Q118" i="28"/>
  <c r="R123" i="35"/>
  <c r="R121" i="35"/>
  <c r="Q123" i="35"/>
  <c r="AF97" i="36" l="1"/>
  <c r="AF99" i="36" s="1"/>
  <c r="AE97" i="36"/>
  <c r="AE99" i="36" s="1"/>
  <c r="AW261" i="36" s="1"/>
  <c r="AD107" i="36"/>
  <c r="AD108" i="36" s="1"/>
  <c r="AD97" i="36"/>
  <c r="AD99" i="36" s="1"/>
  <c r="AV261" i="36" s="1"/>
  <c r="AC97" i="36"/>
  <c r="AC99" i="36" s="1"/>
  <c r="AB97" i="36"/>
  <c r="AB99" i="36" s="1"/>
  <c r="S100" i="36"/>
  <c r="R108" i="36"/>
  <c r="Q5" i="36"/>
  <c r="R97" i="36"/>
  <c r="R99" i="36" s="1"/>
  <c r="P107" i="36"/>
  <c r="P97" i="36"/>
  <c r="P99" i="36" s="1"/>
  <c r="O97" i="36"/>
  <c r="O99" i="36" s="1"/>
  <c r="N107" i="36"/>
  <c r="N108" i="36" s="1"/>
  <c r="M5" i="36"/>
  <c r="N97" i="36"/>
  <c r="N99" i="36" s="1"/>
  <c r="M107" i="36"/>
  <c r="M108" i="36" s="1"/>
  <c r="L5" i="36"/>
  <c r="M97" i="36"/>
  <c r="M99" i="36" s="1"/>
  <c r="AE261" i="36" s="1"/>
  <c r="K107" i="36"/>
  <c r="K97" i="36"/>
  <c r="K99" i="36" s="1"/>
  <c r="K100" i="36" s="1"/>
  <c r="K7" i="36" s="1"/>
  <c r="J108" i="36"/>
  <c r="I107" i="36"/>
  <c r="I108" i="36" s="1"/>
  <c r="H107" i="36"/>
  <c r="L97" i="36"/>
  <c r="L99" i="36" s="1"/>
  <c r="AD261" i="36" s="1"/>
  <c r="H97" i="36"/>
  <c r="H99" i="36" s="1"/>
  <c r="Z261" i="36" s="1"/>
  <c r="G107" i="36"/>
  <c r="G108" i="36" s="1"/>
  <c r="F107" i="36"/>
  <c r="F108" i="36" s="1"/>
  <c r="E107" i="36"/>
  <c r="E108" i="36" s="1"/>
  <c r="G97" i="36"/>
  <c r="G99" i="36" s="1"/>
  <c r="Y261" i="36" s="1"/>
  <c r="E97" i="36"/>
  <c r="E99" i="36" s="1"/>
  <c r="J97" i="36"/>
  <c r="J99" i="36" s="1"/>
  <c r="J100" i="36" s="1"/>
  <c r="J7" i="36" s="1"/>
  <c r="F97" i="36"/>
  <c r="F99" i="36" s="1"/>
  <c r="X261" i="36" s="1"/>
  <c r="AI103" i="36"/>
  <c r="D97" i="36"/>
  <c r="D99" i="36" s="1"/>
  <c r="V261" i="36" s="1"/>
  <c r="C97" i="36"/>
  <c r="C99" i="36" s="1"/>
  <c r="C100" i="36" s="1"/>
  <c r="C7" i="36" s="1"/>
  <c r="AH80" i="36"/>
  <c r="C107" i="36"/>
  <c r="B107" i="36"/>
  <c r="AI92" i="36"/>
  <c r="AH102" i="36"/>
  <c r="B108" i="36"/>
  <c r="AI80" i="36"/>
  <c r="AI76" i="36"/>
  <c r="D258" i="36"/>
  <c r="AH261" i="36"/>
  <c r="P100" i="36"/>
  <c r="P7" i="36" s="1"/>
  <c r="AL261" i="36"/>
  <c r="AP261" i="36"/>
  <c r="X7" i="36"/>
  <c r="AX261" i="36"/>
  <c r="AF100" i="36"/>
  <c r="AF7" i="36" s="1"/>
  <c r="AF261" i="36"/>
  <c r="N100" i="36"/>
  <c r="N7" i="36" s="1"/>
  <c r="AN261" i="36"/>
  <c r="V7" i="36"/>
  <c r="AR261" i="36"/>
  <c r="Z7" i="36"/>
  <c r="AT261" i="36"/>
  <c r="AJ261" i="36"/>
  <c r="AH101" i="36"/>
  <c r="AG261" i="36"/>
  <c r="AO261" i="36"/>
  <c r="H108" i="36"/>
  <c r="P108" i="36"/>
  <c r="AF108" i="36"/>
  <c r="AI101" i="36"/>
  <c r="AG6" i="36"/>
  <c r="AI62" i="36"/>
  <c r="H5" i="36"/>
  <c r="P5" i="36"/>
  <c r="X5" i="36"/>
  <c r="AG99" i="36"/>
  <c r="I97" i="36"/>
  <c r="I99" i="36" s="1"/>
  <c r="AG97" i="36"/>
  <c r="D107" i="36"/>
  <c r="D108" i="36" s="1"/>
  <c r="L107" i="36"/>
  <c r="L108" i="36" s="1"/>
  <c r="AB107" i="36"/>
  <c r="AB108" i="36" s="1"/>
  <c r="B5" i="36"/>
  <c r="C108" i="36"/>
  <c r="J5" i="36"/>
  <c r="K108" i="36"/>
  <c r="R5" i="36"/>
  <c r="Z5" i="36"/>
  <c r="U261" i="36"/>
  <c r="AK261" i="36"/>
  <c r="S7" i="36"/>
  <c r="AS261" i="36"/>
  <c r="AA7" i="36"/>
  <c r="AH76" i="36"/>
  <c r="O107" i="36"/>
  <c r="O108" i="36" s="1"/>
  <c r="AE107" i="36"/>
  <c r="AE108" i="36" s="1"/>
  <c r="AI105" i="36"/>
  <c r="D252" i="36"/>
  <c r="W261" i="36"/>
  <c r="M100" i="36"/>
  <c r="M7" i="36" s="1"/>
  <c r="AM261" i="36"/>
  <c r="U7" i="36"/>
  <c r="AU261" i="36"/>
  <c r="AC100" i="36"/>
  <c r="AC7" i="36" s="1"/>
  <c r="AI104" i="36"/>
  <c r="AH92" i="36"/>
  <c r="E251" i="36"/>
  <c r="E246" i="36"/>
  <c r="AH58" i="36"/>
  <c r="AH62" i="36"/>
  <c r="B97" i="36"/>
  <c r="AH103" i="36"/>
  <c r="AI58" i="36"/>
  <c r="AH104" i="36"/>
  <c r="AH105" i="36"/>
  <c r="V107" i="35"/>
  <c r="X97" i="35"/>
  <c r="X99" i="35" s="1"/>
  <c r="X100" i="35" s="1"/>
  <c r="V97" i="35"/>
  <c r="V99" i="35" s="1"/>
  <c r="V100" i="35" s="1"/>
  <c r="V108" i="35"/>
  <c r="AE100" i="36" l="1"/>
  <c r="AE7" i="36" s="1"/>
  <c r="AD100" i="36"/>
  <c r="AD7" i="36" s="1"/>
  <c r="AB100" i="36"/>
  <c r="AB7" i="36" s="1"/>
  <c r="R100" i="36"/>
  <c r="R7" i="36" s="1"/>
  <c r="L100" i="36"/>
  <c r="L7" i="36" s="1"/>
  <c r="AC261" i="36"/>
  <c r="AB261" i="36"/>
  <c r="H100" i="36"/>
  <c r="H7" i="36" s="1"/>
  <c r="C256" i="36"/>
  <c r="G100" i="36"/>
  <c r="G7" i="36" s="1"/>
  <c r="E100" i="36"/>
  <c r="E7" i="36" s="1"/>
  <c r="F100" i="36"/>
  <c r="F7" i="36" s="1"/>
  <c r="AH107" i="36"/>
  <c r="D100" i="36"/>
  <c r="D7" i="36" s="1"/>
  <c r="T7" i="36"/>
  <c r="AI107" i="36"/>
  <c r="AH108" i="36"/>
  <c r="W7" i="36"/>
  <c r="F251" i="36"/>
  <c r="D282" i="36"/>
  <c r="O100" i="36"/>
  <c r="O7" i="36" s="1"/>
  <c r="AI97" i="36"/>
  <c r="AH97" i="36"/>
  <c r="B99" i="36"/>
  <c r="AQ261" i="36"/>
  <c r="Y7" i="36"/>
  <c r="AA261" i="36"/>
  <c r="I100" i="36"/>
  <c r="I7" i="36" s="1"/>
  <c r="F246" i="36"/>
  <c r="E118" i="36"/>
  <c r="E252" i="36"/>
  <c r="AI261" i="36"/>
  <c r="Q7" i="36"/>
  <c r="B256" i="36"/>
  <c r="K6" i="36" l="1"/>
  <c r="E282" i="36"/>
  <c r="G251" i="36"/>
  <c r="T261" i="36"/>
  <c r="AI99" i="36"/>
  <c r="AH99" i="36"/>
  <c r="B100" i="36"/>
  <c r="AI108" i="36"/>
  <c r="G246" i="36"/>
  <c r="F118" i="36"/>
  <c r="F252" i="36"/>
  <c r="AH100" i="36" l="1"/>
  <c r="B7" i="36"/>
  <c r="A7" i="36" s="1"/>
  <c r="AI100" i="36"/>
  <c r="F282" i="36"/>
  <c r="H251" i="36"/>
  <c r="H246" i="36"/>
  <c r="G118" i="36"/>
  <c r="G252" i="36"/>
  <c r="G282" i="36" l="1"/>
  <c r="I251" i="36"/>
  <c r="I246" i="36"/>
  <c r="H118" i="36"/>
  <c r="H252" i="36"/>
  <c r="P123" i="35"/>
  <c r="O123" i="35"/>
  <c r="N123" i="35"/>
  <c r="N121" i="35"/>
  <c r="M123" i="35"/>
  <c r="L123" i="35"/>
  <c r="K123" i="35"/>
  <c r="K121" i="35"/>
  <c r="J123" i="35"/>
  <c r="J121" i="35"/>
  <c r="I123" i="35"/>
  <c r="I121" i="35"/>
  <c r="H123" i="35"/>
  <c r="H121" i="35"/>
  <c r="G123" i="35"/>
  <c r="G121" i="35"/>
  <c r="F123" i="35"/>
  <c r="F121" i="35"/>
  <c r="E123" i="35"/>
  <c r="E121" i="35"/>
  <c r="D123" i="35"/>
  <c r="C123" i="35"/>
  <c r="B123" i="35"/>
  <c r="AF286" i="35"/>
  <c r="AE286" i="35"/>
  <c r="AD286" i="35"/>
  <c r="AC286" i="35"/>
  <c r="AB286" i="35"/>
  <c r="AA286" i="35"/>
  <c r="Z286" i="35"/>
  <c r="Y286" i="35"/>
  <c r="X286" i="35"/>
  <c r="W286" i="35"/>
  <c r="V286" i="35"/>
  <c r="U286" i="35"/>
  <c r="T286" i="35"/>
  <c r="S286" i="35"/>
  <c r="R286" i="35"/>
  <c r="Q286" i="35"/>
  <c r="P286" i="35"/>
  <c r="O286" i="35"/>
  <c r="N286" i="35"/>
  <c r="M286" i="35"/>
  <c r="L286" i="35"/>
  <c r="K286" i="35"/>
  <c r="J286" i="35"/>
  <c r="I286" i="35"/>
  <c r="H286" i="35"/>
  <c r="G286" i="35"/>
  <c r="F286" i="35"/>
  <c r="E286" i="35"/>
  <c r="D286" i="35"/>
  <c r="C286" i="35"/>
  <c r="B286" i="35"/>
  <c r="A286" i="35"/>
  <c r="AF285" i="35"/>
  <c r="AE285" i="35"/>
  <c r="AD285" i="35"/>
  <c r="AC285" i="35"/>
  <c r="AB285" i="35"/>
  <c r="AA285" i="35"/>
  <c r="Z285" i="35"/>
  <c r="Y285" i="35"/>
  <c r="X285" i="35"/>
  <c r="W285" i="35"/>
  <c r="V285" i="35"/>
  <c r="U285" i="35"/>
  <c r="T285" i="35"/>
  <c r="S285" i="35"/>
  <c r="R285" i="35"/>
  <c r="Q285" i="35"/>
  <c r="P285" i="35"/>
  <c r="O285" i="35"/>
  <c r="N285" i="35"/>
  <c r="M285" i="35"/>
  <c r="L285" i="35"/>
  <c r="K285" i="35"/>
  <c r="J285" i="35"/>
  <c r="I285" i="35"/>
  <c r="H285" i="35"/>
  <c r="G285" i="35"/>
  <c r="F285" i="35"/>
  <c r="E285" i="35"/>
  <c r="D285" i="35"/>
  <c r="C285" i="35"/>
  <c r="B285" i="35"/>
  <c r="A285" i="35"/>
  <c r="AF284" i="35"/>
  <c r="AE284" i="35"/>
  <c r="AD284" i="35"/>
  <c r="AC284" i="35"/>
  <c r="AB284" i="35"/>
  <c r="AA284" i="35"/>
  <c r="Z284" i="35"/>
  <c r="Y284" i="35"/>
  <c r="X284" i="35"/>
  <c r="W284" i="35"/>
  <c r="V284" i="35"/>
  <c r="U284" i="35"/>
  <c r="T284" i="35"/>
  <c r="S284" i="35"/>
  <c r="R284" i="35"/>
  <c r="Q284" i="35"/>
  <c r="P284" i="35"/>
  <c r="O284" i="35"/>
  <c r="N284" i="35"/>
  <c r="M284" i="35"/>
  <c r="L284" i="35"/>
  <c r="K284" i="35"/>
  <c r="J284" i="35"/>
  <c r="I284" i="35"/>
  <c r="H284" i="35"/>
  <c r="G284" i="35"/>
  <c r="F284" i="35"/>
  <c r="E284" i="35"/>
  <c r="D284" i="35"/>
  <c r="C284" i="35"/>
  <c r="B284" i="35"/>
  <c r="A284" i="35"/>
  <c r="AF283" i="35"/>
  <c r="AE283" i="35"/>
  <c r="AD283" i="35"/>
  <c r="AC283" i="35"/>
  <c r="AB283" i="35"/>
  <c r="AA283" i="35"/>
  <c r="Z283" i="35"/>
  <c r="Y283" i="35"/>
  <c r="X283" i="35"/>
  <c r="W283" i="35"/>
  <c r="V283" i="35"/>
  <c r="U283" i="35"/>
  <c r="T283" i="35"/>
  <c r="S283" i="35"/>
  <c r="R283" i="35"/>
  <c r="Q283" i="35"/>
  <c r="P283" i="35"/>
  <c r="O283" i="35"/>
  <c r="N283" i="35"/>
  <c r="M283" i="35"/>
  <c r="L283" i="35"/>
  <c r="K283" i="35"/>
  <c r="J283" i="35"/>
  <c r="I283" i="35"/>
  <c r="H283" i="35"/>
  <c r="G283" i="35"/>
  <c r="F283" i="35"/>
  <c r="E283" i="35"/>
  <c r="D283" i="35"/>
  <c r="C283" i="35"/>
  <c r="B283" i="35"/>
  <c r="A283" i="35"/>
  <c r="C282" i="35"/>
  <c r="B282" i="35"/>
  <c r="S257" i="35"/>
  <c r="AG252" i="35"/>
  <c r="C252" i="35"/>
  <c r="D251" i="35"/>
  <c r="E251" i="35" s="1"/>
  <c r="F251" i="35" s="1"/>
  <c r="E282" i="35" s="1"/>
  <c r="D250" i="35"/>
  <c r="E250" i="35" s="1"/>
  <c r="F250" i="35" s="1"/>
  <c r="G250" i="35" s="1"/>
  <c r="H250" i="35" s="1"/>
  <c r="I250" i="35" s="1"/>
  <c r="J250" i="35" s="1"/>
  <c r="K250" i="35" s="1"/>
  <c r="L250" i="35" s="1"/>
  <c r="M250" i="35" s="1"/>
  <c r="N250" i="35" s="1"/>
  <c r="O250" i="35" s="1"/>
  <c r="P250" i="35" s="1"/>
  <c r="Q250" i="35" s="1"/>
  <c r="R250" i="35" s="1"/>
  <c r="S250" i="35" s="1"/>
  <c r="T250" i="35" s="1"/>
  <c r="U250" i="35" s="1"/>
  <c r="V250" i="35" s="1"/>
  <c r="W250" i="35" s="1"/>
  <c r="X250" i="35" s="1"/>
  <c r="Y250" i="35" s="1"/>
  <c r="Z250" i="35" s="1"/>
  <c r="AA250" i="35" s="1"/>
  <c r="AB250" i="35" s="1"/>
  <c r="AC250" i="35" s="1"/>
  <c r="AD250" i="35" s="1"/>
  <c r="AE250" i="35" s="1"/>
  <c r="AF250" i="35" s="1"/>
  <c r="B250" i="35" s="1"/>
  <c r="E249" i="35"/>
  <c r="F249" i="35" s="1"/>
  <c r="G249" i="35" s="1"/>
  <c r="H249" i="35" s="1"/>
  <c r="I249" i="35" s="1"/>
  <c r="J249" i="35" s="1"/>
  <c r="K249" i="35" s="1"/>
  <c r="L249" i="35" s="1"/>
  <c r="M249" i="35" s="1"/>
  <c r="N249" i="35" s="1"/>
  <c r="O249" i="35" s="1"/>
  <c r="P249" i="35" s="1"/>
  <c r="Q249" i="35" s="1"/>
  <c r="R249" i="35" s="1"/>
  <c r="S249" i="35" s="1"/>
  <c r="T249" i="35" s="1"/>
  <c r="U249" i="35" s="1"/>
  <c r="V249" i="35" s="1"/>
  <c r="W249" i="35" s="1"/>
  <c r="X249" i="35" s="1"/>
  <c r="Y249" i="35" s="1"/>
  <c r="Z249" i="35" s="1"/>
  <c r="AA249" i="35" s="1"/>
  <c r="AB249" i="35" s="1"/>
  <c r="AC249" i="35" s="1"/>
  <c r="AD249" i="35" s="1"/>
  <c r="AE249" i="35" s="1"/>
  <c r="AF249" i="35" s="1"/>
  <c r="B249" i="35" s="1"/>
  <c r="D249" i="35"/>
  <c r="E248" i="35"/>
  <c r="F248" i="35" s="1"/>
  <c r="G248" i="35" s="1"/>
  <c r="H248" i="35" s="1"/>
  <c r="I248" i="35" s="1"/>
  <c r="J248" i="35" s="1"/>
  <c r="K248" i="35" s="1"/>
  <c r="L248" i="35" s="1"/>
  <c r="M248" i="35" s="1"/>
  <c r="N248" i="35" s="1"/>
  <c r="O248" i="35" s="1"/>
  <c r="P248" i="35" s="1"/>
  <c r="Q248" i="35" s="1"/>
  <c r="R248" i="35" s="1"/>
  <c r="S248" i="35" s="1"/>
  <c r="T248" i="35" s="1"/>
  <c r="U248" i="35" s="1"/>
  <c r="V248" i="35" s="1"/>
  <c r="W248" i="35" s="1"/>
  <c r="X248" i="35" s="1"/>
  <c r="Y248" i="35" s="1"/>
  <c r="Z248" i="35" s="1"/>
  <c r="AA248" i="35" s="1"/>
  <c r="AB248" i="35" s="1"/>
  <c r="AC248" i="35" s="1"/>
  <c r="AD248" i="35" s="1"/>
  <c r="AE248" i="35" s="1"/>
  <c r="AF248" i="35" s="1"/>
  <c r="B248" i="35" s="1"/>
  <c r="D248" i="35"/>
  <c r="D247" i="35"/>
  <c r="E247" i="35" s="1"/>
  <c r="F247" i="35" s="1"/>
  <c r="G247" i="35" s="1"/>
  <c r="H247" i="35" s="1"/>
  <c r="I247" i="35" s="1"/>
  <c r="J247" i="35" s="1"/>
  <c r="K247" i="35" s="1"/>
  <c r="L247" i="35" s="1"/>
  <c r="M247" i="35" s="1"/>
  <c r="N247" i="35" s="1"/>
  <c r="O247" i="35" s="1"/>
  <c r="P247" i="35" s="1"/>
  <c r="Q247" i="35" s="1"/>
  <c r="R247" i="35" s="1"/>
  <c r="S247" i="35" s="1"/>
  <c r="T247" i="35" s="1"/>
  <c r="U247" i="35" s="1"/>
  <c r="V247" i="35" s="1"/>
  <c r="W247" i="35" s="1"/>
  <c r="X247" i="35" s="1"/>
  <c r="Y247" i="35" s="1"/>
  <c r="Z247" i="35" s="1"/>
  <c r="AA247" i="35" s="1"/>
  <c r="AB247" i="35" s="1"/>
  <c r="AC247" i="35" s="1"/>
  <c r="AD247" i="35" s="1"/>
  <c r="AE247" i="35" s="1"/>
  <c r="AF247" i="35" s="1"/>
  <c r="B247" i="35" s="1"/>
  <c r="D246" i="35"/>
  <c r="AG244" i="35"/>
  <c r="AF244" i="35"/>
  <c r="AE244" i="35"/>
  <c r="AD244" i="35"/>
  <c r="AC244" i="35"/>
  <c r="AB244" i="35"/>
  <c r="AA244" i="35"/>
  <c r="Z244" i="35"/>
  <c r="Y244" i="35"/>
  <c r="X244" i="35"/>
  <c r="W244" i="35"/>
  <c r="V244" i="35"/>
  <c r="U244" i="35"/>
  <c r="T244" i="35"/>
  <c r="S244" i="35"/>
  <c r="R244" i="35"/>
  <c r="Q244" i="35"/>
  <c r="P244" i="35"/>
  <c r="O244" i="35"/>
  <c r="N244" i="35"/>
  <c r="M244" i="35"/>
  <c r="L244" i="35"/>
  <c r="K244" i="35"/>
  <c r="J244" i="35"/>
  <c r="I244" i="35"/>
  <c r="H244" i="35"/>
  <c r="G244" i="35"/>
  <c r="F244" i="35"/>
  <c r="E244" i="35"/>
  <c r="D244" i="35"/>
  <c r="C244" i="35"/>
  <c r="B244" i="35"/>
  <c r="AI130" i="35"/>
  <c r="AH130" i="35"/>
  <c r="AI129" i="35"/>
  <c r="AH129" i="35"/>
  <c r="AI128" i="35"/>
  <c r="AH128" i="35"/>
  <c r="AI127" i="35"/>
  <c r="AH127" i="35"/>
  <c r="AI126" i="35"/>
  <c r="AH126" i="35"/>
  <c r="AI122" i="35"/>
  <c r="AH122" i="35"/>
  <c r="AI120" i="35"/>
  <c r="AH120" i="35"/>
  <c r="AI119" i="35"/>
  <c r="AH119" i="35"/>
  <c r="C118" i="35"/>
  <c r="AI117" i="35"/>
  <c r="AH117" i="35"/>
  <c r="AI116" i="35"/>
  <c r="AH116" i="35"/>
  <c r="AI115" i="35"/>
  <c r="AH115" i="35"/>
  <c r="AI114" i="35"/>
  <c r="AH114" i="35"/>
  <c r="AI113" i="35"/>
  <c r="AH113" i="35"/>
  <c r="AI112" i="35"/>
  <c r="AH112" i="35"/>
  <c r="AI111" i="35"/>
  <c r="AH111" i="35"/>
  <c r="AI110" i="35"/>
  <c r="AH110" i="35"/>
  <c r="AI109" i="35"/>
  <c r="AH109" i="35"/>
  <c r="AI106" i="35"/>
  <c r="AH106" i="35"/>
  <c r="AF105" i="35"/>
  <c r="AE105" i="35"/>
  <c r="AD105" i="35"/>
  <c r="AC105" i="35"/>
  <c r="AB105" i="35"/>
  <c r="AA105" i="35"/>
  <c r="Z105" i="35"/>
  <c r="Y105" i="35"/>
  <c r="W105" i="35"/>
  <c r="U105" i="35"/>
  <c r="T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F105" i="35"/>
  <c r="E105" i="35"/>
  <c r="D105" i="35"/>
  <c r="C105" i="35"/>
  <c r="B105" i="35"/>
  <c r="AF104" i="35"/>
  <c r="AE104" i="35"/>
  <c r="AD104" i="35"/>
  <c r="AC104" i="35"/>
  <c r="AB104" i="35"/>
  <c r="AA104" i="35"/>
  <c r="Z104" i="35"/>
  <c r="Y104" i="35"/>
  <c r="W104" i="35"/>
  <c r="U104" i="35"/>
  <c r="T104" i="35"/>
  <c r="S104" i="35"/>
  <c r="R104" i="35"/>
  <c r="Q104" i="35"/>
  <c r="P104" i="35"/>
  <c r="O104" i="35"/>
  <c r="N104" i="35"/>
  <c r="M104" i="35"/>
  <c r="L104" i="35"/>
  <c r="K104" i="35"/>
  <c r="J104" i="35"/>
  <c r="I104" i="35"/>
  <c r="H104" i="35"/>
  <c r="G104" i="35"/>
  <c r="F104" i="35"/>
  <c r="E104" i="35"/>
  <c r="D104" i="35"/>
  <c r="C104" i="35"/>
  <c r="B104" i="35"/>
  <c r="AF103" i="35"/>
  <c r="AE103" i="35"/>
  <c r="AD103" i="35"/>
  <c r="AC103" i="35"/>
  <c r="AB103" i="35"/>
  <c r="AA103" i="35"/>
  <c r="Z103" i="35"/>
  <c r="Y103" i="35"/>
  <c r="W103" i="35"/>
  <c r="U103" i="35"/>
  <c r="T103" i="35"/>
  <c r="S103" i="35"/>
  <c r="R103" i="35"/>
  <c r="Q103" i="35"/>
  <c r="P103" i="35"/>
  <c r="O103" i="35"/>
  <c r="N103" i="35"/>
  <c r="M103" i="35"/>
  <c r="L103" i="35"/>
  <c r="K103" i="35"/>
  <c r="J103" i="35"/>
  <c r="I103" i="35"/>
  <c r="H103" i="35"/>
  <c r="G103" i="35"/>
  <c r="F103" i="35"/>
  <c r="E103" i="35"/>
  <c r="D103" i="35"/>
  <c r="C103" i="35"/>
  <c r="B103" i="35"/>
  <c r="AF102" i="35"/>
  <c r="AE102" i="35"/>
  <c r="AD102" i="35"/>
  <c r="AC102" i="35"/>
  <c r="AB102" i="35"/>
  <c r="AA102" i="35"/>
  <c r="Z102" i="35"/>
  <c r="Y102" i="35"/>
  <c r="W102" i="35"/>
  <c r="U102" i="35"/>
  <c r="T102" i="35"/>
  <c r="S102" i="35"/>
  <c r="R102" i="35"/>
  <c r="Q102" i="35"/>
  <c r="P102" i="35"/>
  <c r="O102" i="35"/>
  <c r="N102" i="35"/>
  <c r="M102" i="35"/>
  <c r="L102" i="35"/>
  <c r="K102" i="35"/>
  <c r="J102" i="35"/>
  <c r="I102" i="35"/>
  <c r="H102" i="35"/>
  <c r="G102" i="35"/>
  <c r="F102" i="35"/>
  <c r="E102" i="35"/>
  <c r="D102" i="35"/>
  <c r="C102" i="35"/>
  <c r="B102" i="35"/>
  <c r="AF101" i="35"/>
  <c r="AE101" i="35"/>
  <c r="AD101" i="35"/>
  <c r="AC101" i="35"/>
  <c r="AB101" i="35"/>
  <c r="AA101" i="35"/>
  <c r="Z101" i="35"/>
  <c r="Y101" i="35"/>
  <c r="W101" i="35"/>
  <c r="U101" i="35"/>
  <c r="T101" i="35"/>
  <c r="S101" i="35"/>
  <c r="R101" i="35"/>
  <c r="Q101" i="35"/>
  <c r="P101" i="35"/>
  <c r="O101" i="35"/>
  <c r="N101" i="35"/>
  <c r="M101" i="35"/>
  <c r="L101" i="35"/>
  <c r="K101" i="35"/>
  <c r="J101" i="35"/>
  <c r="I101" i="35"/>
  <c r="H101" i="35"/>
  <c r="G101" i="35"/>
  <c r="F101" i="35"/>
  <c r="E101" i="35"/>
  <c r="D101" i="35"/>
  <c r="C101" i="35"/>
  <c r="B101" i="35"/>
  <c r="AI98" i="35"/>
  <c r="AH98" i="35"/>
  <c r="AI96" i="35"/>
  <c r="AH96" i="35"/>
  <c r="AG96" i="35"/>
  <c r="AI95" i="35"/>
  <c r="AH95" i="35"/>
  <c r="AI94" i="35"/>
  <c r="AH94" i="35"/>
  <c r="AI93" i="35"/>
  <c r="AH93" i="35"/>
  <c r="AG92" i="35"/>
  <c r="AF92" i="35"/>
  <c r="AE5" i="35" s="1"/>
  <c r="AE92" i="35"/>
  <c r="AD5" i="35" s="1"/>
  <c r="AD92" i="35"/>
  <c r="AC5" i="35" s="1"/>
  <c r="AC92" i="35"/>
  <c r="AB5" i="35" s="1"/>
  <c r="AB92" i="35"/>
  <c r="AA5" i="35" s="1"/>
  <c r="AA92" i="35"/>
  <c r="Z5" i="35" s="1"/>
  <c r="Z92" i="35"/>
  <c r="Y5" i="35" s="1"/>
  <c r="Y92" i="35"/>
  <c r="W92" i="35"/>
  <c r="V5" i="35" s="1"/>
  <c r="U92" i="35"/>
  <c r="T92" i="35"/>
  <c r="S5" i="35" s="1"/>
  <c r="S92" i="35"/>
  <c r="R5" i="35" s="1"/>
  <c r="R92" i="35"/>
  <c r="Q5" i="35" s="1"/>
  <c r="Q92" i="35"/>
  <c r="P5" i="35" s="1"/>
  <c r="P92" i="35"/>
  <c r="O5" i="35" s="1"/>
  <c r="O92" i="35"/>
  <c r="N5" i="35" s="1"/>
  <c r="N92" i="35"/>
  <c r="M92" i="35"/>
  <c r="L5" i="35" s="1"/>
  <c r="L92" i="35"/>
  <c r="K5" i="35" s="1"/>
  <c r="K92" i="35"/>
  <c r="J5" i="35" s="1"/>
  <c r="J92" i="35"/>
  <c r="I5" i="35" s="1"/>
  <c r="I92" i="35"/>
  <c r="H5" i="35" s="1"/>
  <c r="H92" i="35"/>
  <c r="G5" i="35" s="1"/>
  <c r="G92" i="35"/>
  <c r="F5" i="35" s="1"/>
  <c r="F92" i="35"/>
  <c r="E92" i="35"/>
  <c r="D92" i="35"/>
  <c r="C5" i="35" s="1"/>
  <c r="C92" i="35"/>
  <c r="B5" i="35" s="1"/>
  <c r="B92" i="35"/>
  <c r="AF5" i="35" s="1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I83" i="35"/>
  <c r="AH83" i="35"/>
  <c r="AI82" i="35"/>
  <c r="AH82" i="35"/>
  <c r="AI81" i="35"/>
  <c r="AH81" i="35"/>
  <c r="AG80" i="35"/>
  <c r="AG4" i="35" s="1"/>
  <c r="AF80" i="35"/>
  <c r="AE80" i="35"/>
  <c r="AD80" i="35"/>
  <c r="AC80" i="35"/>
  <c r="AB80" i="35"/>
  <c r="AA80" i="35"/>
  <c r="Y80" i="35"/>
  <c r="W80" i="35"/>
  <c r="U80" i="35"/>
  <c r="S80" i="35"/>
  <c r="R80" i="35"/>
  <c r="Q80" i="35"/>
  <c r="P80" i="35"/>
  <c r="O80" i="35"/>
  <c r="N80" i="35"/>
  <c r="M80" i="35"/>
  <c r="L80" i="35"/>
  <c r="K80" i="35"/>
  <c r="J80" i="35"/>
  <c r="I80" i="35"/>
  <c r="H80" i="35"/>
  <c r="G80" i="35"/>
  <c r="F80" i="35"/>
  <c r="E80" i="35"/>
  <c r="D80" i="35"/>
  <c r="C80" i="35"/>
  <c r="B80" i="35"/>
  <c r="AI79" i="35"/>
  <c r="AH79" i="35"/>
  <c r="AI78" i="35"/>
  <c r="AH78" i="35"/>
  <c r="AI77" i="35"/>
  <c r="AH77" i="35"/>
  <c r="AF76" i="35"/>
  <c r="AE76" i="35"/>
  <c r="AD76" i="35"/>
  <c r="AC76" i="35"/>
  <c r="AB76" i="35"/>
  <c r="AA76" i="35"/>
  <c r="Y76" i="35"/>
  <c r="W76" i="35"/>
  <c r="U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AI75" i="35"/>
  <c r="AH75" i="35"/>
  <c r="AG75" i="35"/>
  <c r="AG76" i="35" s="1"/>
  <c r="AG3" i="35" s="1"/>
  <c r="AI74" i="35"/>
  <c r="AH74" i="35"/>
  <c r="AI73" i="35"/>
  <c r="AH73" i="35"/>
  <c r="AI72" i="35"/>
  <c r="AH72" i="35"/>
  <c r="AI71" i="35"/>
  <c r="AH71" i="35"/>
  <c r="AI70" i="35"/>
  <c r="AH70" i="35"/>
  <c r="AI69" i="35"/>
  <c r="AH69" i="35"/>
  <c r="AI68" i="35"/>
  <c r="AH68" i="35"/>
  <c r="AI67" i="35"/>
  <c r="AH67" i="35"/>
  <c r="AI66" i="35"/>
  <c r="AH66" i="35"/>
  <c r="AI65" i="35"/>
  <c r="AH65" i="35"/>
  <c r="AI64" i="35"/>
  <c r="AH64" i="35"/>
  <c r="AI63" i="35"/>
  <c r="AH63" i="35"/>
  <c r="AG62" i="35"/>
  <c r="AF62" i="35"/>
  <c r="AE62" i="35"/>
  <c r="AD62" i="35"/>
  <c r="AC62" i="35"/>
  <c r="AB62" i="35"/>
  <c r="AA62" i="35"/>
  <c r="Y62" i="35"/>
  <c r="W62" i="35"/>
  <c r="U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AI61" i="35"/>
  <c r="AH61" i="35"/>
  <c r="AI60" i="35"/>
  <c r="AH60" i="35"/>
  <c r="AI59" i="35"/>
  <c r="AH59" i="35"/>
  <c r="AG58" i="35"/>
  <c r="AG2" i="35" s="1"/>
  <c r="AF58" i="35"/>
  <c r="AE58" i="35"/>
  <c r="AD58" i="35"/>
  <c r="AC58" i="35"/>
  <c r="AB58" i="35"/>
  <c r="AA58" i="35"/>
  <c r="Y58" i="35"/>
  <c r="W58" i="35"/>
  <c r="U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AI57" i="35"/>
  <c r="AH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X5" i="35"/>
  <c r="W5" i="35"/>
  <c r="U5" i="35"/>
  <c r="T5" i="35"/>
  <c r="M5" i="35"/>
  <c r="K4" i="35"/>
  <c r="E4" i="35"/>
  <c r="H4" i="35" s="1"/>
  <c r="B4" i="35"/>
  <c r="S258" i="35" s="1"/>
  <c r="AF123" i="34"/>
  <c r="AE123" i="34"/>
  <c r="AD123" i="34"/>
  <c r="AC123" i="34"/>
  <c r="AB123" i="34"/>
  <c r="AA123" i="34"/>
  <c r="Z123" i="34"/>
  <c r="Y62" i="34"/>
  <c r="Z62" i="34"/>
  <c r="AA62" i="34"/>
  <c r="Y123" i="34"/>
  <c r="W123" i="34"/>
  <c r="V123" i="34"/>
  <c r="U123" i="34"/>
  <c r="U76" i="34"/>
  <c r="V76" i="34"/>
  <c r="U58" i="34"/>
  <c r="T123" i="34"/>
  <c r="I118" i="36" l="1"/>
  <c r="I252" i="36"/>
  <c r="J246" i="36"/>
  <c r="H282" i="36"/>
  <c r="J251" i="36"/>
  <c r="Y107" i="35"/>
  <c r="P107" i="35"/>
  <c r="D252" i="35"/>
  <c r="Q107" i="35"/>
  <c r="AA107" i="35"/>
  <c r="Z107" i="35"/>
  <c r="Z108" i="35" s="1"/>
  <c r="AF107" i="35"/>
  <c r="AF108" i="35" s="1"/>
  <c r="AF97" i="35"/>
  <c r="AF99" i="35" s="1"/>
  <c r="AX261" i="35" s="1"/>
  <c r="Y97" i="35"/>
  <c r="Y99" i="35" s="1"/>
  <c r="AQ261" i="35" s="1"/>
  <c r="AH80" i="35"/>
  <c r="S107" i="35"/>
  <c r="R107" i="35"/>
  <c r="R108" i="35" s="1"/>
  <c r="Q97" i="35"/>
  <c r="Q99" i="35" s="1"/>
  <c r="P97" i="35"/>
  <c r="P99" i="35" s="1"/>
  <c r="S97" i="35"/>
  <c r="S99" i="35" s="1"/>
  <c r="S100" i="35" s="1"/>
  <c r="S7" i="35" s="1"/>
  <c r="AA97" i="35"/>
  <c r="AA99" i="35" s="1"/>
  <c r="AA100" i="35" s="1"/>
  <c r="AA7" i="35" s="1"/>
  <c r="AI121" i="35"/>
  <c r="T97" i="35"/>
  <c r="T99" i="35" s="1"/>
  <c r="AL261" i="35" s="1"/>
  <c r="AB97" i="35"/>
  <c r="AB99" i="35" s="1"/>
  <c r="AT261" i="35" s="1"/>
  <c r="L107" i="35"/>
  <c r="T107" i="35"/>
  <c r="T108" i="35" s="1"/>
  <c r="AB107" i="35"/>
  <c r="AB108" i="35" s="1"/>
  <c r="AH123" i="35"/>
  <c r="U97" i="35"/>
  <c r="U99" i="35" s="1"/>
  <c r="AM261" i="35" s="1"/>
  <c r="AC97" i="35"/>
  <c r="AC99" i="35" s="1"/>
  <c r="AU261" i="35" s="1"/>
  <c r="M107" i="35"/>
  <c r="M108" i="35" s="1"/>
  <c r="U107" i="35"/>
  <c r="AC107" i="35"/>
  <c r="AC108" i="35" s="1"/>
  <c r="O107" i="35"/>
  <c r="O108" i="35" s="1"/>
  <c r="W107" i="35"/>
  <c r="W108" i="35" s="1"/>
  <c r="AE107" i="35"/>
  <c r="AD107" i="35"/>
  <c r="AD108" i="35" s="1"/>
  <c r="N97" i="35"/>
  <c r="N99" i="35" s="1"/>
  <c r="AF261" i="35" s="1"/>
  <c r="AD97" i="35"/>
  <c r="AD99" i="35" s="1"/>
  <c r="AV261" i="35" s="1"/>
  <c r="AG99" i="35"/>
  <c r="N107" i="35"/>
  <c r="N108" i="35" s="1"/>
  <c r="O97" i="35"/>
  <c r="O99" i="35" s="1"/>
  <c r="AG261" i="35" s="1"/>
  <c r="W97" i="35"/>
  <c r="W99" i="35" s="1"/>
  <c r="W100" i="35" s="1"/>
  <c r="W7" i="35" s="1"/>
  <c r="AE97" i="35"/>
  <c r="AE99" i="35" s="1"/>
  <c r="AW261" i="35" s="1"/>
  <c r="AH102" i="35"/>
  <c r="J107" i="35"/>
  <c r="J108" i="35" s="1"/>
  <c r="K107" i="35"/>
  <c r="K108" i="35" s="1"/>
  <c r="D282" i="35"/>
  <c r="AH121" i="35"/>
  <c r="AI103" i="35"/>
  <c r="AG6" i="35"/>
  <c r="AH101" i="35"/>
  <c r="Q108" i="35"/>
  <c r="Y108" i="35"/>
  <c r="AI102" i="35"/>
  <c r="R97" i="35"/>
  <c r="R99" i="35" s="1"/>
  <c r="AJ261" i="35" s="1"/>
  <c r="Z97" i="35"/>
  <c r="Z99" i="35" s="1"/>
  <c r="AR261" i="35" s="1"/>
  <c r="AI80" i="35"/>
  <c r="AI101" i="35"/>
  <c r="AI123" i="35"/>
  <c r="M97" i="35"/>
  <c r="M99" i="35" s="1"/>
  <c r="AE261" i="35" s="1"/>
  <c r="L97" i="35"/>
  <c r="L99" i="35" s="1"/>
  <c r="AD261" i="35" s="1"/>
  <c r="K97" i="35"/>
  <c r="K99" i="35" s="1"/>
  <c r="K100" i="35" s="1"/>
  <c r="K7" i="35" s="1"/>
  <c r="J97" i="35"/>
  <c r="J99" i="35" s="1"/>
  <c r="AB261" i="35" s="1"/>
  <c r="I97" i="35"/>
  <c r="I99" i="35" s="1"/>
  <c r="AA261" i="35" s="1"/>
  <c r="H107" i="35"/>
  <c r="H97" i="35"/>
  <c r="H99" i="35" s="1"/>
  <c r="Z261" i="35" s="1"/>
  <c r="G107" i="35"/>
  <c r="G97" i="35"/>
  <c r="G99" i="35" s="1"/>
  <c r="G100" i="35" s="1"/>
  <c r="G7" i="35" s="1"/>
  <c r="F107" i="35"/>
  <c r="F108" i="35"/>
  <c r="E5" i="35"/>
  <c r="F97" i="35"/>
  <c r="F99" i="35" s="1"/>
  <c r="X261" i="35" s="1"/>
  <c r="AI105" i="35"/>
  <c r="E107" i="35"/>
  <c r="E108" i="35" s="1"/>
  <c r="D5" i="35"/>
  <c r="AH76" i="35"/>
  <c r="AI62" i="35"/>
  <c r="E97" i="35"/>
  <c r="E99" i="35" s="1"/>
  <c r="E100" i="35" s="1"/>
  <c r="E7" i="35" s="1"/>
  <c r="D107" i="35"/>
  <c r="D108" i="35" s="1"/>
  <c r="D97" i="35"/>
  <c r="D99" i="35" s="1"/>
  <c r="V261" i="35" s="1"/>
  <c r="AI104" i="35"/>
  <c r="C107" i="35"/>
  <c r="C97" i="35"/>
  <c r="C99" i="35" s="1"/>
  <c r="U261" i="35" s="1"/>
  <c r="AH92" i="35"/>
  <c r="AI76" i="35"/>
  <c r="B107" i="35"/>
  <c r="B108" i="35" s="1"/>
  <c r="AP261" i="35"/>
  <c r="X7" i="35"/>
  <c r="AH261" i="35"/>
  <c r="P100" i="35"/>
  <c r="P7" i="35" s="1"/>
  <c r="G108" i="35"/>
  <c r="AE108" i="35"/>
  <c r="P108" i="35"/>
  <c r="AC261" i="35"/>
  <c r="AN261" i="35"/>
  <c r="V7" i="35"/>
  <c r="AI92" i="35"/>
  <c r="D118" i="35"/>
  <c r="D258" i="35"/>
  <c r="AG97" i="35"/>
  <c r="I107" i="35"/>
  <c r="I108" i="35" s="1"/>
  <c r="E246" i="35"/>
  <c r="G251" i="35"/>
  <c r="AH58" i="35"/>
  <c r="AH62" i="35"/>
  <c r="B97" i="35"/>
  <c r="AH103" i="35"/>
  <c r="C108" i="35"/>
  <c r="S108" i="35"/>
  <c r="AA108" i="35"/>
  <c r="AI58" i="35"/>
  <c r="AH104" i="35"/>
  <c r="L108" i="35"/>
  <c r="AH105" i="35"/>
  <c r="K251" i="36" l="1"/>
  <c r="I282" i="36"/>
  <c r="J118" i="36"/>
  <c r="J252" i="36"/>
  <c r="K246" i="36"/>
  <c r="AF100" i="35"/>
  <c r="AF7" i="35" s="1"/>
  <c r="AE100" i="35"/>
  <c r="AE7" i="35" s="1"/>
  <c r="Z100" i="35"/>
  <c r="Z7" i="35" s="1"/>
  <c r="AD100" i="35"/>
  <c r="AD7" i="35" s="1"/>
  <c r="Q100" i="35"/>
  <c r="Q7" i="35" s="1"/>
  <c r="Y100" i="35"/>
  <c r="Y7" i="35" s="1"/>
  <c r="D100" i="35"/>
  <c r="D7" i="35" s="1"/>
  <c r="AS261" i="35"/>
  <c r="AI261" i="35"/>
  <c r="H100" i="35"/>
  <c r="H7" i="35" s="1"/>
  <c r="L100" i="35"/>
  <c r="L7" i="35" s="1"/>
  <c r="C100" i="35"/>
  <c r="C7" i="35" s="1"/>
  <c r="AO261" i="35"/>
  <c r="U100" i="35"/>
  <c r="U7" i="35" s="1"/>
  <c r="T100" i="35"/>
  <c r="T7" i="35" s="1"/>
  <c r="AK261" i="35"/>
  <c r="R100" i="35"/>
  <c r="R7" i="35" s="1"/>
  <c r="O100" i="35"/>
  <c r="O7" i="35" s="1"/>
  <c r="J100" i="35"/>
  <c r="J7" i="35" s="1"/>
  <c r="H108" i="35"/>
  <c r="U108" i="35"/>
  <c r="AI108" i="35" s="1"/>
  <c r="N100" i="35"/>
  <c r="N7" i="35" s="1"/>
  <c r="AC100" i="35"/>
  <c r="AC7" i="35" s="1"/>
  <c r="AB100" i="35"/>
  <c r="AB7" i="35" s="1"/>
  <c r="B256" i="35"/>
  <c r="M100" i="35"/>
  <c r="M7" i="35" s="1"/>
  <c r="AH107" i="35"/>
  <c r="C256" i="35"/>
  <c r="Y261" i="35"/>
  <c r="F100" i="35"/>
  <c r="F7" i="35" s="1"/>
  <c r="AI107" i="35"/>
  <c r="W261" i="35"/>
  <c r="F246" i="35"/>
  <c r="E118" i="35"/>
  <c r="E252" i="35"/>
  <c r="I100" i="35"/>
  <c r="I7" i="35" s="1"/>
  <c r="AI97" i="35"/>
  <c r="AH97" i="35"/>
  <c r="B99" i="35"/>
  <c r="F282" i="35"/>
  <c r="H251" i="35"/>
  <c r="K118" i="36" l="1"/>
  <c r="K252" i="36"/>
  <c r="L246" i="36"/>
  <c r="J282" i="36"/>
  <c r="L251" i="36"/>
  <c r="AH108" i="35"/>
  <c r="K6" i="35"/>
  <c r="G282" i="35"/>
  <c r="I251" i="35"/>
  <c r="T261" i="35"/>
  <c r="AI99" i="35"/>
  <c r="AH99" i="35"/>
  <c r="B100" i="35"/>
  <c r="G246" i="35"/>
  <c r="F118" i="35"/>
  <c r="F252" i="35"/>
  <c r="K282" i="36" l="1"/>
  <c r="M251" i="36"/>
  <c r="L252" i="36"/>
  <c r="M246" i="36"/>
  <c r="L118" i="36"/>
  <c r="AI100" i="35"/>
  <c r="AH100" i="35"/>
  <c r="B7" i="35"/>
  <c r="A7" i="35" s="1"/>
  <c r="H246" i="35"/>
  <c r="G252" i="35"/>
  <c r="G118" i="35"/>
  <c r="H282" i="35"/>
  <c r="J251" i="35"/>
  <c r="N246" i="36" l="1"/>
  <c r="M118" i="36"/>
  <c r="M252" i="36"/>
  <c r="N251" i="36"/>
  <c r="L282" i="36"/>
  <c r="I246" i="35"/>
  <c r="H118" i="35"/>
  <c r="H252" i="35"/>
  <c r="K251" i="35"/>
  <c r="I282" i="35"/>
  <c r="M282" i="36" l="1"/>
  <c r="O251" i="36"/>
  <c r="O246" i="36"/>
  <c r="N118" i="36"/>
  <c r="N252" i="36"/>
  <c r="J282" i="35"/>
  <c r="L251" i="35"/>
  <c r="I118" i="35"/>
  <c r="I252" i="35"/>
  <c r="J246" i="35"/>
  <c r="P246" i="36" l="1"/>
  <c r="O252" i="36"/>
  <c r="O118" i="36"/>
  <c r="N282" i="36"/>
  <c r="P251" i="36"/>
  <c r="J118" i="35"/>
  <c r="J252" i="35"/>
  <c r="K246" i="35"/>
  <c r="K282" i="35"/>
  <c r="M251" i="35"/>
  <c r="O282" i="36" l="1"/>
  <c r="Q251" i="36"/>
  <c r="Q246" i="36"/>
  <c r="P252" i="36"/>
  <c r="K118" i="35"/>
  <c r="K252" i="35"/>
  <c r="L246" i="35"/>
  <c r="N251" i="35"/>
  <c r="L282" i="35"/>
  <c r="Q252" i="36" l="1"/>
  <c r="R246" i="36"/>
  <c r="P282" i="36"/>
  <c r="R251" i="36"/>
  <c r="L252" i="35"/>
  <c r="M246" i="35"/>
  <c r="L118" i="35"/>
  <c r="M282" i="35"/>
  <c r="O251" i="35"/>
  <c r="R252" i="36" l="1"/>
  <c r="R118" i="36"/>
  <c r="S246" i="36"/>
  <c r="S251" i="36"/>
  <c r="Q282" i="36"/>
  <c r="N282" i="35"/>
  <c r="P251" i="35"/>
  <c r="N246" i="35"/>
  <c r="M118" i="35"/>
  <c r="M252" i="35"/>
  <c r="R282" i="36" l="1"/>
  <c r="T251" i="36"/>
  <c r="T246" i="36"/>
  <c r="S252" i="36"/>
  <c r="O246" i="35"/>
  <c r="N118" i="35"/>
  <c r="N252" i="35"/>
  <c r="O282" i="35"/>
  <c r="Q251" i="35"/>
  <c r="T252" i="36" l="1"/>
  <c r="U246" i="36"/>
  <c r="S282" i="36"/>
  <c r="U251" i="36"/>
  <c r="P282" i="35"/>
  <c r="R251" i="35"/>
  <c r="P246" i="35"/>
  <c r="O252" i="35"/>
  <c r="O118" i="35"/>
  <c r="T282" i="36" l="1"/>
  <c r="V251" i="36"/>
  <c r="V246" i="36"/>
  <c r="U252" i="36"/>
  <c r="Q246" i="35"/>
  <c r="P252" i="35"/>
  <c r="S251" i="35"/>
  <c r="Q282" i="35"/>
  <c r="W246" i="36" l="1"/>
  <c r="V252" i="36"/>
  <c r="U282" i="36"/>
  <c r="W251" i="36"/>
  <c r="R282" i="35"/>
  <c r="T251" i="35"/>
  <c r="Q252" i="35"/>
  <c r="Q118" i="35"/>
  <c r="R246" i="35"/>
  <c r="V282" i="36" l="1"/>
  <c r="X251" i="36"/>
  <c r="W252" i="36"/>
  <c r="X246" i="36"/>
  <c r="S282" i="35"/>
  <c r="U251" i="35"/>
  <c r="R252" i="35"/>
  <c r="R118" i="35"/>
  <c r="S246" i="35"/>
  <c r="Y246" i="36" l="1"/>
  <c r="X252" i="36"/>
  <c r="W282" i="36"/>
  <c r="Y251" i="36"/>
  <c r="V251" i="35"/>
  <c r="T282" i="35"/>
  <c r="S252" i="35"/>
  <c r="S118" i="35"/>
  <c r="T246" i="35"/>
  <c r="X282" i="36" l="1"/>
  <c r="Z251" i="36"/>
  <c r="Y252" i="36"/>
  <c r="Z246" i="36"/>
  <c r="T252" i="35"/>
  <c r="T118" i="35"/>
  <c r="U246" i="35"/>
  <c r="U282" i="35"/>
  <c r="W251" i="35"/>
  <c r="Z252" i="36" l="1"/>
  <c r="AA246" i="36"/>
  <c r="AA251" i="36"/>
  <c r="Y282" i="36"/>
  <c r="V282" i="35"/>
  <c r="X251" i="35"/>
  <c r="V246" i="35"/>
  <c r="V118" i="35" s="1"/>
  <c r="U252" i="35"/>
  <c r="U118" i="35"/>
  <c r="Z282" i="36" l="1"/>
  <c r="AB251" i="36"/>
  <c r="AA252" i="36"/>
  <c r="AB246" i="36"/>
  <c r="W282" i="35"/>
  <c r="Y251" i="35"/>
  <c r="W246" i="35"/>
  <c r="V252" i="35"/>
  <c r="AB252" i="36" l="1"/>
  <c r="AB118" i="36"/>
  <c r="AC246" i="36"/>
  <c r="AA282" i="36"/>
  <c r="AC251" i="36"/>
  <c r="X282" i="35"/>
  <c r="Z251" i="35"/>
  <c r="X246" i="35"/>
  <c r="W118" i="35"/>
  <c r="W252" i="35"/>
  <c r="AD246" i="36" l="1"/>
  <c r="AC252" i="36"/>
  <c r="AC118" i="36"/>
  <c r="AD251" i="36"/>
  <c r="AB282" i="36"/>
  <c r="AA251" i="35"/>
  <c r="Y282" i="35"/>
  <c r="Y246" i="35"/>
  <c r="X252" i="35"/>
  <c r="X118" i="35"/>
  <c r="AC282" i="36" l="1"/>
  <c r="AE251" i="36"/>
  <c r="AE246" i="36"/>
  <c r="AD252" i="36"/>
  <c r="Y252" i="35"/>
  <c r="Y118" i="35"/>
  <c r="Z246" i="35"/>
  <c r="Z282" i="35"/>
  <c r="AB251" i="35"/>
  <c r="AF246" i="36" l="1"/>
  <c r="AE252" i="36"/>
  <c r="AE118" i="36"/>
  <c r="AD282" i="36"/>
  <c r="AF251" i="36"/>
  <c r="AA282" i="35"/>
  <c r="AC251" i="35"/>
  <c r="Z252" i="35"/>
  <c r="Z118" i="35"/>
  <c r="AA246" i="35"/>
  <c r="B251" i="36" l="1"/>
  <c r="AF282" i="36" s="1"/>
  <c r="AE282" i="36"/>
  <c r="AF118" i="36"/>
  <c r="AF252" i="36"/>
  <c r="B246" i="36"/>
  <c r="AA252" i="35"/>
  <c r="AA118" i="35"/>
  <c r="AB246" i="35"/>
  <c r="AB282" i="35"/>
  <c r="AD251" i="35"/>
  <c r="B118" i="36" l="1"/>
  <c r="B252" i="36"/>
  <c r="AC282" i="35"/>
  <c r="AE251" i="35"/>
  <c r="AB252" i="35"/>
  <c r="AB118" i="35"/>
  <c r="AC246" i="35"/>
  <c r="AI118" i="36" l="1"/>
  <c r="AH118" i="36"/>
  <c r="AD246" i="35"/>
  <c r="AC252" i="35"/>
  <c r="AC118" i="35"/>
  <c r="AD282" i="35"/>
  <c r="AF251" i="35"/>
  <c r="B251" i="35" l="1"/>
  <c r="AF282" i="35" s="1"/>
  <c r="AE282" i="35"/>
  <c r="AE246" i="35"/>
  <c r="AD252" i="35"/>
  <c r="AF246" i="35" l="1"/>
  <c r="AE252" i="35"/>
  <c r="AE118" i="35"/>
  <c r="AF118" i="35" l="1"/>
  <c r="AF252" i="35"/>
  <c r="B246" i="35"/>
  <c r="B118" i="35" l="1"/>
  <c r="B252" i="35"/>
  <c r="AI118" i="35" l="1"/>
  <c r="AH118" i="35"/>
  <c r="S58" i="34" l="1"/>
  <c r="S62" i="34"/>
  <c r="S76" i="34"/>
  <c r="S80" i="34"/>
  <c r="L123" i="34" l="1"/>
  <c r="K123" i="34"/>
  <c r="K121" i="34"/>
  <c r="K57" i="34"/>
  <c r="J123" i="34"/>
  <c r="J121" i="34"/>
  <c r="I123" i="34"/>
  <c r="I121" i="34"/>
  <c r="H123" i="34"/>
  <c r="H121" i="34"/>
  <c r="G123" i="34"/>
  <c r="G121" i="34"/>
  <c r="F123" i="34"/>
  <c r="AH123" i="34" s="1"/>
  <c r="F121" i="34"/>
  <c r="E123" i="34"/>
  <c r="E121" i="34"/>
  <c r="E57" i="34"/>
  <c r="C57" i="34"/>
  <c r="D57" i="34"/>
  <c r="C58" i="34"/>
  <c r="D58" i="34"/>
  <c r="C62" i="34"/>
  <c r="D62" i="34"/>
  <c r="C76" i="34"/>
  <c r="D76" i="34"/>
  <c r="C80" i="34"/>
  <c r="D80" i="34"/>
  <c r="C92" i="34"/>
  <c r="B5" i="34" s="1"/>
  <c r="D92" i="34"/>
  <c r="C5" i="34" s="1"/>
  <c r="C101" i="34"/>
  <c r="D101" i="34"/>
  <c r="C102" i="34"/>
  <c r="D102" i="34"/>
  <c r="C103" i="34"/>
  <c r="D103" i="34"/>
  <c r="C104" i="34"/>
  <c r="D104" i="34"/>
  <c r="C105" i="34"/>
  <c r="D105" i="34"/>
  <c r="C118" i="34"/>
  <c r="B105" i="34"/>
  <c r="B104" i="34"/>
  <c r="B103" i="34"/>
  <c r="B102" i="34"/>
  <c r="B101" i="34"/>
  <c r="B92" i="34"/>
  <c r="B80" i="34"/>
  <c r="B76" i="34"/>
  <c r="B62" i="34"/>
  <c r="B58" i="34"/>
  <c r="B57" i="34"/>
  <c r="AF286" i="34"/>
  <c r="AE286" i="34"/>
  <c r="AD286" i="34"/>
  <c r="AC286" i="34"/>
  <c r="AB286" i="34"/>
  <c r="AA286" i="34"/>
  <c r="Z286" i="34"/>
  <c r="Y286" i="34"/>
  <c r="X286" i="34"/>
  <c r="W286" i="34"/>
  <c r="V286" i="34"/>
  <c r="U286" i="34"/>
  <c r="T286" i="34"/>
  <c r="S286" i="34"/>
  <c r="R286" i="34"/>
  <c r="Q286" i="34"/>
  <c r="P286" i="34"/>
  <c r="O286" i="34"/>
  <c r="N286" i="34"/>
  <c r="M286" i="34"/>
  <c r="L286" i="34"/>
  <c r="K286" i="34"/>
  <c r="J286" i="34"/>
  <c r="I286" i="34"/>
  <c r="H286" i="34"/>
  <c r="G286" i="34"/>
  <c r="F286" i="34"/>
  <c r="E286" i="34"/>
  <c r="D286" i="34"/>
  <c r="C286" i="34"/>
  <c r="B286" i="34"/>
  <c r="A286" i="34"/>
  <c r="AF285" i="34"/>
  <c r="AE285" i="34"/>
  <c r="AD285" i="34"/>
  <c r="AC285" i="34"/>
  <c r="AB285" i="34"/>
  <c r="AA285" i="34"/>
  <c r="Z285" i="34"/>
  <c r="Y285" i="34"/>
  <c r="X285" i="34"/>
  <c r="W285" i="34"/>
  <c r="V285" i="34"/>
  <c r="U285" i="34"/>
  <c r="T285" i="34"/>
  <c r="S285" i="34"/>
  <c r="R285" i="34"/>
  <c r="Q285" i="34"/>
  <c r="P285" i="34"/>
  <c r="O285" i="34"/>
  <c r="N285" i="34"/>
  <c r="M285" i="34"/>
  <c r="L285" i="34"/>
  <c r="K285" i="34"/>
  <c r="J285" i="34"/>
  <c r="I285" i="34"/>
  <c r="H285" i="34"/>
  <c r="G285" i="34"/>
  <c r="F285" i="34"/>
  <c r="E285" i="34"/>
  <c r="D285" i="34"/>
  <c r="C285" i="34"/>
  <c r="B285" i="34"/>
  <c r="A285" i="34"/>
  <c r="AF284" i="34"/>
  <c r="AE284" i="34"/>
  <c r="AD284" i="34"/>
  <c r="AC284" i="34"/>
  <c r="AB284" i="34"/>
  <c r="AA284" i="34"/>
  <c r="Z284" i="34"/>
  <c r="Y284" i="34"/>
  <c r="X284" i="34"/>
  <c r="W284" i="34"/>
  <c r="V284" i="34"/>
  <c r="U284" i="34"/>
  <c r="T284" i="34"/>
  <c r="S284" i="34"/>
  <c r="R284" i="34"/>
  <c r="Q284" i="34"/>
  <c r="P284" i="34"/>
  <c r="O284" i="34"/>
  <c r="N284" i="34"/>
  <c r="M284" i="34"/>
  <c r="L284" i="34"/>
  <c r="K284" i="34"/>
  <c r="J284" i="34"/>
  <c r="I284" i="34"/>
  <c r="H284" i="34"/>
  <c r="G284" i="34"/>
  <c r="F284" i="34"/>
  <c r="E284" i="34"/>
  <c r="D284" i="34"/>
  <c r="C284" i="34"/>
  <c r="B284" i="34"/>
  <c r="A284" i="34"/>
  <c r="AF283" i="34"/>
  <c r="AE283" i="34"/>
  <c r="AD283" i="34"/>
  <c r="AC283" i="34"/>
  <c r="AB283" i="34"/>
  <c r="AA283" i="34"/>
  <c r="Z283" i="34"/>
  <c r="Y283" i="34"/>
  <c r="X283" i="34"/>
  <c r="W283" i="34"/>
  <c r="V283" i="34"/>
  <c r="U283" i="34"/>
  <c r="T283" i="34"/>
  <c r="S283" i="34"/>
  <c r="R283" i="34"/>
  <c r="Q283" i="34"/>
  <c r="P283" i="34"/>
  <c r="O283" i="34"/>
  <c r="N283" i="34"/>
  <c r="M283" i="34"/>
  <c r="L283" i="34"/>
  <c r="K283" i="34"/>
  <c r="J283" i="34"/>
  <c r="I283" i="34"/>
  <c r="H283" i="34"/>
  <c r="G283" i="34"/>
  <c r="F283" i="34"/>
  <c r="E283" i="34"/>
  <c r="D283" i="34"/>
  <c r="C283" i="34"/>
  <c r="B283" i="34"/>
  <c r="A283" i="34"/>
  <c r="B282" i="34"/>
  <c r="S257" i="34"/>
  <c r="AG252" i="34"/>
  <c r="C252" i="34"/>
  <c r="D251" i="34"/>
  <c r="C282" i="34" s="1"/>
  <c r="D250" i="34"/>
  <c r="E250" i="34" s="1"/>
  <c r="F250" i="34" s="1"/>
  <c r="G250" i="34" s="1"/>
  <c r="H250" i="34" s="1"/>
  <c r="I250" i="34" s="1"/>
  <c r="J250" i="34" s="1"/>
  <c r="K250" i="34" s="1"/>
  <c r="L250" i="34" s="1"/>
  <c r="M250" i="34" s="1"/>
  <c r="N250" i="34" s="1"/>
  <c r="O250" i="34" s="1"/>
  <c r="P250" i="34" s="1"/>
  <c r="Q250" i="34" s="1"/>
  <c r="R250" i="34" s="1"/>
  <c r="S250" i="34" s="1"/>
  <c r="T250" i="34" s="1"/>
  <c r="U250" i="34" s="1"/>
  <c r="V250" i="34" s="1"/>
  <c r="W250" i="34" s="1"/>
  <c r="X250" i="34" s="1"/>
  <c r="Y250" i="34" s="1"/>
  <c r="Z250" i="34" s="1"/>
  <c r="AA250" i="34" s="1"/>
  <c r="AB250" i="34" s="1"/>
  <c r="AC250" i="34" s="1"/>
  <c r="AD250" i="34" s="1"/>
  <c r="AE250" i="34" s="1"/>
  <c r="AF250" i="34" s="1"/>
  <c r="B250" i="34" s="1"/>
  <c r="D249" i="34"/>
  <c r="E249" i="34" s="1"/>
  <c r="F249" i="34" s="1"/>
  <c r="G249" i="34" s="1"/>
  <c r="H249" i="34" s="1"/>
  <c r="I249" i="34" s="1"/>
  <c r="J249" i="34" s="1"/>
  <c r="K249" i="34" s="1"/>
  <c r="L249" i="34" s="1"/>
  <c r="M249" i="34" s="1"/>
  <c r="N249" i="34" s="1"/>
  <c r="O249" i="34" s="1"/>
  <c r="P249" i="34" s="1"/>
  <c r="Q249" i="34" s="1"/>
  <c r="R249" i="34" s="1"/>
  <c r="S249" i="34" s="1"/>
  <c r="T249" i="34" s="1"/>
  <c r="U249" i="34" s="1"/>
  <c r="V249" i="34" s="1"/>
  <c r="W249" i="34" s="1"/>
  <c r="X249" i="34" s="1"/>
  <c r="Y249" i="34" s="1"/>
  <c r="Z249" i="34" s="1"/>
  <c r="AA249" i="34" s="1"/>
  <c r="AB249" i="34" s="1"/>
  <c r="AC249" i="34" s="1"/>
  <c r="AD249" i="34" s="1"/>
  <c r="AE249" i="34" s="1"/>
  <c r="AF249" i="34" s="1"/>
  <c r="B249" i="34" s="1"/>
  <c r="D248" i="34"/>
  <c r="E248" i="34" s="1"/>
  <c r="F248" i="34" s="1"/>
  <c r="G248" i="34" s="1"/>
  <c r="H248" i="34" s="1"/>
  <c r="I248" i="34" s="1"/>
  <c r="J248" i="34" s="1"/>
  <c r="K248" i="34" s="1"/>
  <c r="L248" i="34" s="1"/>
  <c r="M248" i="34" s="1"/>
  <c r="N248" i="34" s="1"/>
  <c r="O248" i="34" s="1"/>
  <c r="P248" i="34" s="1"/>
  <c r="Q248" i="34" s="1"/>
  <c r="R248" i="34" s="1"/>
  <c r="S248" i="34" s="1"/>
  <c r="T248" i="34" s="1"/>
  <c r="U248" i="34" s="1"/>
  <c r="V248" i="34" s="1"/>
  <c r="W248" i="34" s="1"/>
  <c r="X248" i="34" s="1"/>
  <c r="Y248" i="34" s="1"/>
  <c r="Z248" i="34" s="1"/>
  <c r="AA248" i="34" s="1"/>
  <c r="AB248" i="34" s="1"/>
  <c r="AC248" i="34" s="1"/>
  <c r="AD248" i="34" s="1"/>
  <c r="AE248" i="34" s="1"/>
  <c r="AF248" i="34" s="1"/>
  <c r="B248" i="34" s="1"/>
  <c r="D247" i="34"/>
  <c r="D246" i="34"/>
  <c r="E246" i="34" s="1"/>
  <c r="AG244" i="34"/>
  <c r="AF244" i="34"/>
  <c r="AE244" i="34"/>
  <c r="AD244" i="34"/>
  <c r="AC244" i="34"/>
  <c r="AB244" i="34"/>
  <c r="AA244" i="34"/>
  <c r="Z244" i="34"/>
  <c r="Y244" i="34"/>
  <c r="X244" i="34"/>
  <c r="W244" i="34"/>
  <c r="V244" i="34"/>
  <c r="U244" i="34"/>
  <c r="T244" i="34"/>
  <c r="S244" i="34"/>
  <c r="R244" i="34"/>
  <c r="Q244" i="34"/>
  <c r="P244" i="34"/>
  <c r="O244" i="34"/>
  <c r="N244" i="34"/>
  <c r="M244" i="34"/>
  <c r="L244" i="34"/>
  <c r="K244" i="34"/>
  <c r="J244" i="34"/>
  <c r="I244" i="34"/>
  <c r="H244" i="34"/>
  <c r="G244" i="34"/>
  <c r="F244" i="34"/>
  <c r="E244" i="34"/>
  <c r="D244" i="34"/>
  <c r="C244" i="34"/>
  <c r="B244" i="34"/>
  <c r="AI130" i="34"/>
  <c r="AH130" i="34"/>
  <c r="AI129" i="34"/>
  <c r="AH129" i="34"/>
  <c r="AI128" i="34"/>
  <c r="AH128" i="34"/>
  <c r="AI127" i="34"/>
  <c r="AH127" i="34"/>
  <c r="AI126" i="34"/>
  <c r="AH126" i="34"/>
  <c r="AI122" i="34"/>
  <c r="AH122" i="34"/>
  <c r="AI121" i="34"/>
  <c r="AH121" i="34"/>
  <c r="AI120" i="34"/>
  <c r="AH120" i="34"/>
  <c r="AI119" i="34"/>
  <c r="AH119" i="34"/>
  <c r="AI117" i="34"/>
  <c r="AH117" i="34"/>
  <c r="AI116" i="34"/>
  <c r="AH116" i="34"/>
  <c r="AI115" i="34"/>
  <c r="AH115" i="34"/>
  <c r="AI114" i="34"/>
  <c r="AH114" i="34"/>
  <c r="AI113" i="34"/>
  <c r="AH113" i="34"/>
  <c r="AI112" i="34"/>
  <c r="AH112" i="34"/>
  <c r="AI111" i="34"/>
  <c r="AH111" i="34"/>
  <c r="AI110" i="34"/>
  <c r="AH110" i="34"/>
  <c r="AI109" i="34"/>
  <c r="AH109" i="34"/>
  <c r="AI106" i="34"/>
  <c r="AH106" i="34"/>
  <c r="AF105" i="34"/>
  <c r="AE105" i="34"/>
  <c r="AD105" i="34"/>
  <c r="AC105" i="34"/>
  <c r="AB105" i="34"/>
  <c r="AA105" i="34"/>
  <c r="Z105" i="34"/>
  <c r="Y105" i="34"/>
  <c r="X105" i="34"/>
  <c r="W105" i="34"/>
  <c r="V105" i="34"/>
  <c r="U105" i="34"/>
  <c r="T105" i="34"/>
  <c r="S105" i="34"/>
  <c r="R105" i="34"/>
  <c r="Q105" i="34"/>
  <c r="P105" i="34"/>
  <c r="O105" i="34"/>
  <c r="N105" i="34"/>
  <c r="M105" i="34"/>
  <c r="L105" i="34"/>
  <c r="K105" i="34"/>
  <c r="J105" i="34"/>
  <c r="I105" i="34"/>
  <c r="H105" i="34"/>
  <c r="G105" i="34"/>
  <c r="F105" i="34"/>
  <c r="E105" i="34"/>
  <c r="AF104" i="34"/>
  <c r="AE104" i="34"/>
  <c r="AD104" i="34"/>
  <c r="AC104" i="34"/>
  <c r="AB104" i="34"/>
  <c r="AA104" i="34"/>
  <c r="Z104" i="34"/>
  <c r="Y104" i="34"/>
  <c r="X104" i="34"/>
  <c r="W104" i="34"/>
  <c r="V104" i="34"/>
  <c r="U104" i="34"/>
  <c r="T104" i="34"/>
  <c r="S104" i="34"/>
  <c r="R104" i="34"/>
  <c r="Q104" i="34"/>
  <c r="P104" i="34"/>
  <c r="O104" i="34"/>
  <c r="N104" i="34"/>
  <c r="M104" i="34"/>
  <c r="L104" i="34"/>
  <c r="K104" i="34"/>
  <c r="J104" i="34"/>
  <c r="I104" i="34"/>
  <c r="H104" i="34"/>
  <c r="G104" i="34"/>
  <c r="F104" i="34"/>
  <c r="E104" i="34"/>
  <c r="AF103" i="34"/>
  <c r="AE103" i="34"/>
  <c r="AD103" i="34"/>
  <c r="AC103" i="34"/>
  <c r="AB103" i="34"/>
  <c r="AA103" i="34"/>
  <c r="Z103" i="34"/>
  <c r="Y103" i="34"/>
  <c r="X103" i="34"/>
  <c r="W103" i="34"/>
  <c r="V103" i="34"/>
  <c r="U103" i="34"/>
  <c r="T103" i="34"/>
  <c r="S103" i="34"/>
  <c r="R103" i="34"/>
  <c r="Q103" i="34"/>
  <c r="P103" i="34"/>
  <c r="O103" i="34"/>
  <c r="N103" i="34"/>
  <c r="M103" i="34"/>
  <c r="L103" i="34"/>
  <c r="K103" i="34"/>
  <c r="J103" i="34"/>
  <c r="I103" i="34"/>
  <c r="H103" i="34"/>
  <c r="G103" i="34"/>
  <c r="F103" i="34"/>
  <c r="E103" i="34"/>
  <c r="AF102" i="34"/>
  <c r="AE102" i="34"/>
  <c r="AD102" i="34"/>
  <c r="AC102" i="34"/>
  <c r="AB102" i="34"/>
  <c r="AA102" i="34"/>
  <c r="Z102" i="34"/>
  <c r="Y102" i="34"/>
  <c r="X102" i="34"/>
  <c r="W102" i="34"/>
  <c r="V102" i="34"/>
  <c r="U102" i="34"/>
  <c r="T102" i="34"/>
  <c r="S102" i="34"/>
  <c r="R102" i="34"/>
  <c r="Q102" i="34"/>
  <c r="P102" i="34"/>
  <c r="O102" i="34"/>
  <c r="N102" i="34"/>
  <c r="M102" i="34"/>
  <c r="L102" i="34"/>
  <c r="K102" i="34"/>
  <c r="J102" i="34"/>
  <c r="I102" i="34"/>
  <c r="H102" i="34"/>
  <c r="G102" i="34"/>
  <c r="F102" i="34"/>
  <c r="E102" i="34"/>
  <c r="AF101" i="34"/>
  <c r="AE101" i="34"/>
  <c r="AE107" i="34" s="1"/>
  <c r="AD101" i="34"/>
  <c r="AC101" i="34"/>
  <c r="AB101" i="34"/>
  <c r="AA101" i="34"/>
  <c r="Z101" i="34"/>
  <c r="Y101" i="34"/>
  <c r="X101" i="34"/>
  <c r="W101" i="34"/>
  <c r="V101" i="34"/>
  <c r="U101" i="34"/>
  <c r="T101" i="34"/>
  <c r="S101" i="34"/>
  <c r="R101" i="34"/>
  <c r="Q101" i="34"/>
  <c r="P101" i="34"/>
  <c r="O101" i="34"/>
  <c r="O107" i="34" s="1"/>
  <c r="N101" i="34"/>
  <c r="M101" i="34"/>
  <c r="L101" i="34"/>
  <c r="K101" i="34"/>
  <c r="J101" i="34"/>
  <c r="I101" i="34"/>
  <c r="H101" i="34"/>
  <c r="G101" i="34"/>
  <c r="F101" i="34"/>
  <c r="E101" i="34"/>
  <c r="AI98" i="34"/>
  <c r="AH98" i="34"/>
  <c r="AI96" i="34"/>
  <c r="AH96" i="34"/>
  <c r="AG96" i="34"/>
  <c r="AI95" i="34"/>
  <c r="AH95" i="34"/>
  <c r="AI94" i="34"/>
  <c r="AH94" i="34"/>
  <c r="AI93" i="34"/>
  <c r="AH93" i="34"/>
  <c r="AG92" i="34"/>
  <c r="AF92" i="34"/>
  <c r="AE5" i="34" s="1"/>
  <c r="AE92" i="34"/>
  <c r="AD5" i="34" s="1"/>
  <c r="AD92" i="34"/>
  <c r="AC5" i="34" s="1"/>
  <c r="AC92" i="34"/>
  <c r="AB92" i="34"/>
  <c r="AA5" i="34" s="1"/>
  <c r="AA92" i="34"/>
  <c r="Z5" i="34" s="1"/>
  <c r="Z92" i="34"/>
  <c r="Y92" i="34"/>
  <c r="X5" i="34" s="1"/>
  <c r="X92" i="34"/>
  <c r="W92" i="34"/>
  <c r="V5" i="34" s="1"/>
  <c r="V92" i="34"/>
  <c r="U92" i="34"/>
  <c r="T92" i="34"/>
  <c r="S5" i="34" s="1"/>
  <c r="S92" i="34"/>
  <c r="S97" i="34" s="1"/>
  <c r="S99" i="34" s="1"/>
  <c r="R92" i="34"/>
  <c r="Q92" i="34"/>
  <c r="P5" i="34" s="1"/>
  <c r="P92" i="34"/>
  <c r="O5" i="34" s="1"/>
  <c r="O92" i="34"/>
  <c r="N5" i="34" s="1"/>
  <c r="N92" i="34"/>
  <c r="M92" i="34"/>
  <c r="L92" i="34"/>
  <c r="K5" i="34" s="1"/>
  <c r="K92" i="34"/>
  <c r="J92" i="34"/>
  <c r="I92" i="34"/>
  <c r="H5" i="34" s="1"/>
  <c r="H92" i="34"/>
  <c r="G92" i="34"/>
  <c r="F5" i="34" s="1"/>
  <c r="F92" i="34"/>
  <c r="E92" i="34"/>
  <c r="D5" i="34" s="1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I83" i="34"/>
  <c r="AH83" i="34"/>
  <c r="AI82" i="34"/>
  <c r="AH82" i="34"/>
  <c r="AI81" i="34"/>
  <c r="AH81" i="34"/>
  <c r="AG80" i="34"/>
  <c r="AG4" i="34" s="1"/>
  <c r="AF80" i="34"/>
  <c r="AE80" i="34"/>
  <c r="AD80" i="34"/>
  <c r="AC80" i="34"/>
  <c r="AB80" i="34"/>
  <c r="AA80" i="34"/>
  <c r="Z80" i="34"/>
  <c r="Y80" i="34"/>
  <c r="X80" i="34"/>
  <c r="W80" i="34"/>
  <c r="V80" i="34"/>
  <c r="U80" i="34"/>
  <c r="T80" i="34"/>
  <c r="R80" i="34"/>
  <c r="Q80" i="34"/>
  <c r="P80" i="34"/>
  <c r="O80" i="34"/>
  <c r="N80" i="34"/>
  <c r="M80" i="34"/>
  <c r="L80" i="34"/>
  <c r="K80" i="34"/>
  <c r="J80" i="34"/>
  <c r="I80" i="34"/>
  <c r="H80" i="34"/>
  <c r="G80" i="34"/>
  <c r="F80" i="34"/>
  <c r="E80" i="34"/>
  <c r="AI79" i="34"/>
  <c r="AH79" i="34"/>
  <c r="AI78" i="34"/>
  <c r="AH78" i="34"/>
  <c r="AI77" i="34"/>
  <c r="AH77" i="34"/>
  <c r="AF76" i="34"/>
  <c r="AE76" i="34"/>
  <c r="AD76" i="34"/>
  <c r="AC76" i="34"/>
  <c r="AB76" i="34"/>
  <c r="AA76" i="34"/>
  <c r="Z76" i="34"/>
  <c r="Y76" i="34"/>
  <c r="X76" i="34"/>
  <c r="W76" i="34"/>
  <c r="T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AI75" i="34"/>
  <c r="AH75" i="34"/>
  <c r="AG75" i="34"/>
  <c r="AG76" i="34" s="1"/>
  <c r="AG3" i="34" s="1"/>
  <c r="AI74" i="34"/>
  <c r="AH74" i="34"/>
  <c r="AI73" i="34"/>
  <c r="AH73" i="34"/>
  <c r="AI72" i="34"/>
  <c r="AH72" i="34"/>
  <c r="AI71" i="34"/>
  <c r="AH71" i="34"/>
  <c r="AI70" i="34"/>
  <c r="AH70" i="34"/>
  <c r="AI69" i="34"/>
  <c r="AH69" i="34"/>
  <c r="AI68" i="34"/>
  <c r="AH68" i="34"/>
  <c r="AI67" i="34"/>
  <c r="AH67" i="34"/>
  <c r="AI66" i="34"/>
  <c r="AH66" i="34"/>
  <c r="AI65" i="34"/>
  <c r="AH65" i="34"/>
  <c r="AI64" i="34"/>
  <c r="AH64" i="34"/>
  <c r="AI63" i="34"/>
  <c r="AH63" i="34"/>
  <c r="AG62" i="34"/>
  <c r="AF62" i="34"/>
  <c r="AE62" i="34"/>
  <c r="AD62" i="34"/>
  <c r="AC62" i="34"/>
  <c r="AB62" i="34"/>
  <c r="X62" i="34"/>
  <c r="W62" i="34"/>
  <c r="V62" i="34"/>
  <c r="U62" i="34"/>
  <c r="T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AI61" i="34"/>
  <c r="AH61" i="34"/>
  <c r="AI60" i="34"/>
  <c r="AH60" i="34"/>
  <c r="AI59" i="34"/>
  <c r="AH59" i="34"/>
  <c r="AG58" i="34"/>
  <c r="AG2" i="34" s="1"/>
  <c r="AF58" i="34"/>
  <c r="AE58" i="34"/>
  <c r="AD58" i="34"/>
  <c r="AC58" i="34"/>
  <c r="AB58" i="34"/>
  <c r="AA58" i="34"/>
  <c r="Z58" i="34"/>
  <c r="Y58" i="34"/>
  <c r="Y97" i="34" s="1"/>
  <c r="Y99" i="34" s="1"/>
  <c r="X58" i="34"/>
  <c r="W58" i="34"/>
  <c r="V58" i="34"/>
  <c r="T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B5" i="34"/>
  <c r="W5" i="34"/>
  <c r="J5" i="34"/>
  <c r="K4" i="34"/>
  <c r="E4" i="34"/>
  <c r="H4" i="34" s="1"/>
  <c r="B4" i="34"/>
  <c r="D258" i="34" s="1"/>
  <c r="AF57" i="33"/>
  <c r="AF58" i="33"/>
  <c r="AF62" i="33"/>
  <c r="AF76" i="33"/>
  <c r="AF80" i="33"/>
  <c r="AF92" i="33"/>
  <c r="AF108" i="33" s="1"/>
  <c r="AF101" i="33"/>
  <c r="AF102" i="33"/>
  <c r="AF103" i="33"/>
  <c r="AF104" i="33"/>
  <c r="AF105" i="33"/>
  <c r="AF107" i="33"/>
  <c r="AF118" i="33"/>
  <c r="AE57" i="33"/>
  <c r="AE58" i="33"/>
  <c r="AE62" i="33"/>
  <c r="AE76" i="33"/>
  <c r="AE80" i="33"/>
  <c r="AE92" i="33"/>
  <c r="AE101" i="33"/>
  <c r="AE102" i="33"/>
  <c r="AE103" i="33"/>
  <c r="AE104" i="33"/>
  <c r="AE105" i="33"/>
  <c r="AE107" i="33" s="1"/>
  <c r="AE118" i="33"/>
  <c r="AD57" i="33"/>
  <c r="AD58" i="33"/>
  <c r="AD62" i="33"/>
  <c r="AD76" i="33"/>
  <c r="AD80" i="33"/>
  <c r="AD92" i="33"/>
  <c r="AD101" i="33"/>
  <c r="AD107" i="33" s="1"/>
  <c r="AD102" i="33"/>
  <c r="AD103" i="33"/>
  <c r="AD104" i="33"/>
  <c r="AD105" i="33"/>
  <c r="AD118" i="33"/>
  <c r="AC57" i="33"/>
  <c r="AC58" i="33"/>
  <c r="AC62" i="33"/>
  <c r="AC76" i="33"/>
  <c r="AC80" i="33"/>
  <c r="AC92" i="33"/>
  <c r="AC101" i="33"/>
  <c r="AC107" i="33" s="1"/>
  <c r="AC102" i="33"/>
  <c r="AC103" i="33"/>
  <c r="AC104" i="33"/>
  <c r="AC105" i="33"/>
  <c r="AC118" i="33"/>
  <c r="AB123" i="33"/>
  <c r="AB57" i="33"/>
  <c r="AA123" i="33"/>
  <c r="Z123" i="33"/>
  <c r="W123" i="33"/>
  <c r="V123" i="33"/>
  <c r="U123" i="33"/>
  <c r="T123" i="33"/>
  <c r="AF107" i="34" l="1"/>
  <c r="AD97" i="34"/>
  <c r="AD99" i="34" s="1"/>
  <c r="AI57" i="34"/>
  <c r="Z108" i="34"/>
  <c r="J107" i="34"/>
  <c r="J108" i="34" s="1"/>
  <c r="R107" i="34"/>
  <c r="R108" i="34" s="1"/>
  <c r="Z107" i="34"/>
  <c r="M108" i="34"/>
  <c r="AC108" i="34"/>
  <c r="M107" i="34"/>
  <c r="U107" i="34"/>
  <c r="U108" i="34" s="1"/>
  <c r="AC107" i="34"/>
  <c r="N107" i="34"/>
  <c r="N108" i="34" s="1"/>
  <c r="V107" i="34"/>
  <c r="V108" i="34" s="1"/>
  <c r="AD107" i="34"/>
  <c r="AD108" i="34" s="1"/>
  <c r="AF108" i="34"/>
  <c r="AH57" i="34"/>
  <c r="AG99" i="34"/>
  <c r="D118" i="34"/>
  <c r="AG6" i="34"/>
  <c r="D252" i="34"/>
  <c r="AE108" i="34"/>
  <c r="AA97" i="34"/>
  <c r="AA99" i="34" s="1"/>
  <c r="AS261" i="34" s="1"/>
  <c r="AB97" i="34"/>
  <c r="AB99" i="34" s="1"/>
  <c r="AT261" i="34" s="1"/>
  <c r="AA107" i="34"/>
  <c r="B107" i="34"/>
  <c r="B108" i="34" s="1"/>
  <c r="L107" i="34"/>
  <c r="T107" i="34"/>
  <c r="AB107" i="34"/>
  <c r="H107" i="34"/>
  <c r="H108" i="34" s="1"/>
  <c r="Y5" i="34"/>
  <c r="Z97" i="34"/>
  <c r="Z99" i="34" s="1"/>
  <c r="Z100" i="34" s="1"/>
  <c r="Z7" i="34" s="1"/>
  <c r="AC97" i="34"/>
  <c r="AC99" i="34" s="1"/>
  <c r="AE97" i="34"/>
  <c r="AE99" i="34" s="1"/>
  <c r="AF97" i="34"/>
  <c r="AF99" i="34" s="1"/>
  <c r="AF100" i="34" s="1"/>
  <c r="AF7" i="34" s="1"/>
  <c r="W107" i="34"/>
  <c r="W108" i="34" s="1"/>
  <c r="AI102" i="34"/>
  <c r="X107" i="34"/>
  <c r="X108" i="34" s="1"/>
  <c r="Y107" i="34"/>
  <c r="Y100" i="34" s="1"/>
  <c r="Y7" i="34" s="1"/>
  <c r="AI103" i="34"/>
  <c r="X97" i="34"/>
  <c r="X99" i="34" s="1"/>
  <c r="W97" i="34"/>
  <c r="W99" i="34" s="1"/>
  <c r="AO261" i="34" s="1"/>
  <c r="U5" i="34"/>
  <c r="V97" i="34"/>
  <c r="V99" i="34" s="1"/>
  <c r="AN261" i="34" s="1"/>
  <c r="U97" i="34"/>
  <c r="U99" i="34" s="1"/>
  <c r="T5" i="34"/>
  <c r="AI101" i="34"/>
  <c r="T97" i="34"/>
  <c r="T99" i="34" s="1"/>
  <c r="AL261" i="34" s="1"/>
  <c r="R5" i="34"/>
  <c r="S107" i="34"/>
  <c r="Q5" i="34"/>
  <c r="R97" i="34"/>
  <c r="R99" i="34" s="1"/>
  <c r="AJ261" i="34" s="1"/>
  <c r="Q107" i="34"/>
  <c r="Q97" i="34"/>
  <c r="Q99" i="34" s="1"/>
  <c r="AI261" i="34" s="1"/>
  <c r="P107" i="34"/>
  <c r="P108" i="34" s="1"/>
  <c r="P97" i="34"/>
  <c r="P99" i="34" s="1"/>
  <c r="P100" i="34" s="1"/>
  <c r="P7" i="34" s="1"/>
  <c r="O108" i="34"/>
  <c r="O97" i="34"/>
  <c r="O99" i="34" s="1"/>
  <c r="O100" i="34" s="1"/>
  <c r="O7" i="34" s="1"/>
  <c r="M5" i="34"/>
  <c r="AI80" i="34"/>
  <c r="N97" i="34"/>
  <c r="N99" i="34" s="1"/>
  <c r="AF261" i="34" s="1"/>
  <c r="L5" i="34"/>
  <c r="M97" i="34"/>
  <c r="M99" i="34" s="1"/>
  <c r="AE261" i="34" s="1"/>
  <c r="L97" i="34"/>
  <c r="L99" i="34" s="1"/>
  <c r="L100" i="34" s="1"/>
  <c r="L7" i="34" s="1"/>
  <c r="K107" i="34"/>
  <c r="K97" i="34"/>
  <c r="K99" i="34" s="1"/>
  <c r="AC261" i="34" s="1"/>
  <c r="J97" i="34"/>
  <c r="J99" i="34" s="1"/>
  <c r="AB261" i="34" s="1"/>
  <c r="I5" i="34"/>
  <c r="AI123" i="34"/>
  <c r="I107" i="34"/>
  <c r="I108" i="34" s="1"/>
  <c r="I97" i="34"/>
  <c r="I99" i="34" s="1"/>
  <c r="G5" i="34"/>
  <c r="H97" i="34"/>
  <c r="H99" i="34" s="1"/>
  <c r="Z261" i="34" s="1"/>
  <c r="G97" i="34"/>
  <c r="G99" i="34" s="1"/>
  <c r="Y261" i="34" s="1"/>
  <c r="G107" i="34"/>
  <c r="G108" i="34" s="1"/>
  <c r="F107" i="34"/>
  <c r="F108" i="34" s="1"/>
  <c r="E5" i="34"/>
  <c r="F97" i="34"/>
  <c r="F99" i="34" s="1"/>
  <c r="X261" i="34" s="1"/>
  <c r="AI62" i="34"/>
  <c r="D107" i="34"/>
  <c r="D108" i="34" s="1"/>
  <c r="E107" i="34"/>
  <c r="E108" i="34" s="1"/>
  <c r="E97" i="34"/>
  <c r="E99" i="34" s="1"/>
  <c r="W261" i="34" s="1"/>
  <c r="D97" i="34"/>
  <c r="D99" i="34" s="1"/>
  <c r="AI76" i="34"/>
  <c r="C97" i="34"/>
  <c r="C99" i="34" s="1"/>
  <c r="U261" i="34" s="1"/>
  <c r="AI104" i="34"/>
  <c r="C107" i="34"/>
  <c r="AI105" i="34"/>
  <c r="B97" i="34"/>
  <c r="B99" i="34" s="1"/>
  <c r="B100" i="34" s="1"/>
  <c r="AF5" i="34"/>
  <c r="AH103" i="34"/>
  <c r="AW261" i="34"/>
  <c r="AE100" i="34"/>
  <c r="AE7" i="34" s="1"/>
  <c r="AH261" i="34"/>
  <c r="K108" i="34"/>
  <c r="S108" i="34"/>
  <c r="AA108" i="34"/>
  <c r="AR261" i="34"/>
  <c r="F246" i="34"/>
  <c r="AQ261" i="34"/>
  <c r="AK261" i="34"/>
  <c r="S100" i="34"/>
  <c r="S7" i="34" s="1"/>
  <c r="N100" i="34"/>
  <c r="N7" i="34" s="1"/>
  <c r="AV261" i="34"/>
  <c r="AH76" i="34"/>
  <c r="AH80" i="34"/>
  <c r="AH92" i="34"/>
  <c r="E247" i="34"/>
  <c r="F247" i="34" s="1"/>
  <c r="G247" i="34" s="1"/>
  <c r="H247" i="34" s="1"/>
  <c r="I247" i="34" s="1"/>
  <c r="J247" i="34" s="1"/>
  <c r="K247" i="34" s="1"/>
  <c r="L247" i="34" s="1"/>
  <c r="M247" i="34" s="1"/>
  <c r="N247" i="34" s="1"/>
  <c r="O247" i="34" s="1"/>
  <c r="P247" i="34" s="1"/>
  <c r="Q247" i="34" s="1"/>
  <c r="R247" i="34" s="1"/>
  <c r="S247" i="34" s="1"/>
  <c r="T247" i="34" s="1"/>
  <c r="U247" i="34" s="1"/>
  <c r="V247" i="34" s="1"/>
  <c r="W247" i="34" s="1"/>
  <c r="X247" i="34" s="1"/>
  <c r="Y247" i="34" s="1"/>
  <c r="Z247" i="34" s="1"/>
  <c r="AA247" i="34" s="1"/>
  <c r="AB247" i="34" s="1"/>
  <c r="AC247" i="34" s="1"/>
  <c r="AD247" i="34" s="1"/>
  <c r="AE247" i="34" s="1"/>
  <c r="AF247" i="34" s="1"/>
  <c r="B247" i="34" s="1"/>
  <c r="E251" i="34"/>
  <c r="E118" i="34" s="1"/>
  <c r="S258" i="34"/>
  <c r="AI92" i="34"/>
  <c r="AH101" i="34"/>
  <c r="Q108" i="34"/>
  <c r="AG97" i="34"/>
  <c r="AH102" i="34"/>
  <c r="AH58" i="34"/>
  <c r="AH62" i="34"/>
  <c r="AI58" i="34"/>
  <c r="AH104" i="34"/>
  <c r="L108" i="34"/>
  <c r="T108" i="34"/>
  <c r="AB108" i="34"/>
  <c r="AH105" i="34"/>
  <c r="AF97" i="33"/>
  <c r="AF99" i="33" s="1"/>
  <c r="AF100" i="33" s="1"/>
  <c r="AE97" i="33"/>
  <c r="AE99" i="33" s="1"/>
  <c r="AE100" i="33" s="1"/>
  <c r="AE108" i="33"/>
  <c r="AD97" i="33"/>
  <c r="AD99" i="33" s="1"/>
  <c r="AD100" i="33" s="1"/>
  <c r="AD108" i="33"/>
  <c r="AC108" i="33"/>
  <c r="AC97" i="33"/>
  <c r="AC99" i="33" s="1"/>
  <c r="AC100" i="33" s="1"/>
  <c r="S123" i="33"/>
  <c r="R123" i="33"/>
  <c r="R57" i="33"/>
  <c r="Q123" i="33"/>
  <c r="Q57" i="33"/>
  <c r="P123" i="33"/>
  <c r="O123" i="33"/>
  <c r="N123" i="33"/>
  <c r="M123" i="33"/>
  <c r="L123" i="33"/>
  <c r="L122" i="33"/>
  <c r="K119" i="33"/>
  <c r="L58" i="33"/>
  <c r="M58" i="33"/>
  <c r="L62" i="33"/>
  <c r="M62" i="33"/>
  <c r="L76" i="33"/>
  <c r="M76" i="33"/>
  <c r="L80" i="33"/>
  <c r="M80" i="33"/>
  <c r="K122" i="33"/>
  <c r="J58" i="33"/>
  <c r="J62" i="33"/>
  <c r="J76" i="33"/>
  <c r="J80" i="33"/>
  <c r="I58" i="33"/>
  <c r="I62" i="33"/>
  <c r="I76" i="33"/>
  <c r="I80" i="33"/>
  <c r="F58" i="33"/>
  <c r="G58" i="33"/>
  <c r="F62" i="33"/>
  <c r="G62" i="33"/>
  <c r="E58" i="33"/>
  <c r="E62" i="33"/>
  <c r="E76" i="33"/>
  <c r="E80" i="33"/>
  <c r="D58" i="33"/>
  <c r="D62" i="33"/>
  <c r="C123" i="33"/>
  <c r="C121" i="33"/>
  <c r="C57" i="33"/>
  <c r="C58" i="33"/>
  <c r="C62" i="33"/>
  <c r="C76" i="33"/>
  <c r="C80" i="33"/>
  <c r="C92" i="33"/>
  <c r="C101" i="33"/>
  <c r="C102" i="33"/>
  <c r="C103" i="33"/>
  <c r="C104" i="33"/>
  <c r="C105" i="33"/>
  <c r="C118" i="33"/>
  <c r="B123" i="33"/>
  <c r="B121" i="33"/>
  <c r="B57" i="33"/>
  <c r="B118" i="33"/>
  <c r="B105" i="33"/>
  <c r="B104" i="33"/>
  <c r="B103" i="33"/>
  <c r="B102" i="33"/>
  <c r="B101" i="33"/>
  <c r="B107" i="33" s="1"/>
  <c r="B92" i="33"/>
  <c r="B80" i="33"/>
  <c r="B76" i="33"/>
  <c r="B62" i="33"/>
  <c r="B58" i="33"/>
  <c r="AF286" i="33"/>
  <c r="AE286" i="33"/>
  <c r="AD286" i="33"/>
  <c r="AC286" i="33"/>
  <c r="AB286" i="33"/>
  <c r="AA286" i="33"/>
  <c r="Z286" i="33"/>
  <c r="Y286" i="33"/>
  <c r="X286" i="33"/>
  <c r="W286" i="33"/>
  <c r="V286" i="33"/>
  <c r="U286" i="33"/>
  <c r="T286" i="33"/>
  <c r="S286" i="33"/>
  <c r="R286" i="33"/>
  <c r="Q286" i="33"/>
  <c r="P286" i="33"/>
  <c r="O286" i="33"/>
  <c r="N286" i="33"/>
  <c r="M286" i="33"/>
  <c r="L286" i="33"/>
  <c r="K286" i="33"/>
  <c r="J286" i="33"/>
  <c r="I286" i="33"/>
  <c r="H286" i="33"/>
  <c r="G286" i="33"/>
  <c r="F286" i="33"/>
  <c r="E286" i="33"/>
  <c r="D286" i="33"/>
  <c r="C286" i="33"/>
  <c r="B286" i="33"/>
  <c r="A286" i="33"/>
  <c r="AF285" i="33"/>
  <c r="AE285" i="33"/>
  <c r="AD285" i="33"/>
  <c r="AC285" i="33"/>
  <c r="AB285" i="33"/>
  <c r="AA285" i="33"/>
  <c r="Z285" i="33"/>
  <c r="Y285" i="33"/>
  <c r="X285" i="33"/>
  <c r="W285" i="33"/>
  <c r="V285" i="33"/>
  <c r="U285" i="33"/>
  <c r="T285" i="33"/>
  <c r="S285" i="33"/>
  <c r="R285" i="33"/>
  <c r="Q285" i="33"/>
  <c r="P285" i="33"/>
  <c r="O285" i="33"/>
  <c r="N285" i="33"/>
  <c r="M285" i="33"/>
  <c r="L285" i="33"/>
  <c r="K285" i="33"/>
  <c r="J285" i="33"/>
  <c r="I285" i="33"/>
  <c r="H285" i="33"/>
  <c r="G285" i="33"/>
  <c r="F285" i="33"/>
  <c r="E285" i="33"/>
  <c r="D285" i="33"/>
  <c r="C285" i="33"/>
  <c r="B285" i="33"/>
  <c r="A285" i="33"/>
  <c r="AF284" i="33"/>
  <c r="AE284" i="33"/>
  <c r="AD284" i="33"/>
  <c r="AC284" i="33"/>
  <c r="AB284" i="33"/>
  <c r="AA284" i="33"/>
  <c r="Z284" i="33"/>
  <c r="Y284" i="33"/>
  <c r="X284" i="33"/>
  <c r="W284" i="33"/>
  <c r="V284" i="33"/>
  <c r="U284" i="33"/>
  <c r="T284" i="33"/>
  <c r="S284" i="33"/>
  <c r="R284" i="33"/>
  <c r="Q284" i="33"/>
  <c r="P284" i="33"/>
  <c r="O284" i="33"/>
  <c r="N284" i="33"/>
  <c r="M284" i="33"/>
  <c r="L284" i="33"/>
  <c r="K284" i="33"/>
  <c r="J284" i="33"/>
  <c r="I284" i="33"/>
  <c r="H284" i="33"/>
  <c r="G284" i="33"/>
  <c r="F284" i="33"/>
  <c r="E284" i="33"/>
  <c r="D284" i="33"/>
  <c r="C284" i="33"/>
  <c r="B284" i="33"/>
  <c r="A284" i="33"/>
  <c r="AF283" i="33"/>
  <c r="AE283" i="33"/>
  <c r="AD283" i="33"/>
  <c r="AC283" i="33"/>
  <c r="AB283" i="33"/>
  <c r="AA283" i="33"/>
  <c r="Z283" i="33"/>
  <c r="Y283" i="33"/>
  <c r="X283" i="33"/>
  <c r="W283" i="33"/>
  <c r="V283" i="33"/>
  <c r="U283" i="33"/>
  <c r="T283" i="33"/>
  <c r="S283" i="33"/>
  <c r="R283" i="33"/>
  <c r="Q283" i="33"/>
  <c r="P283" i="33"/>
  <c r="O283" i="33"/>
  <c r="N283" i="33"/>
  <c r="M283" i="33"/>
  <c r="L283" i="33"/>
  <c r="K283" i="33"/>
  <c r="J283" i="33"/>
  <c r="I283" i="33"/>
  <c r="H283" i="33"/>
  <c r="G283" i="33"/>
  <c r="F283" i="33"/>
  <c r="E283" i="33"/>
  <c r="D283" i="33"/>
  <c r="C283" i="33"/>
  <c r="B283" i="33"/>
  <c r="A283" i="33"/>
  <c r="C282" i="33"/>
  <c r="B282" i="33"/>
  <c r="S257" i="33"/>
  <c r="AG252" i="33"/>
  <c r="C252" i="33"/>
  <c r="F251" i="33"/>
  <c r="D251" i="33"/>
  <c r="E251" i="33" s="1"/>
  <c r="D282" i="33" s="1"/>
  <c r="L250" i="33"/>
  <c r="M250" i="33" s="1"/>
  <c r="N250" i="33" s="1"/>
  <c r="O250" i="33" s="1"/>
  <c r="P250" i="33" s="1"/>
  <c r="Q250" i="33" s="1"/>
  <c r="R250" i="33" s="1"/>
  <c r="S250" i="33" s="1"/>
  <c r="T250" i="33" s="1"/>
  <c r="U250" i="33" s="1"/>
  <c r="V250" i="33" s="1"/>
  <c r="W250" i="33" s="1"/>
  <c r="X250" i="33" s="1"/>
  <c r="Y250" i="33" s="1"/>
  <c r="Z250" i="33" s="1"/>
  <c r="AA250" i="33" s="1"/>
  <c r="AB250" i="33" s="1"/>
  <c r="AC250" i="33" s="1"/>
  <c r="AD250" i="33" s="1"/>
  <c r="AE250" i="33" s="1"/>
  <c r="AF250" i="33" s="1"/>
  <c r="B250" i="33" s="1"/>
  <c r="D250" i="33"/>
  <c r="E250" i="33" s="1"/>
  <c r="F250" i="33" s="1"/>
  <c r="G250" i="33" s="1"/>
  <c r="H250" i="33" s="1"/>
  <c r="I250" i="33" s="1"/>
  <c r="J250" i="33" s="1"/>
  <c r="K250" i="33" s="1"/>
  <c r="J249" i="33"/>
  <c r="K249" i="33" s="1"/>
  <c r="L249" i="33" s="1"/>
  <c r="M249" i="33" s="1"/>
  <c r="N249" i="33" s="1"/>
  <c r="O249" i="33" s="1"/>
  <c r="P249" i="33" s="1"/>
  <c r="Q249" i="33" s="1"/>
  <c r="R249" i="33" s="1"/>
  <c r="S249" i="33" s="1"/>
  <c r="T249" i="33" s="1"/>
  <c r="U249" i="33" s="1"/>
  <c r="V249" i="33" s="1"/>
  <c r="W249" i="33" s="1"/>
  <c r="X249" i="33" s="1"/>
  <c r="Y249" i="33" s="1"/>
  <c r="Z249" i="33" s="1"/>
  <c r="AA249" i="33" s="1"/>
  <c r="AB249" i="33" s="1"/>
  <c r="AC249" i="33" s="1"/>
  <c r="AD249" i="33" s="1"/>
  <c r="AE249" i="33" s="1"/>
  <c r="AF249" i="33" s="1"/>
  <c r="B249" i="33" s="1"/>
  <c r="D249" i="33"/>
  <c r="E249" i="33" s="1"/>
  <c r="F249" i="33" s="1"/>
  <c r="G249" i="33" s="1"/>
  <c r="H249" i="33" s="1"/>
  <c r="I249" i="33" s="1"/>
  <c r="P248" i="33"/>
  <c r="Q248" i="33" s="1"/>
  <c r="R248" i="33" s="1"/>
  <c r="S248" i="33" s="1"/>
  <c r="T248" i="33" s="1"/>
  <c r="U248" i="33" s="1"/>
  <c r="V248" i="33" s="1"/>
  <c r="W248" i="33" s="1"/>
  <c r="X248" i="33" s="1"/>
  <c r="Y248" i="33" s="1"/>
  <c r="Z248" i="33" s="1"/>
  <c r="AA248" i="33" s="1"/>
  <c r="AB248" i="33" s="1"/>
  <c r="AC248" i="33" s="1"/>
  <c r="AD248" i="33" s="1"/>
  <c r="AE248" i="33" s="1"/>
  <c r="AF248" i="33" s="1"/>
  <c r="B248" i="33" s="1"/>
  <c r="H248" i="33"/>
  <c r="I248" i="33" s="1"/>
  <c r="J248" i="33" s="1"/>
  <c r="K248" i="33" s="1"/>
  <c r="L248" i="33" s="1"/>
  <c r="M248" i="33" s="1"/>
  <c r="N248" i="33" s="1"/>
  <c r="O248" i="33" s="1"/>
  <c r="E248" i="33"/>
  <c r="F248" i="33" s="1"/>
  <c r="G248" i="33" s="1"/>
  <c r="D248" i="33"/>
  <c r="D247" i="33"/>
  <c r="E247" i="33" s="1"/>
  <c r="F247" i="33" s="1"/>
  <c r="G247" i="33" s="1"/>
  <c r="H247" i="33" s="1"/>
  <c r="I247" i="33" s="1"/>
  <c r="J247" i="33" s="1"/>
  <c r="K247" i="33" s="1"/>
  <c r="L247" i="33" s="1"/>
  <c r="M247" i="33" s="1"/>
  <c r="N247" i="33" s="1"/>
  <c r="O247" i="33" s="1"/>
  <c r="P247" i="33" s="1"/>
  <c r="Q247" i="33" s="1"/>
  <c r="R247" i="33" s="1"/>
  <c r="S247" i="33" s="1"/>
  <c r="T247" i="33" s="1"/>
  <c r="U247" i="33" s="1"/>
  <c r="V247" i="33" s="1"/>
  <c r="W247" i="33" s="1"/>
  <c r="X247" i="33" s="1"/>
  <c r="Y247" i="33" s="1"/>
  <c r="Z247" i="33" s="1"/>
  <c r="AA247" i="33" s="1"/>
  <c r="AB247" i="33" s="1"/>
  <c r="AC247" i="33" s="1"/>
  <c r="AD247" i="33" s="1"/>
  <c r="AE247" i="33" s="1"/>
  <c r="AF247" i="33" s="1"/>
  <c r="B247" i="33" s="1"/>
  <c r="D246" i="33"/>
  <c r="AG244" i="33"/>
  <c r="AF244" i="33"/>
  <c r="AE244" i="33"/>
  <c r="AD244" i="33"/>
  <c r="AC244" i="33"/>
  <c r="AB244" i="33"/>
  <c r="AA244" i="33"/>
  <c r="Z244" i="33"/>
  <c r="Y244" i="33"/>
  <c r="X244" i="33"/>
  <c r="W244" i="33"/>
  <c r="V244" i="33"/>
  <c r="U244" i="33"/>
  <c r="T244" i="33"/>
  <c r="S244" i="33"/>
  <c r="R244" i="33"/>
  <c r="Q244" i="33"/>
  <c r="P244" i="33"/>
  <c r="O244" i="33"/>
  <c r="N244" i="33"/>
  <c r="M244" i="33"/>
  <c r="L244" i="33"/>
  <c r="K244" i="33"/>
  <c r="J244" i="33"/>
  <c r="I244" i="33"/>
  <c r="H244" i="33"/>
  <c r="G244" i="33"/>
  <c r="F244" i="33"/>
  <c r="E244" i="33"/>
  <c r="D244" i="33"/>
  <c r="C244" i="33"/>
  <c r="B244" i="33"/>
  <c r="AI130" i="33"/>
  <c r="AH130" i="33"/>
  <c r="AI129" i="33"/>
  <c r="AH129" i="33"/>
  <c r="AI128" i="33"/>
  <c r="AH128" i="33"/>
  <c r="AI127" i="33"/>
  <c r="AH127" i="33"/>
  <c r="AI126" i="33"/>
  <c r="AH126" i="33"/>
  <c r="AI122" i="33"/>
  <c r="AH122" i="33"/>
  <c r="AI121" i="33"/>
  <c r="AH121" i="33"/>
  <c r="AI120" i="33"/>
  <c r="AH120" i="33"/>
  <c r="AI119" i="33"/>
  <c r="AH119" i="33"/>
  <c r="AI117" i="33"/>
  <c r="AH117" i="33"/>
  <c r="AI116" i="33"/>
  <c r="AH116" i="33"/>
  <c r="AI115" i="33"/>
  <c r="AH115" i="33"/>
  <c r="AI114" i="33"/>
  <c r="AH114" i="33"/>
  <c r="AI113" i="33"/>
  <c r="AH113" i="33"/>
  <c r="AI112" i="33"/>
  <c r="AH112" i="33"/>
  <c r="AI111" i="33"/>
  <c r="AH111" i="33"/>
  <c r="AI110" i="33"/>
  <c r="AH110" i="33"/>
  <c r="AI109" i="33"/>
  <c r="AH109" i="33"/>
  <c r="AB107" i="33"/>
  <c r="AI106" i="33"/>
  <c r="AH106" i="33"/>
  <c r="AB105" i="33"/>
  <c r="AA105" i="33"/>
  <c r="Z105" i="33"/>
  <c r="Z107" i="33" s="1"/>
  <c r="Y105" i="33"/>
  <c r="X105" i="33"/>
  <c r="W105" i="33"/>
  <c r="V105" i="33"/>
  <c r="U105" i="33"/>
  <c r="T105" i="33"/>
  <c r="T107" i="33" s="1"/>
  <c r="S105" i="33"/>
  <c r="R105" i="33"/>
  <c r="Q105" i="33"/>
  <c r="P105" i="33"/>
  <c r="O105" i="33"/>
  <c r="N105" i="33"/>
  <c r="M105" i="33"/>
  <c r="L105" i="33"/>
  <c r="K105" i="33"/>
  <c r="J105" i="33"/>
  <c r="I105" i="33"/>
  <c r="H105" i="33"/>
  <c r="G105" i="33"/>
  <c r="F105" i="33"/>
  <c r="E105" i="33"/>
  <c r="D105" i="33"/>
  <c r="AB104" i="33"/>
  <c r="AA104" i="33"/>
  <c r="Z104" i="33"/>
  <c r="Y104" i="33"/>
  <c r="X104" i="33"/>
  <c r="W104" i="33"/>
  <c r="V104" i="33"/>
  <c r="U104" i="33"/>
  <c r="T104" i="33"/>
  <c r="S104" i="33"/>
  <c r="R104" i="33"/>
  <c r="Q104" i="33"/>
  <c r="P104" i="33"/>
  <c r="O104" i="33"/>
  <c r="N104" i="33"/>
  <c r="M104" i="33"/>
  <c r="L104" i="33"/>
  <c r="L107" i="33" s="1"/>
  <c r="K104" i="33"/>
  <c r="J104" i="33"/>
  <c r="I104" i="33"/>
  <c r="H104" i="33"/>
  <c r="G104" i="33"/>
  <c r="F104" i="33"/>
  <c r="E104" i="33"/>
  <c r="D104" i="33"/>
  <c r="D107" i="33" s="1"/>
  <c r="AB103" i="33"/>
  <c r="AA103" i="33"/>
  <c r="Z103" i="33"/>
  <c r="Y103" i="33"/>
  <c r="X103" i="33"/>
  <c r="W103" i="33"/>
  <c r="V103" i="33"/>
  <c r="U103" i="33"/>
  <c r="T103" i="33"/>
  <c r="S103" i="33"/>
  <c r="R103" i="33"/>
  <c r="Q103" i="33"/>
  <c r="P103" i="33"/>
  <c r="O103" i="33"/>
  <c r="N103" i="33"/>
  <c r="M103" i="33"/>
  <c r="L103" i="33"/>
  <c r="K103" i="33"/>
  <c r="J103" i="33"/>
  <c r="I103" i="33"/>
  <c r="H103" i="33"/>
  <c r="G103" i="33"/>
  <c r="F103" i="33"/>
  <c r="E103" i="33"/>
  <c r="D103" i="33"/>
  <c r="AB102" i="33"/>
  <c r="AA102" i="33"/>
  <c r="Z102" i="33"/>
  <c r="Y102" i="33"/>
  <c r="X102" i="33"/>
  <c r="W102" i="33"/>
  <c r="V102" i="33"/>
  <c r="U102" i="33"/>
  <c r="T102" i="33"/>
  <c r="S102" i="33"/>
  <c r="R102" i="33"/>
  <c r="Q102" i="33"/>
  <c r="P102" i="33"/>
  <c r="O102" i="33"/>
  <c r="N102" i="33"/>
  <c r="M102" i="33"/>
  <c r="L102" i="33"/>
  <c r="K102" i="33"/>
  <c r="J102" i="33"/>
  <c r="I102" i="33"/>
  <c r="H102" i="33"/>
  <c r="G102" i="33"/>
  <c r="F102" i="33"/>
  <c r="E102" i="33"/>
  <c r="D102" i="33"/>
  <c r="AB101" i="33"/>
  <c r="AA101" i="33"/>
  <c r="Z101" i="33"/>
  <c r="Y101" i="33"/>
  <c r="X101" i="33"/>
  <c r="W101" i="33"/>
  <c r="V101" i="33"/>
  <c r="U101" i="33"/>
  <c r="T101" i="33"/>
  <c r="S101" i="33"/>
  <c r="R101" i="33"/>
  <c r="Q101" i="33"/>
  <c r="P101" i="33"/>
  <c r="O101" i="33"/>
  <c r="N101" i="33"/>
  <c r="M101" i="33"/>
  <c r="L101" i="33"/>
  <c r="K101" i="33"/>
  <c r="J101" i="33"/>
  <c r="I101" i="33"/>
  <c r="H101" i="33"/>
  <c r="H107" i="33" s="1"/>
  <c r="G101" i="33"/>
  <c r="F101" i="33"/>
  <c r="E101" i="33"/>
  <c r="D101" i="33"/>
  <c r="AI98" i="33"/>
  <c r="AH98" i="33"/>
  <c r="AI96" i="33"/>
  <c r="AH96" i="33"/>
  <c r="AG96" i="33"/>
  <c r="AI95" i="33"/>
  <c r="AH95" i="33"/>
  <c r="AI94" i="33"/>
  <c r="AH94" i="33"/>
  <c r="AI93" i="33"/>
  <c r="AH93" i="33"/>
  <c r="AG92" i="33"/>
  <c r="AB92" i="33"/>
  <c r="AA92" i="33"/>
  <c r="Z92" i="33"/>
  <c r="Y5" i="33" s="1"/>
  <c r="Y92" i="33"/>
  <c r="X5" i="33" s="1"/>
  <c r="X92" i="33"/>
  <c r="W92" i="33"/>
  <c r="V5" i="33" s="1"/>
  <c r="V92" i="33"/>
  <c r="U5" i="33" s="1"/>
  <c r="U92" i="33"/>
  <c r="T5" i="33" s="1"/>
  <c r="T92" i="33"/>
  <c r="S92" i="33"/>
  <c r="R92" i="33"/>
  <c r="Q5" i="33" s="1"/>
  <c r="Q92" i="33"/>
  <c r="P5" i="33" s="1"/>
  <c r="P92" i="33"/>
  <c r="O92" i="33"/>
  <c r="N5" i="33" s="1"/>
  <c r="N92" i="33"/>
  <c r="M5" i="33" s="1"/>
  <c r="M92" i="33"/>
  <c r="L5" i="33" s="1"/>
  <c r="L92" i="33"/>
  <c r="K92" i="33"/>
  <c r="J92" i="33"/>
  <c r="I5" i="33" s="1"/>
  <c r="I92" i="33"/>
  <c r="H5" i="33" s="1"/>
  <c r="H92" i="33"/>
  <c r="H108" i="33" s="1"/>
  <c r="G92" i="33"/>
  <c r="F92" i="33"/>
  <c r="E5" i="33" s="1"/>
  <c r="E92" i="33"/>
  <c r="D5" i="33" s="1"/>
  <c r="D92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I83" i="33"/>
  <c r="AH83" i="33"/>
  <c r="AI82" i="33"/>
  <c r="AH82" i="33"/>
  <c r="AI81" i="33"/>
  <c r="AH81" i="33"/>
  <c r="AG80" i="33"/>
  <c r="AG4" i="33" s="1"/>
  <c r="AB80" i="33"/>
  <c r="AA80" i="33"/>
  <c r="Z80" i="33"/>
  <c r="Y80" i="33"/>
  <c r="X80" i="33"/>
  <c r="W80" i="33"/>
  <c r="V80" i="33"/>
  <c r="U80" i="33"/>
  <c r="T80" i="33"/>
  <c r="S80" i="33"/>
  <c r="R80" i="33"/>
  <c r="Q80" i="33"/>
  <c r="P80" i="33"/>
  <c r="O80" i="33"/>
  <c r="N80" i="33"/>
  <c r="K80" i="33"/>
  <c r="H80" i="33"/>
  <c r="G80" i="33"/>
  <c r="F80" i="33"/>
  <c r="D80" i="33"/>
  <c r="AI79" i="33"/>
  <c r="AH79" i="33"/>
  <c r="AI78" i="33"/>
  <c r="AH78" i="33"/>
  <c r="AI77" i="33"/>
  <c r="AH77" i="33"/>
  <c r="AG76" i="33"/>
  <c r="AB76" i="33"/>
  <c r="AA76" i="33"/>
  <c r="Z76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K76" i="33"/>
  <c r="H76" i="33"/>
  <c r="G76" i="33"/>
  <c r="F76" i="33"/>
  <c r="D76" i="33"/>
  <c r="AI75" i="33"/>
  <c r="AH75" i="33"/>
  <c r="AG75" i="33"/>
  <c r="AI74" i="33"/>
  <c r="AH74" i="33"/>
  <c r="AI73" i="33"/>
  <c r="AH73" i="33"/>
  <c r="AI72" i="33"/>
  <c r="AH72" i="33"/>
  <c r="AI71" i="33"/>
  <c r="AH71" i="33"/>
  <c r="AI70" i="33"/>
  <c r="AH70" i="33"/>
  <c r="AI69" i="33"/>
  <c r="AH69" i="33"/>
  <c r="AI68" i="33"/>
  <c r="AH68" i="33"/>
  <c r="AI67" i="33"/>
  <c r="AH67" i="33"/>
  <c r="AI66" i="33"/>
  <c r="AH66" i="33"/>
  <c r="AI65" i="33"/>
  <c r="AH65" i="33"/>
  <c r="AI64" i="33"/>
  <c r="AH64" i="33"/>
  <c r="AI63" i="33"/>
  <c r="AH63" i="33"/>
  <c r="AG62" i="33"/>
  <c r="AB62" i="33"/>
  <c r="AA62" i="33"/>
  <c r="Z62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K62" i="33"/>
  <c r="H62" i="33"/>
  <c r="AI61" i="33"/>
  <c r="AH61" i="33"/>
  <c r="AI60" i="33"/>
  <c r="AH60" i="33"/>
  <c r="AI59" i="33"/>
  <c r="AH59" i="33"/>
  <c r="AG58" i="33"/>
  <c r="AG2" i="33" s="1"/>
  <c r="AG6" i="33" s="1"/>
  <c r="AB58" i="33"/>
  <c r="AA58" i="33"/>
  <c r="Z58" i="33"/>
  <c r="Y58" i="33"/>
  <c r="X58" i="33"/>
  <c r="W58" i="33"/>
  <c r="V58" i="33"/>
  <c r="V97" i="33" s="1"/>
  <c r="V99" i="33" s="1"/>
  <c r="U58" i="33"/>
  <c r="T58" i="33"/>
  <c r="S58" i="33"/>
  <c r="R58" i="33"/>
  <c r="Q58" i="33"/>
  <c r="P58" i="33"/>
  <c r="O58" i="33"/>
  <c r="N58" i="33"/>
  <c r="K58" i="33"/>
  <c r="H58" i="33"/>
  <c r="AI57" i="33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F5" i="33"/>
  <c r="AE5" i="33"/>
  <c r="AD5" i="33"/>
  <c r="AC5" i="33"/>
  <c r="AB5" i="33"/>
  <c r="W5" i="33"/>
  <c r="F5" i="33"/>
  <c r="K4" i="33"/>
  <c r="E4" i="33"/>
  <c r="H4" i="33" s="1"/>
  <c r="B4" i="33"/>
  <c r="S258" i="33" s="1"/>
  <c r="AG3" i="33"/>
  <c r="AF123" i="32"/>
  <c r="AF121" i="32"/>
  <c r="AF57" i="32"/>
  <c r="AF58" i="32"/>
  <c r="AF62" i="32"/>
  <c r="AF76" i="32"/>
  <c r="AF80" i="32"/>
  <c r="AF92" i="32"/>
  <c r="AF108" i="32" s="1"/>
  <c r="AF101" i="32"/>
  <c r="AF107" i="32" s="1"/>
  <c r="AF102" i="32"/>
  <c r="AF103" i="32"/>
  <c r="AF104" i="32"/>
  <c r="AF105" i="32"/>
  <c r="AE123" i="32"/>
  <c r="AE118" i="32" s="1"/>
  <c r="AE121" i="32"/>
  <c r="AE57" i="32"/>
  <c r="AE58" i="32"/>
  <c r="AE62" i="32"/>
  <c r="AE76" i="32"/>
  <c r="AE80" i="32"/>
  <c r="AE92" i="32"/>
  <c r="AE101" i="32"/>
  <c r="AE107" i="32" s="1"/>
  <c r="AE102" i="32"/>
  <c r="AE103" i="32"/>
  <c r="AE104" i="32"/>
  <c r="AE105" i="32"/>
  <c r="AD123" i="32"/>
  <c r="AD121" i="32"/>
  <c r="AD57" i="32"/>
  <c r="AD58" i="32"/>
  <c r="AD62" i="32"/>
  <c r="AD76" i="32"/>
  <c r="AD80" i="32"/>
  <c r="AD92" i="32"/>
  <c r="AD101" i="32"/>
  <c r="AD107" i="32" s="1"/>
  <c r="AD102" i="32"/>
  <c r="AD103" i="32"/>
  <c r="AD104" i="32"/>
  <c r="AD105" i="32"/>
  <c r="AC123" i="32"/>
  <c r="AC58" i="32"/>
  <c r="AB123" i="32"/>
  <c r="AB58" i="32"/>
  <c r="AA123" i="32"/>
  <c r="AA57" i="32"/>
  <c r="Z123" i="32"/>
  <c r="Z57" i="32"/>
  <c r="Y57" i="32"/>
  <c r="Y123" i="32"/>
  <c r="X57" i="32"/>
  <c r="X92" i="32"/>
  <c r="X123" i="32"/>
  <c r="T57" i="32"/>
  <c r="U57" i="32"/>
  <c r="V57" i="32"/>
  <c r="W57" i="32"/>
  <c r="W123" i="32"/>
  <c r="V123" i="32"/>
  <c r="U123" i="32"/>
  <c r="T123" i="32"/>
  <c r="AA100" i="34" l="1"/>
  <c r="AA7" i="34" s="1"/>
  <c r="U100" i="34"/>
  <c r="U7" i="34" s="1"/>
  <c r="D100" i="34"/>
  <c r="D7" i="34" s="1"/>
  <c r="AC100" i="34"/>
  <c r="AC7" i="34" s="1"/>
  <c r="AU261" i="34"/>
  <c r="AX261" i="34"/>
  <c r="AD100" i="34"/>
  <c r="AD7" i="34" s="1"/>
  <c r="AB100" i="34"/>
  <c r="AB7" i="34" s="1"/>
  <c r="V261" i="34"/>
  <c r="X100" i="34"/>
  <c r="X7" i="34" s="1"/>
  <c r="AG261" i="34"/>
  <c r="Y108" i="34"/>
  <c r="Q100" i="34"/>
  <c r="Q7" i="34" s="1"/>
  <c r="R100" i="34"/>
  <c r="R7" i="34" s="1"/>
  <c r="AD261" i="34"/>
  <c r="J100" i="34"/>
  <c r="J7" i="34" s="1"/>
  <c r="AM261" i="34"/>
  <c r="W100" i="34"/>
  <c r="W7" i="34" s="1"/>
  <c r="T100" i="34"/>
  <c r="T7" i="34" s="1"/>
  <c r="AP261" i="34"/>
  <c r="V100" i="34"/>
  <c r="V7" i="34" s="1"/>
  <c r="C100" i="34"/>
  <c r="C7" i="34" s="1"/>
  <c r="M100" i="34"/>
  <c r="M7" i="34" s="1"/>
  <c r="B256" i="34"/>
  <c r="K100" i="34"/>
  <c r="K7" i="34" s="1"/>
  <c r="I100" i="34"/>
  <c r="I7" i="34" s="1"/>
  <c r="AA261" i="34"/>
  <c r="H100" i="34"/>
  <c r="H7" i="34" s="1"/>
  <c r="C256" i="34"/>
  <c r="G100" i="34"/>
  <c r="G7" i="34" s="1"/>
  <c r="F100" i="34"/>
  <c r="F7" i="34" s="1"/>
  <c r="E100" i="34"/>
  <c r="E7" i="34" s="1"/>
  <c r="C108" i="34"/>
  <c r="AI97" i="34"/>
  <c r="AH97" i="34"/>
  <c r="AI107" i="34"/>
  <c r="AH107" i="34"/>
  <c r="D282" i="34"/>
  <c r="F251" i="34"/>
  <c r="E252" i="34"/>
  <c r="G246" i="34"/>
  <c r="AA107" i="33"/>
  <c r="AA97" i="33"/>
  <c r="AA99" i="33" s="1"/>
  <c r="AS261" i="33" s="1"/>
  <c r="Z108" i="33"/>
  <c r="Z97" i="33"/>
  <c r="Z99" i="33" s="1"/>
  <c r="Z100" i="33" s="1"/>
  <c r="Z7" i="33" s="1"/>
  <c r="Y97" i="33"/>
  <c r="Y99" i="33" s="1"/>
  <c r="X97" i="33"/>
  <c r="X99" i="33" s="1"/>
  <c r="X107" i="33"/>
  <c r="X108" i="33"/>
  <c r="W97" i="33"/>
  <c r="W99" i="33" s="1"/>
  <c r="U107" i="33"/>
  <c r="U97" i="33"/>
  <c r="U99" i="33" s="1"/>
  <c r="S107" i="33"/>
  <c r="S97" i="33"/>
  <c r="S99" i="33" s="1"/>
  <c r="AK261" i="33" s="1"/>
  <c r="R107" i="33"/>
  <c r="R97" i="33"/>
  <c r="R99" i="33" s="1"/>
  <c r="AJ261" i="33" s="1"/>
  <c r="Q97" i="33"/>
  <c r="Q99" i="33" s="1"/>
  <c r="P107" i="33"/>
  <c r="P108" i="33" s="1"/>
  <c r="O5" i="33"/>
  <c r="P97" i="33"/>
  <c r="P99" i="33" s="1"/>
  <c r="O107" i="33"/>
  <c r="O97" i="33"/>
  <c r="O99" i="33" s="1"/>
  <c r="AG261" i="33" s="1"/>
  <c r="N97" i="33"/>
  <c r="N99" i="33" s="1"/>
  <c r="M97" i="33"/>
  <c r="M99" i="33" s="1"/>
  <c r="AE261" i="33" s="1"/>
  <c r="M107" i="33"/>
  <c r="M108" i="33" s="1"/>
  <c r="K107" i="33"/>
  <c r="K97" i="33"/>
  <c r="K99" i="33" s="1"/>
  <c r="AC261" i="33" s="1"/>
  <c r="G97" i="33"/>
  <c r="G99" i="33" s="1"/>
  <c r="J97" i="33"/>
  <c r="J99" i="33" s="1"/>
  <c r="AB261" i="33" s="1"/>
  <c r="J107" i="33"/>
  <c r="J108" i="33" s="1"/>
  <c r="AH102" i="33"/>
  <c r="I97" i="33"/>
  <c r="I99" i="33" s="1"/>
  <c r="AA261" i="33" s="1"/>
  <c r="AI102" i="33"/>
  <c r="G5" i="33"/>
  <c r="H97" i="33"/>
  <c r="H99" i="33" s="1"/>
  <c r="Z261" i="33" s="1"/>
  <c r="E107" i="33"/>
  <c r="E97" i="33"/>
  <c r="E99" i="33" s="1"/>
  <c r="AI80" i="33"/>
  <c r="AH92" i="33"/>
  <c r="AI92" i="33"/>
  <c r="C97" i="33"/>
  <c r="C99" i="33" s="1"/>
  <c r="U261" i="33" s="1"/>
  <c r="AH123" i="33"/>
  <c r="AI76" i="33"/>
  <c r="C107" i="33"/>
  <c r="C108" i="33" s="1"/>
  <c r="AI123" i="33"/>
  <c r="AI103" i="33"/>
  <c r="B108" i="33"/>
  <c r="B97" i="33"/>
  <c r="B99" i="33" s="1"/>
  <c r="B100" i="33" s="1"/>
  <c r="AH103" i="33"/>
  <c r="AH76" i="33"/>
  <c r="AH261" i="33"/>
  <c r="P100" i="33"/>
  <c r="P7" i="33" s="1"/>
  <c r="R108" i="33"/>
  <c r="R100" i="33"/>
  <c r="R7" i="33" s="1"/>
  <c r="AI261" i="33"/>
  <c r="AQ261" i="33"/>
  <c r="W261" i="33"/>
  <c r="E100" i="33"/>
  <c r="E7" i="33" s="1"/>
  <c r="AU261" i="33"/>
  <c r="AC7" i="33"/>
  <c r="Y261" i="33"/>
  <c r="AO261" i="33"/>
  <c r="AW261" i="33"/>
  <c r="AE7" i="33"/>
  <c r="AP261" i="33"/>
  <c r="X100" i="33"/>
  <c r="X7" i="33" s="1"/>
  <c r="J100" i="33"/>
  <c r="J7" i="33" s="1"/>
  <c r="AI62" i="33"/>
  <c r="AG99" i="33"/>
  <c r="AH80" i="33"/>
  <c r="B5" i="33"/>
  <c r="J5" i="33"/>
  <c r="K108" i="33"/>
  <c r="R5" i="33"/>
  <c r="S108" i="33"/>
  <c r="Z5" i="33"/>
  <c r="AA108" i="33"/>
  <c r="AG97" i="33"/>
  <c r="AM261" i="33"/>
  <c r="U100" i="33"/>
  <c r="U7" i="33" s="1"/>
  <c r="S100" i="33"/>
  <c r="S7" i="33" s="1"/>
  <c r="F107" i="33"/>
  <c r="N107" i="33"/>
  <c r="N100" i="33" s="1"/>
  <c r="N7" i="33" s="1"/>
  <c r="V107" i="33"/>
  <c r="V100" i="33" s="1"/>
  <c r="V7" i="33" s="1"/>
  <c r="S5" i="33"/>
  <c r="T108" i="33"/>
  <c r="W107" i="33"/>
  <c r="W108" i="33" s="1"/>
  <c r="D252" i="33"/>
  <c r="E246" i="33"/>
  <c r="D118" i="33"/>
  <c r="G251" i="33"/>
  <c r="E282" i="33"/>
  <c r="AX261" i="33"/>
  <c r="AF7" i="33"/>
  <c r="AA5" i="33"/>
  <c r="AB108" i="33"/>
  <c r="D97" i="33"/>
  <c r="D99" i="33" s="1"/>
  <c r="L97" i="33"/>
  <c r="L99" i="33" s="1"/>
  <c r="T97" i="33"/>
  <c r="T99" i="33" s="1"/>
  <c r="AB97" i="33"/>
  <c r="AB99" i="33" s="1"/>
  <c r="E108" i="33"/>
  <c r="U108" i="33"/>
  <c r="AA100" i="33"/>
  <c r="AA7" i="33" s="1"/>
  <c r="C5" i="33"/>
  <c r="D108" i="33"/>
  <c r="G107" i="33"/>
  <c r="G100" i="33" s="1"/>
  <c r="G7" i="33" s="1"/>
  <c r="I107" i="33"/>
  <c r="I108" i="33" s="1"/>
  <c r="Q107" i="33"/>
  <c r="Q108" i="33" s="1"/>
  <c r="Y107" i="33"/>
  <c r="Y108" i="33" s="1"/>
  <c r="AH101" i="33"/>
  <c r="AI105" i="33"/>
  <c r="K5" i="33"/>
  <c r="L108" i="33"/>
  <c r="AH58" i="33"/>
  <c r="AF261" i="33"/>
  <c r="AN261" i="33"/>
  <c r="AV261" i="33"/>
  <c r="AD7" i="33"/>
  <c r="O108" i="33"/>
  <c r="AI101" i="33"/>
  <c r="AI104" i="33"/>
  <c r="F97" i="33"/>
  <c r="F99" i="33" s="1"/>
  <c r="D258" i="33"/>
  <c r="AH62" i="33"/>
  <c r="AI58" i="33"/>
  <c r="AH104" i="33"/>
  <c r="AH105" i="33"/>
  <c r="AF97" i="32"/>
  <c r="AF99" i="32" s="1"/>
  <c r="AF100" i="32" s="1"/>
  <c r="AE108" i="32"/>
  <c r="AE97" i="32"/>
  <c r="AE99" i="32" s="1"/>
  <c r="AE100" i="32" s="1"/>
  <c r="AD118" i="32"/>
  <c r="AD108" i="32"/>
  <c r="AD97" i="32"/>
  <c r="AD99" i="32" s="1"/>
  <c r="AD100" i="32" s="1"/>
  <c r="K6" i="34" l="1"/>
  <c r="E282" i="34"/>
  <c r="G251" i="34"/>
  <c r="G252" i="34" s="1"/>
  <c r="F252" i="34"/>
  <c r="F118" i="34"/>
  <c r="H246" i="34"/>
  <c r="G118" i="34"/>
  <c r="AI108" i="34"/>
  <c r="AH108" i="34"/>
  <c r="AH99" i="34"/>
  <c r="T261" i="34"/>
  <c r="AI99" i="34"/>
  <c r="AR261" i="33"/>
  <c r="V108" i="33"/>
  <c r="O100" i="33"/>
  <c r="O7" i="33" s="1"/>
  <c r="N108" i="33"/>
  <c r="M100" i="33"/>
  <c r="M7" i="33" s="1"/>
  <c r="K100" i="33"/>
  <c r="K7" i="33" s="1"/>
  <c r="C256" i="33"/>
  <c r="B256" i="33"/>
  <c r="H100" i="33"/>
  <c r="H7" i="33" s="1"/>
  <c r="G108" i="33"/>
  <c r="AH107" i="33"/>
  <c r="C100" i="33"/>
  <c r="C7" i="33" s="1"/>
  <c r="X261" i="33"/>
  <c r="F100" i="33"/>
  <c r="F7" i="33" s="1"/>
  <c r="F108" i="33"/>
  <c r="AH108" i="33" s="1"/>
  <c r="AI107" i="33"/>
  <c r="AT261" i="33"/>
  <c r="AB100" i="33"/>
  <c r="AB7" i="33" s="1"/>
  <c r="AL261" i="33"/>
  <c r="T100" i="33"/>
  <c r="T7" i="33" s="1"/>
  <c r="F282" i="33"/>
  <c r="H251" i="33"/>
  <c r="W100" i="33"/>
  <c r="W7" i="33" s="1"/>
  <c r="Q100" i="33"/>
  <c r="Q7" i="33" s="1"/>
  <c r="Y100" i="33"/>
  <c r="Y7" i="33" s="1"/>
  <c r="AI97" i="33"/>
  <c r="AH97" i="33"/>
  <c r="AD261" i="33"/>
  <c r="L100" i="33"/>
  <c r="L7" i="33" s="1"/>
  <c r="V261" i="33"/>
  <c r="D100" i="33"/>
  <c r="D7" i="33" s="1"/>
  <c r="F246" i="33"/>
  <c r="E118" i="33"/>
  <c r="E252" i="33"/>
  <c r="I100" i="33"/>
  <c r="I7" i="33" s="1"/>
  <c r="S123" i="32"/>
  <c r="S57" i="32"/>
  <c r="R123" i="32"/>
  <c r="R121" i="32"/>
  <c r="R57" i="32"/>
  <c r="I246" i="34" l="1"/>
  <c r="AI100" i="34"/>
  <c r="AH100" i="34"/>
  <c r="B7" i="34"/>
  <c r="A7" i="34" s="1"/>
  <c r="F282" i="34"/>
  <c r="H251" i="34"/>
  <c r="K6" i="33"/>
  <c r="AI108" i="33"/>
  <c r="G246" i="33"/>
  <c r="F252" i="33"/>
  <c r="F118" i="33"/>
  <c r="AI99" i="33"/>
  <c r="AH99" i="33"/>
  <c r="T261" i="33"/>
  <c r="G282" i="33"/>
  <c r="I251" i="33"/>
  <c r="G282" i="34" l="1"/>
  <c r="I251" i="34"/>
  <c r="H252" i="34"/>
  <c r="H118" i="34"/>
  <c r="I118" i="34"/>
  <c r="I252" i="34"/>
  <c r="J246" i="34"/>
  <c r="AH100" i="33"/>
  <c r="B7" i="33"/>
  <c r="A7" i="33" s="1"/>
  <c r="AI100" i="33"/>
  <c r="H282" i="33"/>
  <c r="J251" i="33"/>
  <c r="H246" i="33"/>
  <c r="G118" i="33"/>
  <c r="G252" i="33"/>
  <c r="K246" i="34" l="1"/>
  <c r="H282" i="34"/>
  <c r="J251" i="34"/>
  <c r="I246" i="33"/>
  <c r="H118" i="33"/>
  <c r="H252" i="33"/>
  <c r="K251" i="33"/>
  <c r="I282" i="33"/>
  <c r="K251" i="34" l="1"/>
  <c r="K118" i="34" s="1"/>
  <c r="I282" i="34"/>
  <c r="L246" i="34"/>
  <c r="J252" i="34"/>
  <c r="J118" i="34"/>
  <c r="J282" i="33"/>
  <c r="L251" i="33"/>
  <c r="I118" i="33"/>
  <c r="I252" i="33"/>
  <c r="J246" i="33"/>
  <c r="K252" i="34" l="1"/>
  <c r="M246" i="34"/>
  <c r="L251" i="34"/>
  <c r="L118" i="34" s="1"/>
  <c r="J282" i="34"/>
  <c r="J118" i="33"/>
  <c r="J252" i="33"/>
  <c r="K246" i="33"/>
  <c r="M251" i="33"/>
  <c r="K282" i="33"/>
  <c r="K282" i="34" l="1"/>
  <c r="M251" i="34"/>
  <c r="M118" i="34" s="1"/>
  <c r="N246" i="34"/>
  <c r="L252" i="34"/>
  <c r="K118" i="33"/>
  <c r="K252" i="33"/>
  <c r="L246" i="33"/>
  <c r="L282" i="33"/>
  <c r="N251" i="33"/>
  <c r="M252" i="34" l="1"/>
  <c r="O246" i="34"/>
  <c r="L282" i="34"/>
  <c r="N251" i="34"/>
  <c r="N118" i="34" s="1"/>
  <c r="L252" i="33"/>
  <c r="M246" i="33"/>
  <c r="L118" i="33"/>
  <c r="M282" i="33"/>
  <c r="O251" i="33"/>
  <c r="N252" i="34" l="1"/>
  <c r="M282" i="34"/>
  <c r="O251" i="34"/>
  <c r="P246" i="34"/>
  <c r="O118" i="34"/>
  <c r="O252" i="34"/>
  <c r="N282" i="33"/>
  <c r="P251" i="33"/>
  <c r="N246" i="33"/>
  <c r="M118" i="33"/>
  <c r="M252" i="33"/>
  <c r="N282" i="34" l="1"/>
  <c r="P251" i="34"/>
  <c r="P252" i="34" s="1"/>
  <c r="Q246" i="34"/>
  <c r="O246" i="33"/>
  <c r="N252" i="33"/>
  <c r="N118" i="33"/>
  <c r="O282" i="33"/>
  <c r="Q251" i="33"/>
  <c r="R246" i="34" l="1"/>
  <c r="O282" i="34"/>
  <c r="Q251" i="34"/>
  <c r="P282" i="33"/>
  <c r="R251" i="33"/>
  <c r="O118" i="33"/>
  <c r="P246" i="33"/>
  <c r="O252" i="33"/>
  <c r="P282" i="34" l="1"/>
  <c r="R251" i="34"/>
  <c r="R252" i="34" s="1"/>
  <c r="S246" i="34"/>
  <c r="Q118" i="34"/>
  <c r="Q252" i="34"/>
  <c r="Q246" i="33"/>
  <c r="P252" i="33"/>
  <c r="S251" i="33"/>
  <c r="Q282" i="33"/>
  <c r="R118" i="34" l="1"/>
  <c r="T246" i="34"/>
  <c r="S251" i="34"/>
  <c r="Q282" i="34"/>
  <c r="R282" i="33"/>
  <c r="T251" i="33"/>
  <c r="Q252" i="33"/>
  <c r="Q118" i="33"/>
  <c r="R246" i="33"/>
  <c r="T251" i="34" l="1"/>
  <c r="T252" i="34" s="1"/>
  <c r="R282" i="34"/>
  <c r="U246" i="34"/>
  <c r="S118" i="34"/>
  <c r="S252" i="34"/>
  <c r="R252" i="33"/>
  <c r="R118" i="33"/>
  <c r="S246" i="33"/>
  <c r="U251" i="33"/>
  <c r="S282" i="33"/>
  <c r="T118" i="34" l="1"/>
  <c r="V246" i="34"/>
  <c r="S282" i="34"/>
  <c r="U251" i="34"/>
  <c r="U118" i="34" s="1"/>
  <c r="T282" i="33"/>
  <c r="V251" i="33"/>
  <c r="S252" i="33"/>
  <c r="S118" i="33"/>
  <c r="T246" i="33"/>
  <c r="W246" i="34" l="1"/>
  <c r="T282" i="34"/>
  <c r="V251" i="34"/>
  <c r="V118" i="34" s="1"/>
  <c r="U252" i="34"/>
  <c r="T252" i="33"/>
  <c r="T118" i="33"/>
  <c r="U246" i="33"/>
  <c r="U282" i="33"/>
  <c r="W251" i="33"/>
  <c r="U282" i="34" l="1"/>
  <c r="W251" i="34"/>
  <c r="W252" i="34" s="1"/>
  <c r="V252" i="34"/>
  <c r="X246" i="34"/>
  <c r="V282" i="33"/>
  <c r="X251" i="33"/>
  <c r="V246" i="33"/>
  <c r="U252" i="33"/>
  <c r="U118" i="33"/>
  <c r="W118" i="34" l="1"/>
  <c r="V282" i="34"/>
  <c r="X251" i="34"/>
  <c r="Y246" i="34"/>
  <c r="X252" i="34"/>
  <c r="X118" i="34"/>
  <c r="W246" i="33"/>
  <c r="V252" i="33"/>
  <c r="V118" i="33"/>
  <c r="W282" i="33"/>
  <c r="Y251" i="33"/>
  <c r="Z246" i="34" l="1"/>
  <c r="Y118" i="34"/>
  <c r="W282" i="34"/>
  <c r="Y251" i="34"/>
  <c r="X282" i="33"/>
  <c r="Z251" i="33"/>
  <c r="X246" i="33"/>
  <c r="W118" i="33"/>
  <c r="W252" i="33"/>
  <c r="X282" i="34" l="1"/>
  <c r="Z251" i="34"/>
  <c r="Z252" i="34" s="1"/>
  <c r="Y252" i="34"/>
  <c r="AA246" i="34"/>
  <c r="Y246" i="33"/>
  <c r="X252" i="33"/>
  <c r="X118" i="33"/>
  <c r="AA251" i="33"/>
  <c r="Y282" i="33"/>
  <c r="Z118" i="34" l="1"/>
  <c r="AB246" i="34"/>
  <c r="AA251" i="34"/>
  <c r="Y282" i="34"/>
  <c r="Z282" i="33"/>
  <c r="AB251" i="33"/>
  <c r="Y252" i="33"/>
  <c r="Y118" i="33"/>
  <c r="Z246" i="33"/>
  <c r="AB251" i="34" l="1"/>
  <c r="AB252" i="34" s="1"/>
  <c r="Z282" i="34"/>
  <c r="AC246" i="34"/>
  <c r="AA118" i="34"/>
  <c r="AA252" i="34"/>
  <c r="Z252" i="33"/>
  <c r="Z118" i="33"/>
  <c r="AA246" i="33"/>
  <c r="AC251" i="33"/>
  <c r="AA282" i="33"/>
  <c r="AB118" i="34" l="1"/>
  <c r="AD246" i="34"/>
  <c r="AA282" i="34"/>
  <c r="AC251" i="34"/>
  <c r="AB282" i="33"/>
  <c r="AD251" i="33"/>
  <c r="AA252" i="33"/>
  <c r="AA118" i="33"/>
  <c r="AB246" i="33"/>
  <c r="AB282" i="34" l="1"/>
  <c r="AD251" i="34"/>
  <c r="AD252" i="34" s="1"/>
  <c r="AE246" i="34"/>
  <c r="AC118" i="34"/>
  <c r="AC252" i="34"/>
  <c r="AB252" i="33"/>
  <c r="AB118" i="33"/>
  <c r="AC246" i="33"/>
  <c r="AE251" i="33"/>
  <c r="AC282" i="33"/>
  <c r="AF246" i="34" l="1"/>
  <c r="AC282" i="34"/>
  <c r="AE251" i="34"/>
  <c r="AD282" i="33"/>
  <c r="AF251" i="33"/>
  <c r="AD246" i="33"/>
  <c r="AC252" i="33"/>
  <c r="AD282" i="34" l="1"/>
  <c r="AF251" i="34"/>
  <c r="AF252" i="34" s="1"/>
  <c r="AE252" i="34"/>
  <c r="AE118" i="34"/>
  <c r="B246" i="34"/>
  <c r="AE246" i="33"/>
  <c r="AD252" i="33"/>
  <c r="B251" i="33"/>
  <c r="AF282" i="33" s="1"/>
  <c r="AE282" i="33"/>
  <c r="AF118" i="34" l="1"/>
  <c r="B251" i="34"/>
  <c r="AF282" i="34" s="1"/>
  <c r="AE282" i="34"/>
  <c r="AF246" i="33"/>
  <c r="AE252" i="33"/>
  <c r="B118" i="34" l="1"/>
  <c r="B252" i="34"/>
  <c r="AF252" i="33"/>
  <c r="B246" i="33"/>
  <c r="AI118" i="34" l="1"/>
  <c r="AH118" i="34"/>
  <c r="B252" i="33"/>
  <c r="AH118" i="33" l="1"/>
  <c r="AI118" i="33"/>
  <c r="Q123" i="32" l="1"/>
  <c r="Q121" i="32"/>
  <c r="Q57" i="32"/>
  <c r="P123" i="32"/>
  <c r="AI123" i="32" s="1"/>
  <c r="P121" i="32"/>
  <c r="P57" i="32"/>
  <c r="O123" i="32"/>
  <c r="O121" i="32"/>
  <c r="O57" i="32"/>
  <c r="N123" i="32"/>
  <c r="N121" i="32"/>
  <c r="N57" i="32"/>
  <c r="M123" i="32"/>
  <c r="M58" i="32"/>
  <c r="M62" i="32"/>
  <c r="L123" i="32"/>
  <c r="L119" i="32"/>
  <c r="L122" i="32"/>
  <c r="K122" i="32"/>
  <c r="AI122" i="32" s="1"/>
  <c r="K119" i="32"/>
  <c r="I58" i="32"/>
  <c r="H58" i="32"/>
  <c r="H62" i="32"/>
  <c r="D123" i="32"/>
  <c r="C123" i="32"/>
  <c r="C118" i="32" s="1"/>
  <c r="C57" i="32"/>
  <c r="D57" i="32"/>
  <c r="AH57" i="32" s="1"/>
  <c r="B57" i="32"/>
  <c r="B123" i="32"/>
  <c r="B58" i="32"/>
  <c r="AF286" i="32"/>
  <c r="AE286" i="32"/>
  <c r="AD286" i="32"/>
  <c r="AC286" i="32"/>
  <c r="AB286" i="32"/>
  <c r="AA286" i="32"/>
  <c r="Z286" i="32"/>
  <c r="Y286" i="32"/>
  <c r="X286" i="32"/>
  <c r="W286" i="32"/>
  <c r="V286" i="32"/>
  <c r="U286" i="32"/>
  <c r="T286" i="32"/>
  <c r="S286" i="32"/>
  <c r="R286" i="32"/>
  <c r="Q286" i="32"/>
  <c r="P286" i="32"/>
  <c r="O286" i="32"/>
  <c r="N286" i="32"/>
  <c r="M286" i="32"/>
  <c r="L286" i="32"/>
  <c r="K286" i="32"/>
  <c r="J286" i="32"/>
  <c r="I286" i="32"/>
  <c r="H286" i="32"/>
  <c r="G286" i="32"/>
  <c r="F286" i="32"/>
  <c r="E286" i="32"/>
  <c r="D286" i="32"/>
  <c r="C286" i="32"/>
  <c r="B286" i="32"/>
  <c r="A286" i="32"/>
  <c r="AF285" i="32"/>
  <c r="AE285" i="32"/>
  <c r="AD285" i="32"/>
  <c r="AC285" i="32"/>
  <c r="AB285" i="32"/>
  <c r="AA285" i="32"/>
  <c r="Z285" i="32"/>
  <c r="Y285" i="32"/>
  <c r="X285" i="32"/>
  <c r="W285" i="32"/>
  <c r="V285" i="32"/>
  <c r="U285" i="32"/>
  <c r="T285" i="32"/>
  <c r="S285" i="32"/>
  <c r="R285" i="32"/>
  <c r="Q285" i="32"/>
  <c r="P285" i="32"/>
  <c r="O285" i="32"/>
  <c r="N285" i="32"/>
  <c r="M285" i="32"/>
  <c r="L285" i="32"/>
  <c r="K285" i="32"/>
  <c r="J285" i="32"/>
  <c r="I285" i="32"/>
  <c r="H285" i="32"/>
  <c r="G285" i="32"/>
  <c r="F285" i="32"/>
  <c r="E285" i="32"/>
  <c r="D285" i="32"/>
  <c r="C285" i="32"/>
  <c r="B285" i="32"/>
  <c r="A285" i="32"/>
  <c r="AF284" i="32"/>
  <c r="AE284" i="32"/>
  <c r="AD284" i="32"/>
  <c r="AC284" i="32"/>
  <c r="AB284" i="32"/>
  <c r="AA284" i="32"/>
  <c r="Z284" i="32"/>
  <c r="Y284" i="32"/>
  <c r="X284" i="32"/>
  <c r="W284" i="32"/>
  <c r="V284" i="32"/>
  <c r="U284" i="32"/>
  <c r="T284" i="32"/>
  <c r="S284" i="32"/>
  <c r="R284" i="32"/>
  <c r="Q284" i="32"/>
  <c r="P284" i="32"/>
  <c r="O284" i="32"/>
  <c r="N284" i="32"/>
  <c r="M284" i="32"/>
  <c r="L284" i="32"/>
  <c r="K284" i="32"/>
  <c r="J284" i="32"/>
  <c r="I284" i="32"/>
  <c r="H284" i="32"/>
  <c r="G284" i="32"/>
  <c r="F284" i="32"/>
  <c r="E284" i="32"/>
  <c r="D284" i="32"/>
  <c r="C284" i="32"/>
  <c r="B284" i="32"/>
  <c r="A284" i="32"/>
  <c r="AF283" i="32"/>
  <c r="AE283" i="32"/>
  <c r="AD283" i="32"/>
  <c r="AC283" i="32"/>
  <c r="AB283" i="32"/>
  <c r="AA283" i="32"/>
  <c r="Z283" i="32"/>
  <c r="Y283" i="32"/>
  <c r="X283" i="32"/>
  <c r="W283" i="32"/>
  <c r="V283" i="32"/>
  <c r="U283" i="32"/>
  <c r="T283" i="32"/>
  <c r="S283" i="32"/>
  <c r="R283" i="32"/>
  <c r="Q283" i="32"/>
  <c r="P283" i="32"/>
  <c r="O283" i="32"/>
  <c r="N283" i="32"/>
  <c r="M283" i="32"/>
  <c r="L283" i="32"/>
  <c r="K283" i="32"/>
  <c r="J283" i="32"/>
  <c r="I283" i="32"/>
  <c r="H283" i="32"/>
  <c r="G283" i="32"/>
  <c r="F283" i="32"/>
  <c r="E283" i="32"/>
  <c r="D283" i="32"/>
  <c r="C283" i="32"/>
  <c r="B283" i="32"/>
  <c r="A283" i="32"/>
  <c r="B282" i="32"/>
  <c r="S257" i="32"/>
  <c r="AG252" i="32"/>
  <c r="C252" i="32"/>
  <c r="D251" i="32"/>
  <c r="C282" i="32" s="1"/>
  <c r="E250" i="32"/>
  <c r="F250" i="32" s="1"/>
  <c r="G250" i="32" s="1"/>
  <c r="H250" i="32" s="1"/>
  <c r="I250" i="32" s="1"/>
  <c r="J250" i="32" s="1"/>
  <c r="K250" i="32" s="1"/>
  <c r="L250" i="32" s="1"/>
  <c r="M250" i="32" s="1"/>
  <c r="N250" i="32" s="1"/>
  <c r="O250" i="32" s="1"/>
  <c r="P250" i="32" s="1"/>
  <c r="Q250" i="32" s="1"/>
  <c r="R250" i="32" s="1"/>
  <c r="S250" i="32" s="1"/>
  <c r="T250" i="32" s="1"/>
  <c r="U250" i="32" s="1"/>
  <c r="V250" i="32" s="1"/>
  <c r="W250" i="32" s="1"/>
  <c r="X250" i="32" s="1"/>
  <c r="Y250" i="32" s="1"/>
  <c r="Z250" i="32" s="1"/>
  <c r="AA250" i="32" s="1"/>
  <c r="AB250" i="32" s="1"/>
  <c r="AC250" i="32" s="1"/>
  <c r="AD250" i="32" s="1"/>
  <c r="AE250" i="32" s="1"/>
  <c r="AF250" i="32" s="1"/>
  <c r="B250" i="32" s="1"/>
  <c r="D250" i="32"/>
  <c r="D249" i="32"/>
  <c r="E249" i="32" s="1"/>
  <c r="F249" i="32" s="1"/>
  <c r="G249" i="32" s="1"/>
  <c r="H249" i="32" s="1"/>
  <c r="I249" i="32" s="1"/>
  <c r="J249" i="32" s="1"/>
  <c r="K249" i="32" s="1"/>
  <c r="L249" i="32" s="1"/>
  <c r="M249" i="32" s="1"/>
  <c r="N249" i="32" s="1"/>
  <c r="O249" i="32" s="1"/>
  <c r="P249" i="32" s="1"/>
  <c r="Q249" i="32" s="1"/>
  <c r="R249" i="32" s="1"/>
  <c r="S249" i="32" s="1"/>
  <c r="T249" i="32" s="1"/>
  <c r="U249" i="32" s="1"/>
  <c r="V249" i="32" s="1"/>
  <c r="W249" i="32" s="1"/>
  <c r="X249" i="32" s="1"/>
  <c r="Y249" i="32" s="1"/>
  <c r="Z249" i="32" s="1"/>
  <c r="AA249" i="32" s="1"/>
  <c r="AB249" i="32" s="1"/>
  <c r="AC249" i="32" s="1"/>
  <c r="AD249" i="32" s="1"/>
  <c r="AE249" i="32" s="1"/>
  <c r="AF249" i="32" s="1"/>
  <c r="B249" i="32" s="1"/>
  <c r="D248" i="32"/>
  <c r="E248" i="32" s="1"/>
  <c r="F248" i="32" s="1"/>
  <c r="G248" i="32" s="1"/>
  <c r="H248" i="32" s="1"/>
  <c r="I248" i="32" s="1"/>
  <c r="J248" i="32" s="1"/>
  <c r="K248" i="32" s="1"/>
  <c r="L248" i="32" s="1"/>
  <c r="M248" i="32" s="1"/>
  <c r="N248" i="32" s="1"/>
  <c r="O248" i="32" s="1"/>
  <c r="P248" i="32" s="1"/>
  <c r="Q248" i="32" s="1"/>
  <c r="R248" i="32" s="1"/>
  <c r="S248" i="32" s="1"/>
  <c r="T248" i="32" s="1"/>
  <c r="U248" i="32" s="1"/>
  <c r="V248" i="32" s="1"/>
  <c r="W248" i="32" s="1"/>
  <c r="X248" i="32" s="1"/>
  <c r="Y248" i="32" s="1"/>
  <c r="Z248" i="32" s="1"/>
  <c r="AA248" i="32" s="1"/>
  <c r="AB248" i="32" s="1"/>
  <c r="AC248" i="32" s="1"/>
  <c r="AD248" i="32" s="1"/>
  <c r="AE248" i="32" s="1"/>
  <c r="AF248" i="32" s="1"/>
  <c r="B248" i="32" s="1"/>
  <c r="D247" i="32"/>
  <c r="D246" i="32"/>
  <c r="AG244" i="32"/>
  <c r="AF244" i="32"/>
  <c r="AE244" i="32"/>
  <c r="AD244" i="32"/>
  <c r="AC244" i="32"/>
  <c r="AB244" i="32"/>
  <c r="AA244" i="32"/>
  <c r="Z244" i="32"/>
  <c r="Y244" i="32"/>
  <c r="X244" i="32"/>
  <c r="W244" i="32"/>
  <c r="V244" i="32"/>
  <c r="U244" i="32"/>
  <c r="T244" i="32"/>
  <c r="S244" i="32"/>
  <c r="R244" i="32"/>
  <c r="Q244" i="32"/>
  <c r="P244" i="32"/>
  <c r="O244" i="32"/>
  <c r="N244" i="32"/>
  <c r="M244" i="32"/>
  <c r="L244" i="32"/>
  <c r="K244" i="32"/>
  <c r="J244" i="32"/>
  <c r="I244" i="32"/>
  <c r="H244" i="32"/>
  <c r="G244" i="32"/>
  <c r="F244" i="32"/>
  <c r="E244" i="32"/>
  <c r="D244" i="32"/>
  <c r="C244" i="32"/>
  <c r="B244" i="32"/>
  <c r="AI130" i="32"/>
  <c r="AH130" i="32"/>
  <c r="AI129" i="32"/>
  <c r="AH129" i="32"/>
  <c r="AI128" i="32"/>
  <c r="AH128" i="32"/>
  <c r="AI127" i="32"/>
  <c r="AH127" i="32"/>
  <c r="AI126" i="32"/>
  <c r="AH126" i="32"/>
  <c r="AH121" i="32"/>
  <c r="AI120" i="32"/>
  <c r="AH120" i="32"/>
  <c r="AI119" i="32"/>
  <c r="AH119" i="32"/>
  <c r="AI117" i="32"/>
  <c r="AH117" i="32"/>
  <c r="AI116" i="32"/>
  <c r="AH116" i="32"/>
  <c r="AI115" i="32"/>
  <c r="AH115" i="32"/>
  <c r="AI114" i="32"/>
  <c r="AH114" i="32"/>
  <c r="AI113" i="32"/>
  <c r="AH113" i="32"/>
  <c r="AI112" i="32"/>
  <c r="AH112" i="32"/>
  <c r="AI111" i="32"/>
  <c r="AH111" i="32"/>
  <c r="AI110" i="32"/>
  <c r="AH110" i="32"/>
  <c r="AI109" i="32"/>
  <c r="AH109" i="32"/>
  <c r="AI106" i="32"/>
  <c r="AH106" i="32"/>
  <c r="AC105" i="32"/>
  <c r="AB105" i="32"/>
  <c r="AA105" i="32"/>
  <c r="Z105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AC104" i="32"/>
  <c r="AB104" i="32"/>
  <c r="AA104" i="32"/>
  <c r="Z104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AC103" i="32"/>
  <c r="AB103" i="32"/>
  <c r="AA103" i="32"/>
  <c r="Z103" i="32"/>
  <c r="Y103" i="32"/>
  <c r="X103" i="32"/>
  <c r="W103" i="32"/>
  <c r="V103" i="32"/>
  <c r="U103" i="32"/>
  <c r="T103" i="32"/>
  <c r="S103" i="32"/>
  <c r="R103" i="32"/>
  <c r="Q103" i="32"/>
  <c r="P103" i="32"/>
  <c r="O103" i="32"/>
  <c r="N103" i="32"/>
  <c r="M103" i="32"/>
  <c r="L103" i="32"/>
  <c r="K103" i="32"/>
  <c r="J103" i="32"/>
  <c r="I103" i="32"/>
  <c r="H103" i="32"/>
  <c r="G103" i="32"/>
  <c r="F103" i="32"/>
  <c r="E103" i="32"/>
  <c r="D103" i="32"/>
  <c r="C103" i="32"/>
  <c r="B103" i="32"/>
  <c r="AC102" i="32"/>
  <c r="AB102" i="32"/>
  <c r="AA102" i="32"/>
  <c r="Z102" i="32"/>
  <c r="Y102" i="32"/>
  <c r="X102" i="32"/>
  <c r="W102" i="32"/>
  <c r="V102" i="32"/>
  <c r="U102" i="32"/>
  <c r="T102" i="32"/>
  <c r="S102" i="32"/>
  <c r="R102" i="32"/>
  <c r="Q102" i="32"/>
  <c r="P102" i="32"/>
  <c r="O102" i="32"/>
  <c r="N102" i="32"/>
  <c r="M102" i="32"/>
  <c r="L102" i="32"/>
  <c r="K102" i="32"/>
  <c r="J102" i="32"/>
  <c r="I102" i="32"/>
  <c r="H102" i="32"/>
  <c r="G102" i="32"/>
  <c r="F102" i="32"/>
  <c r="E102" i="32"/>
  <c r="D102" i="32"/>
  <c r="C102" i="32"/>
  <c r="B102" i="32"/>
  <c r="AC101" i="32"/>
  <c r="AB101" i="32"/>
  <c r="AA101" i="32"/>
  <c r="Z101" i="32"/>
  <c r="Y101" i="32"/>
  <c r="X101" i="32"/>
  <c r="W101" i="32"/>
  <c r="V101" i="32"/>
  <c r="U101" i="32"/>
  <c r="T101" i="32"/>
  <c r="S101" i="32"/>
  <c r="R101" i="32"/>
  <c r="Q101" i="32"/>
  <c r="P101" i="32"/>
  <c r="O101" i="32"/>
  <c r="N101" i="32"/>
  <c r="M101" i="32"/>
  <c r="L101" i="32"/>
  <c r="K101" i="32"/>
  <c r="J101" i="32"/>
  <c r="I101" i="32"/>
  <c r="H101" i="32"/>
  <c r="G101" i="32"/>
  <c r="F101" i="32"/>
  <c r="E101" i="32"/>
  <c r="D101" i="32"/>
  <c r="C101" i="32"/>
  <c r="B101" i="32"/>
  <c r="AI98" i="32"/>
  <c r="AH98" i="32"/>
  <c r="AI96" i="32"/>
  <c r="AH96" i="32"/>
  <c r="AG96" i="32"/>
  <c r="AI95" i="32"/>
  <c r="AH95" i="32"/>
  <c r="AI94" i="32"/>
  <c r="AH94" i="32"/>
  <c r="AI93" i="32"/>
  <c r="AH93" i="32"/>
  <c r="AG92" i="32"/>
  <c r="AD5" i="32"/>
  <c r="AC5" i="32"/>
  <c r="AC92" i="32"/>
  <c r="AB5" i="32" s="1"/>
  <c r="AB92" i="32"/>
  <c r="AA5" i="32" s="1"/>
  <c r="AA92" i="32"/>
  <c r="Z5" i="32" s="1"/>
  <c r="Z92" i="32"/>
  <c r="Y5" i="32" s="1"/>
  <c r="Y92" i="32"/>
  <c r="W92" i="32"/>
  <c r="V5" i="32" s="1"/>
  <c r="V92" i="32"/>
  <c r="U5" i="32" s="1"/>
  <c r="U92" i="32"/>
  <c r="T5" i="32" s="1"/>
  <c r="T92" i="32"/>
  <c r="S5" i="32" s="1"/>
  <c r="S92" i="32"/>
  <c r="R5" i="32" s="1"/>
  <c r="R92" i="32"/>
  <c r="Q5" i="32" s="1"/>
  <c r="Q92" i="32"/>
  <c r="P5" i="32" s="1"/>
  <c r="P92" i="32"/>
  <c r="O5" i="32" s="1"/>
  <c r="O92" i="32"/>
  <c r="N5" i="32" s="1"/>
  <c r="N92" i="32"/>
  <c r="M5" i="32" s="1"/>
  <c r="M92" i="32"/>
  <c r="L5" i="32" s="1"/>
  <c r="L92" i="32"/>
  <c r="K92" i="32"/>
  <c r="J5" i="32" s="1"/>
  <c r="J92" i="32"/>
  <c r="I5" i="32" s="1"/>
  <c r="I92" i="32"/>
  <c r="H5" i="32" s="1"/>
  <c r="H92" i="32"/>
  <c r="G92" i="32"/>
  <c r="F5" i="32" s="1"/>
  <c r="F92" i="32"/>
  <c r="E5" i="32" s="1"/>
  <c r="E92" i="32"/>
  <c r="D5" i="32" s="1"/>
  <c r="D92" i="32"/>
  <c r="C92" i="32"/>
  <c r="B5" i="32" s="1"/>
  <c r="B92" i="32"/>
  <c r="AF5" i="32" s="1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I83" i="32"/>
  <c r="AH83" i="32"/>
  <c r="AI82" i="32"/>
  <c r="AH82" i="32"/>
  <c r="AI81" i="32"/>
  <c r="AH81" i="32"/>
  <c r="AG80" i="32"/>
  <c r="AG4" i="32" s="1"/>
  <c r="AC80" i="32"/>
  <c r="AB80" i="32"/>
  <c r="AA80" i="32"/>
  <c r="Z80" i="32"/>
  <c r="Y80" i="32"/>
  <c r="X80" i="32"/>
  <c r="W80" i="32"/>
  <c r="V80" i="32"/>
  <c r="U80" i="32"/>
  <c r="T80" i="32"/>
  <c r="S80" i="32"/>
  <c r="R80" i="32"/>
  <c r="Q80" i="32"/>
  <c r="P80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C80" i="32"/>
  <c r="B80" i="32"/>
  <c r="AI79" i="32"/>
  <c r="AH79" i="32"/>
  <c r="AI78" i="32"/>
  <c r="AH78" i="32"/>
  <c r="AI77" i="32"/>
  <c r="AH77" i="32"/>
  <c r="AC76" i="32"/>
  <c r="AB76" i="32"/>
  <c r="AA76" i="32"/>
  <c r="Z76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AI75" i="32"/>
  <c r="AH75" i="32"/>
  <c r="AG75" i="32"/>
  <c r="AG76" i="32" s="1"/>
  <c r="AG3" i="32" s="1"/>
  <c r="AI74" i="32"/>
  <c r="AH74" i="32"/>
  <c r="AI73" i="32"/>
  <c r="AH73" i="32"/>
  <c r="AI72" i="32"/>
  <c r="AH72" i="32"/>
  <c r="AI71" i="32"/>
  <c r="AH71" i="32"/>
  <c r="AI70" i="32"/>
  <c r="AH70" i="32"/>
  <c r="AI69" i="32"/>
  <c r="AH69" i="32"/>
  <c r="AI68" i="32"/>
  <c r="AH68" i="32"/>
  <c r="AI67" i="32"/>
  <c r="AH67" i="32"/>
  <c r="AI66" i="32"/>
  <c r="AH66" i="32"/>
  <c r="AI65" i="32"/>
  <c r="AH65" i="32"/>
  <c r="AI64" i="32"/>
  <c r="AH64" i="32"/>
  <c r="AI63" i="32"/>
  <c r="AH63" i="32"/>
  <c r="AG62" i="32"/>
  <c r="AC62" i="32"/>
  <c r="AB62" i="32"/>
  <c r="AA62" i="32"/>
  <c r="Z62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L62" i="32"/>
  <c r="K62" i="32"/>
  <c r="J62" i="32"/>
  <c r="I62" i="32"/>
  <c r="G62" i="32"/>
  <c r="F62" i="32"/>
  <c r="E62" i="32"/>
  <c r="D62" i="32"/>
  <c r="C62" i="32"/>
  <c r="B62" i="32"/>
  <c r="AI61" i="32"/>
  <c r="AH61" i="32"/>
  <c r="AI60" i="32"/>
  <c r="AH60" i="32"/>
  <c r="AI59" i="32"/>
  <c r="AH59" i="32"/>
  <c r="AG58" i="32"/>
  <c r="AG2" i="32" s="1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L58" i="32"/>
  <c r="K58" i="32"/>
  <c r="J58" i="32"/>
  <c r="G58" i="32"/>
  <c r="F58" i="32"/>
  <c r="E58" i="32"/>
  <c r="D58" i="32"/>
  <c r="C58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K4" i="32"/>
  <c r="E4" i="32"/>
  <c r="H4" i="32" s="1"/>
  <c r="B4" i="32"/>
  <c r="D258" i="32" s="1"/>
  <c r="AF123" i="31"/>
  <c r="AE123" i="31"/>
  <c r="AI57" i="32" l="1"/>
  <c r="D118" i="32"/>
  <c r="AH122" i="32"/>
  <c r="AI121" i="32"/>
  <c r="X97" i="32"/>
  <c r="AH123" i="32"/>
  <c r="P97" i="32"/>
  <c r="P99" i="32" s="1"/>
  <c r="X99" i="32"/>
  <c r="X100" i="32" s="1"/>
  <c r="X7" i="32" s="1"/>
  <c r="E246" i="32"/>
  <c r="F246" i="32" s="1"/>
  <c r="V97" i="32"/>
  <c r="V99" i="32" s="1"/>
  <c r="AN261" i="32" s="1"/>
  <c r="P107" i="32"/>
  <c r="P108" i="32" s="1"/>
  <c r="X107" i="32"/>
  <c r="X108" i="32" s="1"/>
  <c r="Q107" i="32"/>
  <c r="Q108" i="32" s="1"/>
  <c r="AA107" i="32"/>
  <c r="AA108" i="32" s="1"/>
  <c r="AX261" i="32"/>
  <c r="M97" i="32"/>
  <c r="M99" i="32" s="1"/>
  <c r="AE261" i="32" s="1"/>
  <c r="H107" i="32"/>
  <c r="H108" i="32" s="1"/>
  <c r="Q97" i="32"/>
  <c r="Q99" i="32" s="1"/>
  <c r="AI261" i="32" s="1"/>
  <c r="Y97" i="32"/>
  <c r="Y99" i="32" s="1"/>
  <c r="R107" i="32"/>
  <c r="R108" i="32" s="1"/>
  <c r="Z107" i="32"/>
  <c r="Z108" i="32" s="1"/>
  <c r="AB107" i="32"/>
  <c r="AB108" i="32" s="1"/>
  <c r="T97" i="32"/>
  <c r="T99" i="32" s="1"/>
  <c r="D252" i="32"/>
  <c r="M107" i="32"/>
  <c r="U107" i="32"/>
  <c r="U108" i="32" s="1"/>
  <c r="AC107" i="32"/>
  <c r="E251" i="32"/>
  <c r="F251" i="32" s="1"/>
  <c r="E282" i="32" s="1"/>
  <c r="AB97" i="32"/>
  <c r="AB99" i="32" s="1"/>
  <c r="T107" i="32"/>
  <c r="T108" i="32" s="1"/>
  <c r="N107" i="32"/>
  <c r="N108" i="32" s="1"/>
  <c r="V107" i="32"/>
  <c r="V108" i="32" s="1"/>
  <c r="N97" i="32"/>
  <c r="N99" i="32" s="1"/>
  <c r="AF261" i="32" s="1"/>
  <c r="U97" i="32"/>
  <c r="U99" i="32" s="1"/>
  <c r="AM261" i="32" s="1"/>
  <c r="G107" i="32"/>
  <c r="G108" i="32" s="1"/>
  <c r="O107" i="32"/>
  <c r="O108" i="32" s="1"/>
  <c r="W107" i="32"/>
  <c r="W108" i="32" s="1"/>
  <c r="AI105" i="32"/>
  <c r="Y107" i="32"/>
  <c r="Y108" i="32" s="1"/>
  <c r="S107" i="32"/>
  <c r="S108" i="32" s="1"/>
  <c r="S97" i="32"/>
  <c r="S99" i="32" s="1"/>
  <c r="AK261" i="32" s="1"/>
  <c r="AA97" i="32"/>
  <c r="AA99" i="32" s="1"/>
  <c r="AS261" i="32" s="1"/>
  <c r="AC97" i="32"/>
  <c r="AC99" i="32" s="1"/>
  <c r="AG99" i="32"/>
  <c r="AG6" i="32"/>
  <c r="AV261" i="32"/>
  <c r="O97" i="32"/>
  <c r="O99" i="32" s="1"/>
  <c r="AG261" i="32" s="1"/>
  <c r="W97" i="32"/>
  <c r="W99" i="32" s="1"/>
  <c r="AO261" i="32" s="1"/>
  <c r="AW261" i="32"/>
  <c r="AG97" i="32"/>
  <c r="L97" i="32"/>
  <c r="L99" i="32" s="1"/>
  <c r="AD261" i="32" s="1"/>
  <c r="I107" i="32"/>
  <c r="I108" i="32" s="1"/>
  <c r="C97" i="32"/>
  <c r="C99" i="32" s="1"/>
  <c r="U261" i="32" s="1"/>
  <c r="J107" i="32"/>
  <c r="J108" i="32" s="1"/>
  <c r="K107" i="32"/>
  <c r="K108" i="32" s="1"/>
  <c r="D107" i="32"/>
  <c r="D108" i="32" s="1"/>
  <c r="L107" i="32"/>
  <c r="L108" i="32" s="1"/>
  <c r="K5" i="32"/>
  <c r="K97" i="32"/>
  <c r="K99" i="32" s="1"/>
  <c r="AC261" i="32" s="1"/>
  <c r="I97" i="32"/>
  <c r="I99" i="32" s="1"/>
  <c r="AA261" i="32" s="1"/>
  <c r="G97" i="32"/>
  <c r="G99" i="32" s="1"/>
  <c r="Y261" i="32" s="1"/>
  <c r="F97" i="32"/>
  <c r="F99" i="32" s="1"/>
  <c r="X261" i="32" s="1"/>
  <c r="F107" i="32"/>
  <c r="F108" i="32" s="1"/>
  <c r="E97" i="32"/>
  <c r="E99" i="32" s="1"/>
  <c r="E107" i="32"/>
  <c r="E108" i="32" s="1"/>
  <c r="D97" i="32"/>
  <c r="D99" i="32" s="1"/>
  <c r="V261" i="32" s="1"/>
  <c r="C107" i="32"/>
  <c r="C108" i="32" s="1"/>
  <c r="AH102" i="32"/>
  <c r="AF7" i="32"/>
  <c r="S258" i="32"/>
  <c r="AE5" i="32"/>
  <c r="J97" i="32"/>
  <c r="J99" i="32" s="1"/>
  <c r="R97" i="32"/>
  <c r="R99" i="32" s="1"/>
  <c r="Z97" i="32"/>
  <c r="Z99" i="32" s="1"/>
  <c r="AH58" i="32"/>
  <c r="AI92" i="32"/>
  <c r="AH92" i="32"/>
  <c r="AH105" i="32"/>
  <c r="G246" i="32"/>
  <c r="F118" i="32"/>
  <c r="G5" i="32"/>
  <c r="H97" i="32"/>
  <c r="H99" i="32" s="1"/>
  <c r="AI62" i="32"/>
  <c r="B97" i="32"/>
  <c r="AH62" i="32"/>
  <c r="AI80" i="32"/>
  <c r="AH80" i="32"/>
  <c r="AI101" i="32"/>
  <c r="AI104" i="32"/>
  <c r="AH104" i="32"/>
  <c r="W5" i="32"/>
  <c r="AI76" i="32"/>
  <c r="AH76" i="32"/>
  <c r="B107" i="32"/>
  <c r="B108" i="32" s="1"/>
  <c r="AH101" i="32"/>
  <c r="AI102" i="32"/>
  <c r="AI103" i="32"/>
  <c r="C5" i="32"/>
  <c r="X5" i="32"/>
  <c r="M108" i="32"/>
  <c r="AC108" i="32"/>
  <c r="AH103" i="32"/>
  <c r="E247" i="32"/>
  <c r="F247" i="32" s="1"/>
  <c r="G251" i="32"/>
  <c r="AI58" i="32"/>
  <c r="AD123" i="31"/>
  <c r="AC123" i="31"/>
  <c r="AB123" i="31"/>
  <c r="W123" i="31"/>
  <c r="W57" i="31"/>
  <c r="V57" i="31"/>
  <c r="U57" i="31"/>
  <c r="U58" i="31"/>
  <c r="U62" i="31"/>
  <c r="U76" i="31"/>
  <c r="U80" i="31"/>
  <c r="U92" i="31"/>
  <c r="U97" i="31" s="1"/>
  <c r="U99" i="31" s="1"/>
  <c r="U101" i="31"/>
  <c r="U102" i="31"/>
  <c r="U103" i="31"/>
  <c r="U104" i="31"/>
  <c r="U105" i="31"/>
  <c r="U107" i="31" s="1"/>
  <c r="U118" i="31"/>
  <c r="T123" i="31"/>
  <c r="T121" i="31"/>
  <c r="T57" i="31"/>
  <c r="D282" i="32" l="1"/>
  <c r="P100" i="32"/>
  <c r="P7" i="32" s="1"/>
  <c r="AC100" i="32"/>
  <c r="AC7" i="32" s="1"/>
  <c r="AB100" i="32"/>
  <c r="AB7" i="32" s="1"/>
  <c r="AT261" i="32"/>
  <c r="Y100" i="32"/>
  <c r="Y7" i="32" s="1"/>
  <c r="AP261" i="32"/>
  <c r="AQ261" i="32"/>
  <c r="V100" i="32"/>
  <c r="V7" i="32" s="1"/>
  <c r="Q100" i="32"/>
  <c r="Q7" i="32" s="1"/>
  <c r="AH261" i="32"/>
  <c r="N100" i="32"/>
  <c r="N7" i="32" s="1"/>
  <c r="E118" i="32"/>
  <c r="AU261" i="32"/>
  <c r="M100" i="32"/>
  <c r="M7" i="32" s="1"/>
  <c r="AD7" i="32"/>
  <c r="T100" i="32"/>
  <c r="T7" i="32" s="1"/>
  <c r="S100" i="32"/>
  <c r="S7" i="32" s="1"/>
  <c r="AL261" i="32"/>
  <c r="O100" i="32"/>
  <c r="O7" i="32" s="1"/>
  <c r="U100" i="32"/>
  <c r="U7" i="32" s="1"/>
  <c r="K100" i="32"/>
  <c r="K7" i="32" s="1"/>
  <c r="E100" i="32"/>
  <c r="E7" i="32" s="1"/>
  <c r="AE7" i="32"/>
  <c r="AA100" i="32"/>
  <c r="AA7" i="32" s="1"/>
  <c r="W100" i="32"/>
  <c r="W7" i="32" s="1"/>
  <c r="I100" i="32"/>
  <c r="I7" i="32" s="1"/>
  <c r="L100" i="32"/>
  <c r="L7" i="32" s="1"/>
  <c r="W261" i="32"/>
  <c r="D100" i="32"/>
  <c r="D7" i="32" s="1"/>
  <c r="F100" i="32"/>
  <c r="F7" i="32" s="1"/>
  <c r="G100" i="32"/>
  <c r="G7" i="32" s="1"/>
  <c r="C100" i="32"/>
  <c r="C7" i="32" s="1"/>
  <c r="H100" i="32"/>
  <c r="H7" i="32" s="1"/>
  <c r="Z261" i="32"/>
  <c r="H246" i="32"/>
  <c r="G118" i="32"/>
  <c r="AJ261" i="32"/>
  <c r="R100" i="32"/>
  <c r="R7" i="32" s="1"/>
  <c r="B256" i="32"/>
  <c r="AB261" i="32"/>
  <c r="J100" i="32"/>
  <c r="J7" i="32" s="1"/>
  <c r="C256" i="32"/>
  <c r="G247" i="32"/>
  <c r="H247" i="32" s="1"/>
  <c r="I247" i="32" s="1"/>
  <c r="J247" i="32" s="1"/>
  <c r="K247" i="32" s="1"/>
  <c r="L247" i="32" s="1"/>
  <c r="M247" i="32" s="1"/>
  <c r="N247" i="32" s="1"/>
  <c r="O247" i="32" s="1"/>
  <c r="P247" i="32" s="1"/>
  <c r="Q247" i="32" s="1"/>
  <c r="R247" i="32" s="1"/>
  <c r="S247" i="32" s="1"/>
  <c r="T247" i="32" s="1"/>
  <c r="U247" i="32" s="1"/>
  <c r="V247" i="32" s="1"/>
  <c r="W247" i="32" s="1"/>
  <c r="X247" i="32" s="1"/>
  <c r="Y247" i="32" s="1"/>
  <c r="Z247" i="32" s="1"/>
  <c r="AA247" i="32" s="1"/>
  <c r="AB247" i="32" s="1"/>
  <c r="AC247" i="32" s="1"/>
  <c r="AD247" i="32" s="1"/>
  <c r="AE247" i="32" s="1"/>
  <c r="AF247" i="32" s="1"/>
  <c r="B247" i="32" s="1"/>
  <c r="F252" i="32"/>
  <c r="AH108" i="32"/>
  <c r="AI108" i="32"/>
  <c r="AI97" i="32"/>
  <c r="AH97" i="32"/>
  <c r="B99" i="32"/>
  <c r="E252" i="32"/>
  <c r="F282" i="32"/>
  <c r="H251" i="32"/>
  <c r="AI107" i="32"/>
  <c r="AH107" i="32"/>
  <c r="AR261" i="32"/>
  <c r="Z100" i="32"/>
  <c r="Z7" i="32" s="1"/>
  <c r="U100" i="31"/>
  <c r="U108" i="31"/>
  <c r="K6" i="32" l="1"/>
  <c r="G252" i="32"/>
  <c r="G282" i="32"/>
  <c r="I251" i="32"/>
  <c r="I246" i="32"/>
  <c r="H118" i="32"/>
  <c r="H252" i="32"/>
  <c r="T261" i="32"/>
  <c r="B100" i="32"/>
  <c r="AI99" i="32"/>
  <c r="AH99" i="32"/>
  <c r="AI100" i="32" l="1"/>
  <c r="B7" i="32"/>
  <c r="A7" i="32" s="1"/>
  <c r="AH100" i="32"/>
  <c r="I118" i="32"/>
  <c r="I252" i="32"/>
  <c r="J246" i="32"/>
  <c r="H282" i="32"/>
  <c r="J251" i="32"/>
  <c r="J118" i="32" l="1"/>
  <c r="J252" i="32"/>
  <c r="K246" i="32"/>
  <c r="K251" i="32"/>
  <c r="I282" i="32"/>
  <c r="J282" i="32" l="1"/>
  <c r="L251" i="32"/>
  <c r="K118" i="32"/>
  <c r="K252" i="32"/>
  <c r="L246" i="32"/>
  <c r="L252" i="32" l="1"/>
  <c r="M246" i="32"/>
  <c r="L118" i="32"/>
  <c r="K282" i="32"/>
  <c r="M251" i="32"/>
  <c r="N251" i="32" l="1"/>
  <c r="L282" i="32"/>
  <c r="N246" i="32"/>
  <c r="M252" i="32"/>
  <c r="M118" i="32"/>
  <c r="O246" i="32" l="1"/>
  <c r="N118" i="32"/>
  <c r="N252" i="32"/>
  <c r="M282" i="32"/>
  <c r="O251" i="32"/>
  <c r="P246" i="32" l="1"/>
  <c r="O252" i="32"/>
  <c r="O118" i="32"/>
  <c r="N282" i="32"/>
  <c r="P251" i="32"/>
  <c r="O282" i="32" l="1"/>
  <c r="Q251" i="32"/>
  <c r="Q246" i="32"/>
  <c r="P252" i="32"/>
  <c r="Q252" i="32" l="1"/>
  <c r="Q118" i="32"/>
  <c r="R246" i="32"/>
  <c r="P282" i="32"/>
  <c r="R251" i="32"/>
  <c r="S251" i="32" l="1"/>
  <c r="Q282" i="32"/>
  <c r="R252" i="32"/>
  <c r="R118" i="32"/>
  <c r="S246" i="32"/>
  <c r="S252" i="32" l="1"/>
  <c r="S118" i="32"/>
  <c r="T246" i="32"/>
  <c r="R282" i="32"/>
  <c r="T251" i="32"/>
  <c r="S282" i="32" l="1"/>
  <c r="U251" i="32"/>
  <c r="T252" i="32"/>
  <c r="T118" i="32"/>
  <c r="U246" i="32"/>
  <c r="V251" i="32" l="1"/>
  <c r="T282" i="32"/>
  <c r="V246" i="32"/>
  <c r="U118" i="32"/>
  <c r="U252" i="32"/>
  <c r="U282" i="32" l="1"/>
  <c r="W251" i="32"/>
  <c r="W246" i="32"/>
  <c r="V118" i="32"/>
  <c r="V252" i="32"/>
  <c r="X246" i="32" l="1"/>
  <c r="W252" i="32"/>
  <c r="W118" i="32"/>
  <c r="V282" i="32"/>
  <c r="X251" i="32"/>
  <c r="Y246" i="32" l="1"/>
  <c r="X252" i="32"/>
  <c r="X118" i="32"/>
  <c r="W282" i="32"/>
  <c r="Y251" i="32"/>
  <c r="Y252" i="32" l="1"/>
  <c r="Y118" i="32"/>
  <c r="Z246" i="32"/>
  <c r="X282" i="32"/>
  <c r="Z251" i="32"/>
  <c r="AA251" i="32" l="1"/>
  <c r="Y282" i="32"/>
  <c r="Z252" i="32"/>
  <c r="Z118" i="32"/>
  <c r="AA246" i="32"/>
  <c r="AA252" i="32" l="1"/>
  <c r="AA118" i="32"/>
  <c r="AB246" i="32"/>
  <c r="Z282" i="32"/>
  <c r="AB251" i="32"/>
  <c r="AA282" i="32" l="1"/>
  <c r="AC251" i="32"/>
  <c r="AB252" i="32"/>
  <c r="AB118" i="32"/>
  <c r="AC246" i="32"/>
  <c r="AD251" i="32" l="1"/>
  <c r="AB282" i="32"/>
  <c r="AD246" i="32"/>
  <c r="AC252" i="32"/>
  <c r="AC118" i="32"/>
  <c r="AC282" i="32" l="1"/>
  <c r="AE251" i="32"/>
  <c r="AE246" i="32"/>
  <c r="AD252" i="32"/>
  <c r="AF246" i="32" l="1"/>
  <c r="AE252" i="32"/>
  <c r="AD282" i="32"/>
  <c r="AF251" i="32"/>
  <c r="B251" i="32" l="1"/>
  <c r="AF282" i="32" s="1"/>
  <c r="AE282" i="32"/>
  <c r="AF118" i="32"/>
  <c r="AF252" i="32"/>
  <c r="B246" i="32"/>
  <c r="B118" i="32" l="1"/>
  <c r="B252" i="32"/>
  <c r="AI118" i="32" l="1"/>
  <c r="AH118" i="32"/>
  <c r="S123" i="31" l="1"/>
  <c r="S121" i="31"/>
  <c r="S57" i="31"/>
  <c r="R123" i="31" l="1"/>
  <c r="Q123" i="31"/>
  <c r="P123" i="31"/>
  <c r="O123" i="31"/>
  <c r="N123" i="31"/>
  <c r="N57" i="31"/>
  <c r="M121" i="31" l="1"/>
  <c r="M57" i="31"/>
  <c r="M58" i="31"/>
  <c r="M62" i="31"/>
  <c r="M76" i="31"/>
  <c r="M80" i="31"/>
  <c r="M92" i="31"/>
  <c r="M101" i="31"/>
  <c r="M102" i="31"/>
  <c r="M103" i="31"/>
  <c r="M104" i="31"/>
  <c r="M105" i="31"/>
  <c r="AF286" i="31"/>
  <c r="AE286" i="31"/>
  <c r="AD286" i="31"/>
  <c r="AC286" i="31"/>
  <c r="AB286" i="31"/>
  <c r="AA286" i="31"/>
  <c r="Z286" i="31"/>
  <c r="Y286" i="31"/>
  <c r="X286" i="31"/>
  <c r="W286" i="31"/>
  <c r="V286" i="31"/>
  <c r="U286" i="31"/>
  <c r="T286" i="31"/>
  <c r="S286" i="31"/>
  <c r="R286" i="31"/>
  <c r="Q286" i="31"/>
  <c r="P286" i="31"/>
  <c r="O286" i="31"/>
  <c r="N286" i="31"/>
  <c r="M286" i="31"/>
  <c r="L286" i="31"/>
  <c r="K286" i="31"/>
  <c r="J286" i="31"/>
  <c r="I286" i="31"/>
  <c r="H286" i="31"/>
  <c r="G286" i="31"/>
  <c r="F286" i="31"/>
  <c r="E286" i="31"/>
  <c r="D286" i="31"/>
  <c r="C286" i="31"/>
  <c r="B286" i="31"/>
  <c r="A286" i="31"/>
  <c r="AF285" i="31"/>
  <c r="AE285" i="31"/>
  <c r="AD285" i="31"/>
  <c r="AC285" i="31"/>
  <c r="AB285" i="31"/>
  <c r="AA285" i="31"/>
  <c r="Z285" i="31"/>
  <c r="Y285" i="31"/>
  <c r="X285" i="31"/>
  <c r="W285" i="31"/>
  <c r="V285" i="31"/>
  <c r="U285" i="31"/>
  <c r="T285" i="31"/>
  <c r="S285" i="31"/>
  <c r="R285" i="31"/>
  <c r="Q285" i="31"/>
  <c r="P285" i="31"/>
  <c r="O285" i="31"/>
  <c r="N285" i="31"/>
  <c r="M285" i="31"/>
  <c r="L285" i="31"/>
  <c r="K285" i="31"/>
  <c r="J285" i="31"/>
  <c r="I285" i="31"/>
  <c r="H285" i="31"/>
  <c r="G285" i="31"/>
  <c r="F285" i="31"/>
  <c r="E285" i="31"/>
  <c r="D285" i="31"/>
  <c r="C285" i="31"/>
  <c r="B285" i="31"/>
  <c r="A285" i="31"/>
  <c r="AF284" i="31"/>
  <c r="AE284" i="31"/>
  <c r="AD284" i="31"/>
  <c r="AC284" i="31"/>
  <c r="AB284" i="31"/>
  <c r="AA284" i="31"/>
  <c r="Z284" i="31"/>
  <c r="Y284" i="31"/>
  <c r="X284" i="31"/>
  <c r="W284" i="31"/>
  <c r="V284" i="31"/>
  <c r="U284" i="31"/>
  <c r="T284" i="31"/>
  <c r="S284" i="31"/>
  <c r="R284" i="31"/>
  <c r="Q284" i="31"/>
  <c r="P284" i="31"/>
  <c r="O284" i="31"/>
  <c r="N284" i="31"/>
  <c r="M284" i="31"/>
  <c r="L284" i="31"/>
  <c r="K284" i="31"/>
  <c r="J284" i="31"/>
  <c r="I284" i="31"/>
  <c r="H284" i="31"/>
  <c r="G284" i="31"/>
  <c r="F284" i="31"/>
  <c r="E284" i="31"/>
  <c r="D284" i="31"/>
  <c r="C284" i="31"/>
  <c r="B284" i="31"/>
  <c r="A284" i="31"/>
  <c r="AF283" i="31"/>
  <c r="AE283" i="31"/>
  <c r="AD283" i="31"/>
  <c r="AC283" i="31"/>
  <c r="AB283" i="31"/>
  <c r="AA283" i="31"/>
  <c r="Z283" i="31"/>
  <c r="Y283" i="31"/>
  <c r="X283" i="31"/>
  <c r="W283" i="31"/>
  <c r="V283" i="31"/>
  <c r="U283" i="31"/>
  <c r="T283" i="31"/>
  <c r="S283" i="31"/>
  <c r="R283" i="31"/>
  <c r="Q283" i="31"/>
  <c r="P283" i="31"/>
  <c r="O283" i="31"/>
  <c r="N283" i="31"/>
  <c r="M283" i="31"/>
  <c r="L283" i="31"/>
  <c r="K283" i="31"/>
  <c r="J283" i="31"/>
  <c r="I283" i="31"/>
  <c r="H283" i="31"/>
  <c r="G283" i="31"/>
  <c r="F283" i="31"/>
  <c r="E283" i="31"/>
  <c r="D283" i="31"/>
  <c r="C283" i="31"/>
  <c r="B283" i="31"/>
  <c r="A283" i="31"/>
  <c r="B282" i="31"/>
  <c r="S257" i="31"/>
  <c r="AG252" i="31"/>
  <c r="AG75" i="31" s="1"/>
  <c r="AG76" i="31" s="1"/>
  <c r="AG3" i="31" s="1"/>
  <c r="C252" i="31"/>
  <c r="D251" i="31"/>
  <c r="C282" i="31" s="1"/>
  <c r="E250" i="31"/>
  <c r="F250" i="31" s="1"/>
  <c r="G250" i="31" s="1"/>
  <c r="H250" i="31" s="1"/>
  <c r="I250" i="31" s="1"/>
  <c r="J250" i="31" s="1"/>
  <c r="K250" i="31" s="1"/>
  <c r="L250" i="31" s="1"/>
  <c r="M250" i="31" s="1"/>
  <c r="N250" i="31" s="1"/>
  <c r="O250" i="31" s="1"/>
  <c r="P250" i="31" s="1"/>
  <c r="Q250" i="31" s="1"/>
  <c r="R250" i="31" s="1"/>
  <c r="S250" i="31" s="1"/>
  <c r="T250" i="31" s="1"/>
  <c r="U250" i="31" s="1"/>
  <c r="V250" i="31" s="1"/>
  <c r="W250" i="31" s="1"/>
  <c r="X250" i="31" s="1"/>
  <c r="Y250" i="31" s="1"/>
  <c r="Z250" i="31" s="1"/>
  <c r="AA250" i="31" s="1"/>
  <c r="AB250" i="31" s="1"/>
  <c r="AC250" i="31" s="1"/>
  <c r="AD250" i="31" s="1"/>
  <c r="AE250" i="31" s="1"/>
  <c r="AF250" i="31" s="1"/>
  <c r="B250" i="31" s="1"/>
  <c r="D250" i="31"/>
  <c r="D249" i="31"/>
  <c r="E249" i="31" s="1"/>
  <c r="F249" i="31" s="1"/>
  <c r="G249" i="31" s="1"/>
  <c r="H249" i="31" s="1"/>
  <c r="I249" i="31" s="1"/>
  <c r="J249" i="31" s="1"/>
  <c r="K249" i="31" s="1"/>
  <c r="L249" i="31" s="1"/>
  <c r="M249" i="31" s="1"/>
  <c r="N249" i="31" s="1"/>
  <c r="O249" i="31" s="1"/>
  <c r="P249" i="31" s="1"/>
  <c r="Q249" i="31" s="1"/>
  <c r="R249" i="31" s="1"/>
  <c r="S249" i="31" s="1"/>
  <c r="T249" i="31" s="1"/>
  <c r="U249" i="31" s="1"/>
  <c r="V249" i="31" s="1"/>
  <c r="W249" i="31" s="1"/>
  <c r="X249" i="31" s="1"/>
  <c r="Y249" i="31" s="1"/>
  <c r="Z249" i="31" s="1"/>
  <c r="AA249" i="31" s="1"/>
  <c r="AB249" i="31" s="1"/>
  <c r="AC249" i="31" s="1"/>
  <c r="AD249" i="31" s="1"/>
  <c r="AE249" i="31" s="1"/>
  <c r="AF249" i="31" s="1"/>
  <c r="B249" i="31" s="1"/>
  <c r="D248" i="31"/>
  <c r="E248" i="31" s="1"/>
  <c r="F248" i="31" s="1"/>
  <c r="G248" i="31" s="1"/>
  <c r="H248" i="31" s="1"/>
  <c r="I248" i="31" s="1"/>
  <c r="J248" i="31" s="1"/>
  <c r="K248" i="31" s="1"/>
  <c r="L248" i="31" s="1"/>
  <c r="M248" i="31" s="1"/>
  <c r="N248" i="31" s="1"/>
  <c r="O248" i="31" s="1"/>
  <c r="P248" i="31" s="1"/>
  <c r="Q248" i="31" s="1"/>
  <c r="R248" i="31" s="1"/>
  <c r="S248" i="31" s="1"/>
  <c r="T248" i="31" s="1"/>
  <c r="U248" i="31" s="1"/>
  <c r="V248" i="31" s="1"/>
  <c r="W248" i="31" s="1"/>
  <c r="X248" i="31" s="1"/>
  <c r="Y248" i="31" s="1"/>
  <c r="Z248" i="31" s="1"/>
  <c r="AA248" i="31" s="1"/>
  <c r="AB248" i="31" s="1"/>
  <c r="AC248" i="31" s="1"/>
  <c r="AD248" i="31" s="1"/>
  <c r="AE248" i="31" s="1"/>
  <c r="AF248" i="31" s="1"/>
  <c r="B248" i="31" s="1"/>
  <c r="D247" i="31"/>
  <c r="D246" i="31"/>
  <c r="D118" i="31" s="1"/>
  <c r="AG244" i="31"/>
  <c r="AF244" i="31"/>
  <c r="AE244" i="31"/>
  <c r="AD244" i="31"/>
  <c r="AC244" i="31"/>
  <c r="AB244" i="31"/>
  <c r="AA244" i="31"/>
  <c r="Z244" i="31"/>
  <c r="Y244" i="31"/>
  <c r="X244" i="31"/>
  <c r="W244" i="31"/>
  <c r="V244" i="31"/>
  <c r="U244" i="31"/>
  <c r="T244" i="31"/>
  <c r="S244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E244" i="31"/>
  <c r="D244" i="31"/>
  <c r="C244" i="31"/>
  <c r="B244" i="31"/>
  <c r="AI130" i="31"/>
  <c r="AH130" i="31"/>
  <c r="AI129" i="31"/>
  <c r="AH129" i="31"/>
  <c r="AI128" i="31"/>
  <c r="AH128" i="31"/>
  <c r="AI127" i="31"/>
  <c r="AH127" i="31"/>
  <c r="AI126" i="31"/>
  <c r="AH126" i="31"/>
  <c r="AI123" i="31"/>
  <c r="AH123" i="31"/>
  <c r="AI122" i="31"/>
  <c r="AH122" i="31"/>
  <c r="AI121" i="31"/>
  <c r="AH121" i="31"/>
  <c r="AI120" i="31"/>
  <c r="AH120" i="31"/>
  <c r="AI119" i="31"/>
  <c r="AH119" i="31"/>
  <c r="C118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I111" i="31"/>
  <c r="AH111" i="31"/>
  <c r="AI110" i="31"/>
  <c r="AH110" i="31"/>
  <c r="AI109" i="31"/>
  <c r="AH109" i="31"/>
  <c r="AI106" i="31"/>
  <c r="AH106" i="31"/>
  <c r="AF105" i="31"/>
  <c r="AE105" i="31"/>
  <c r="AD105" i="31"/>
  <c r="AC105" i="31"/>
  <c r="AB105" i="31"/>
  <c r="W105" i="31"/>
  <c r="V105" i="31"/>
  <c r="T105" i="31"/>
  <c r="S105" i="31"/>
  <c r="R105" i="31"/>
  <c r="Q105" i="31"/>
  <c r="P105" i="31"/>
  <c r="O105" i="31"/>
  <c r="N105" i="31"/>
  <c r="L105" i="31"/>
  <c r="K105" i="31"/>
  <c r="J105" i="31"/>
  <c r="I105" i="31"/>
  <c r="H105" i="31"/>
  <c r="G105" i="31"/>
  <c r="F105" i="31"/>
  <c r="E105" i="31"/>
  <c r="D105" i="31"/>
  <c r="C105" i="31"/>
  <c r="B105" i="31"/>
  <c r="AF104" i="31"/>
  <c r="AE104" i="31"/>
  <c r="AD104" i="31"/>
  <c r="AC104" i="31"/>
  <c r="AB104" i="31"/>
  <c r="W104" i="31"/>
  <c r="V104" i="31"/>
  <c r="T104" i="31"/>
  <c r="S104" i="31"/>
  <c r="R104" i="31"/>
  <c r="Q104" i="31"/>
  <c r="P104" i="31"/>
  <c r="O104" i="31"/>
  <c r="N104" i="31"/>
  <c r="L104" i="31"/>
  <c r="K104" i="31"/>
  <c r="J104" i="31"/>
  <c r="I104" i="31"/>
  <c r="H104" i="31"/>
  <c r="G104" i="31"/>
  <c r="F104" i="31"/>
  <c r="E104" i="31"/>
  <c r="D104" i="31"/>
  <c r="C104" i="31"/>
  <c r="B104" i="31"/>
  <c r="AF103" i="31"/>
  <c r="AE103" i="31"/>
  <c r="AD103" i="31"/>
  <c r="AC103" i="31"/>
  <c r="AB103" i="31"/>
  <c r="W103" i="31"/>
  <c r="V103" i="31"/>
  <c r="T103" i="31"/>
  <c r="S103" i="31"/>
  <c r="R103" i="31"/>
  <c r="Q103" i="31"/>
  <c r="P103" i="31"/>
  <c r="O103" i="31"/>
  <c r="N103" i="31"/>
  <c r="L103" i="31"/>
  <c r="K103" i="31"/>
  <c r="J103" i="31"/>
  <c r="I103" i="31"/>
  <c r="H103" i="31"/>
  <c r="G103" i="31"/>
  <c r="F103" i="31"/>
  <c r="E103" i="31"/>
  <c r="D103" i="31"/>
  <c r="C103" i="31"/>
  <c r="B103" i="31"/>
  <c r="AF102" i="31"/>
  <c r="AE102" i="31"/>
  <c r="AD102" i="31"/>
  <c r="AC102" i="31"/>
  <c r="AB102" i="31"/>
  <c r="W102" i="31"/>
  <c r="V102" i="31"/>
  <c r="T102" i="31"/>
  <c r="S102" i="31"/>
  <c r="R102" i="31"/>
  <c r="Q102" i="31"/>
  <c r="P102" i="31"/>
  <c r="O102" i="31"/>
  <c r="N102" i="31"/>
  <c r="L102" i="31"/>
  <c r="K102" i="31"/>
  <c r="J102" i="31"/>
  <c r="I102" i="31"/>
  <c r="H102" i="31"/>
  <c r="G102" i="31"/>
  <c r="F102" i="31"/>
  <c r="E102" i="31"/>
  <c r="D102" i="31"/>
  <c r="C102" i="31"/>
  <c r="B102" i="31"/>
  <c r="AF101" i="31"/>
  <c r="AE101" i="31"/>
  <c r="AD101" i="31"/>
  <c r="AC101" i="31"/>
  <c r="AB101" i="31"/>
  <c r="W101" i="31"/>
  <c r="V101" i="31"/>
  <c r="T101" i="31"/>
  <c r="S101" i="31"/>
  <c r="R101" i="31"/>
  <c r="Q101" i="31"/>
  <c r="P101" i="31"/>
  <c r="O101" i="31"/>
  <c r="N101" i="31"/>
  <c r="L101" i="31"/>
  <c r="K101" i="31"/>
  <c r="J101" i="31"/>
  <c r="I101" i="31"/>
  <c r="H101" i="31"/>
  <c r="G101" i="31"/>
  <c r="F101" i="31"/>
  <c r="E101" i="31"/>
  <c r="D101" i="31"/>
  <c r="C101" i="31"/>
  <c r="B101" i="31"/>
  <c r="AI98" i="31"/>
  <c r="AH98" i="31"/>
  <c r="AI96" i="31"/>
  <c r="AH96" i="31"/>
  <c r="AG96" i="31"/>
  <c r="AI95" i="31"/>
  <c r="AH95" i="31"/>
  <c r="AI94" i="31"/>
  <c r="AH94" i="31"/>
  <c r="AI93" i="31"/>
  <c r="AH93" i="31"/>
  <c r="AG92" i="31"/>
  <c r="AF92" i="31"/>
  <c r="AE5" i="31" s="1"/>
  <c r="AE92" i="31"/>
  <c r="AD5" i="31" s="1"/>
  <c r="AD92" i="31"/>
  <c r="AC5" i="31" s="1"/>
  <c r="AC92" i="31"/>
  <c r="AB5" i="31" s="1"/>
  <c r="AB92" i="31"/>
  <c r="AA5" i="31" s="1"/>
  <c r="W92" i="31"/>
  <c r="V5" i="31" s="1"/>
  <c r="V92" i="31"/>
  <c r="U5" i="31" s="1"/>
  <c r="T5" i="31"/>
  <c r="T92" i="31"/>
  <c r="S5" i="31" s="1"/>
  <c r="S92" i="31"/>
  <c r="R5" i="31" s="1"/>
  <c r="R92" i="31"/>
  <c r="Q5" i="31" s="1"/>
  <c r="Q92" i="31"/>
  <c r="P92" i="31"/>
  <c r="O5" i="31" s="1"/>
  <c r="O92" i="31"/>
  <c r="N5" i="31" s="1"/>
  <c r="N92" i="31"/>
  <c r="M5" i="31" s="1"/>
  <c r="L92" i="31"/>
  <c r="K5" i="31" s="1"/>
  <c r="K92" i="31"/>
  <c r="J5" i="31" s="1"/>
  <c r="J92" i="31"/>
  <c r="I92" i="31"/>
  <c r="H92" i="31"/>
  <c r="G5" i="31" s="1"/>
  <c r="G92" i="31"/>
  <c r="F5" i="31" s="1"/>
  <c r="F92" i="31"/>
  <c r="E5" i="31" s="1"/>
  <c r="E92" i="31"/>
  <c r="D5" i="31" s="1"/>
  <c r="D92" i="31"/>
  <c r="C5" i="31" s="1"/>
  <c r="C92" i="31"/>
  <c r="B5" i="31" s="1"/>
  <c r="B92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3" i="31"/>
  <c r="AH83" i="31"/>
  <c r="AI82" i="31"/>
  <c r="AH82" i="31"/>
  <c r="AI81" i="31"/>
  <c r="AH81" i="31"/>
  <c r="AG80" i="31"/>
  <c r="AG4" i="31" s="1"/>
  <c r="AF80" i="31"/>
  <c r="AE80" i="31"/>
  <c r="AD80" i="31"/>
  <c r="AC80" i="31"/>
  <c r="AB80" i="31"/>
  <c r="W80" i="31"/>
  <c r="V80" i="31"/>
  <c r="T80" i="31"/>
  <c r="S80" i="31"/>
  <c r="R80" i="31"/>
  <c r="Q80" i="31"/>
  <c r="P80" i="31"/>
  <c r="O80" i="31"/>
  <c r="N80" i="31"/>
  <c r="L80" i="31"/>
  <c r="K80" i="31"/>
  <c r="J80" i="31"/>
  <c r="I80" i="31"/>
  <c r="H80" i="31"/>
  <c r="G80" i="31"/>
  <c r="F80" i="31"/>
  <c r="E80" i="31"/>
  <c r="D80" i="31"/>
  <c r="C80" i="31"/>
  <c r="B80" i="31"/>
  <c r="AI79" i="31"/>
  <c r="AH79" i="31"/>
  <c r="AI78" i="31"/>
  <c r="AH78" i="31"/>
  <c r="AI77" i="31"/>
  <c r="AH77" i="31"/>
  <c r="AF76" i="31"/>
  <c r="AE76" i="31"/>
  <c r="AD76" i="31"/>
  <c r="AC76" i="31"/>
  <c r="AB76" i="31"/>
  <c r="W76" i="31"/>
  <c r="V76" i="31"/>
  <c r="T76" i="31"/>
  <c r="S76" i="31"/>
  <c r="R76" i="31"/>
  <c r="Q76" i="31"/>
  <c r="P76" i="31"/>
  <c r="O76" i="31"/>
  <c r="N76" i="31"/>
  <c r="L76" i="31"/>
  <c r="K76" i="31"/>
  <c r="J76" i="31"/>
  <c r="I76" i="31"/>
  <c r="H76" i="31"/>
  <c r="G76" i="31"/>
  <c r="F76" i="31"/>
  <c r="E76" i="31"/>
  <c r="D76" i="31"/>
  <c r="C76" i="31"/>
  <c r="B76" i="31"/>
  <c r="AI75" i="31"/>
  <c r="AH75" i="31"/>
  <c r="AI74" i="31"/>
  <c r="AH74" i="31"/>
  <c r="AI73" i="31"/>
  <c r="AH73" i="31"/>
  <c r="AI72" i="31"/>
  <c r="AH72" i="31"/>
  <c r="AI71" i="31"/>
  <c r="AH71" i="31"/>
  <c r="AI70" i="31"/>
  <c r="AH70" i="31"/>
  <c r="AI69" i="31"/>
  <c r="AH69" i="31"/>
  <c r="AI68" i="31"/>
  <c r="AH68" i="31"/>
  <c r="AI67" i="31"/>
  <c r="AH67" i="31"/>
  <c r="AI66" i="31"/>
  <c r="AH66" i="31"/>
  <c r="AI65" i="31"/>
  <c r="AH65" i="31"/>
  <c r="AI64" i="31"/>
  <c r="AH64" i="31"/>
  <c r="AI63" i="31"/>
  <c r="AH63" i="31"/>
  <c r="AG62" i="31"/>
  <c r="AF62" i="31"/>
  <c r="AE62" i="31"/>
  <c r="AD62" i="31"/>
  <c r="AC62" i="31"/>
  <c r="AB62" i="31"/>
  <c r="W62" i="31"/>
  <c r="V62" i="31"/>
  <c r="T62" i="31"/>
  <c r="S62" i="31"/>
  <c r="R62" i="31"/>
  <c r="Q62" i="31"/>
  <c r="P62" i="31"/>
  <c r="O62" i="31"/>
  <c r="N62" i="31"/>
  <c r="L62" i="31"/>
  <c r="K62" i="31"/>
  <c r="J62" i="31"/>
  <c r="I62" i="31"/>
  <c r="H62" i="31"/>
  <c r="G62" i="31"/>
  <c r="F62" i="31"/>
  <c r="E62" i="31"/>
  <c r="D62" i="31"/>
  <c r="C62" i="31"/>
  <c r="B97" i="31"/>
  <c r="AI61" i="31"/>
  <c r="AH61" i="31"/>
  <c r="AI60" i="31"/>
  <c r="AH60" i="31"/>
  <c r="AI59" i="31"/>
  <c r="AH59" i="31"/>
  <c r="AG58" i="31"/>
  <c r="AG2" i="31" s="1"/>
  <c r="AF58" i="31"/>
  <c r="AE58" i="31"/>
  <c r="AD58" i="31"/>
  <c r="AC58" i="31"/>
  <c r="AB58" i="31"/>
  <c r="W58" i="31"/>
  <c r="V58" i="31"/>
  <c r="T58" i="31"/>
  <c r="S58" i="31"/>
  <c r="R58" i="31"/>
  <c r="Q58" i="31"/>
  <c r="P58" i="31"/>
  <c r="O58" i="31"/>
  <c r="N58" i="31"/>
  <c r="L58" i="31"/>
  <c r="K58" i="31"/>
  <c r="J58" i="31"/>
  <c r="I58" i="31"/>
  <c r="H58" i="31"/>
  <c r="G58" i="31"/>
  <c r="F58" i="31"/>
  <c r="E58" i="31"/>
  <c r="D58" i="31"/>
  <c r="C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Z5" i="31"/>
  <c r="Y5" i="31"/>
  <c r="K4" i="31"/>
  <c r="E4" i="31"/>
  <c r="H4" i="31" s="1"/>
  <c r="B4" i="31"/>
  <c r="S258" i="31" s="1"/>
  <c r="W107" i="31" l="1"/>
  <c r="W108" i="31"/>
  <c r="AC97" i="31"/>
  <c r="AC99" i="31" s="1"/>
  <c r="E246" i="31"/>
  <c r="F246" i="31" s="1"/>
  <c r="V97" i="31"/>
  <c r="V99" i="31" s="1"/>
  <c r="AE97" i="31"/>
  <c r="AE99" i="31" s="1"/>
  <c r="AW261" i="31" s="1"/>
  <c r="AF97" i="31"/>
  <c r="AF99" i="31" s="1"/>
  <c r="AG6" i="31"/>
  <c r="AG99" i="31"/>
  <c r="R97" i="31"/>
  <c r="R99" i="31" s="1"/>
  <c r="AD97" i="31"/>
  <c r="AD99" i="31" s="1"/>
  <c r="AV261" i="31" s="1"/>
  <c r="S107" i="31"/>
  <c r="K107" i="31"/>
  <c r="O107" i="31"/>
  <c r="AE107" i="31"/>
  <c r="AE108" i="31" s="1"/>
  <c r="AI103" i="31"/>
  <c r="D252" i="31"/>
  <c r="AI101" i="31"/>
  <c r="P107" i="31"/>
  <c r="AF107" i="31"/>
  <c r="I107" i="31"/>
  <c r="G107" i="31"/>
  <c r="AI102" i="31"/>
  <c r="H107" i="31"/>
  <c r="W97" i="31"/>
  <c r="W99" i="31" s="1"/>
  <c r="R107" i="31"/>
  <c r="R108" i="31" s="1"/>
  <c r="Q107" i="31"/>
  <c r="Q97" i="31"/>
  <c r="Q99" i="31" s="1"/>
  <c r="P97" i="31"/>
  <c r="P99" i="31" s="1"/>
  <c r="O108" i="31"/>
  <c r="O97" i="31"/>
  <c r="O99" i="31" s="1"/>
  <c r="AG261" i="31" s="1"/>
  <c r="N97" i="31"/>
  <c r="N99" i="31" s="1"/>
  <c r="L5" i="31"/>
  <c r="M107" i="31"/>
  <c r="M108" i="31" s="1"/>
  <c r="M97" i="31"/>
  <c r="M99" i="31" s="1"/>
  <c r="M100" i="31" s="1"/>
  <c r="M7" i="31" s="1"/>
  <c r="J107" i="31"/>
  <c r="J108" i="31"/>
  <c r="I5" i="31"/>
  <c r="AI62" i="31"/>
  <c r="J97" i="31"/>
  <c r="J99" i="31" s="1"/>
  <c r="H97" i="31"/>
  <c r="H99" i="31" s="1"/>
  <c r="H100" i="31" s="1"/>
  <c r="H7" i="31" s="1"/>
  <c r="G108" i="31"/>
  <c r="F97" i="31"/>
  <c r="F99" i="31" s="1"/>
  <c r="X261" i="31" s="1"/>
  <c r="AI105" i="31"/>
  <c r="E97" i="31"/>
  <c r="E99" i="31" s="1"/>
  <c r="W261" i="31" s="1"/>
  <c r="G97" i="31"/>
  <c r="G99" i="31" s="1"/>
  <c r="Y261" i="31" s="1"/>
  <c r="AI58" i="31"/>
  <c r="C107" i="31"/>
  <c r="C108" i="31" s="1"/>
  <c r="AI261" i="31"/>
  <c r="Q100" i="31"/>
  <c r="Q7" i="31" s="1"/>
  <c r="AE261" i="31"/>
  <c r="AU261" i="31"/>
  <c r="AQ261" i="31"/>
  <c r="Y7" i="31"/>
  <c r="AR261" i="31"/>
  <c r="Z7" i="31"/>
  <c r="AN261" i="31"/>
  <c r="AF261" i="31"/>
  <c r="P108" i="31"/>
  <c r="AO261" i="31"/>
  <c r="W100" i="31"/>
  <c r="W7" i="31" s="1"/>
  <c r="AJ261" i="31"/>
  <c r="AM261" i="31"/>
  <c r="P100" i="31"/>
  <c r="P7" i="31" s="1"/>
  <c r="AF100" i="31"/>
  <c r="AF7" i="31" s="1"/>
  <c r="I97" i="31"/>
  <c r="I99" i="31" s="1"/>
  <c r="AH102" i="31"/>
  <c r="AI104" i="31"/>
  <c r="AF108" i="31"/>
  <c r="T107" i="31"/>
  <c r="T108" i="31" s="1"/>
  <c r="AX261" i="31"/>
  <c r="W5" i="31"/>
  <c r="X5" i="31"/>
  <c r="C97" i="31"/>
  <c r="C99" i="31" s="1"/>
  <c r="AH58" i="31"/>
  <c r="AF5" i="31"/>
  <c r="AI92" i="31"/>
  <c r="AH92" i="31"/>
  <c r="D107" i="31"/>
  <c r="D108" i="31" s="1"/>
  <c r="L107" i="31"/>
  <c r="L108" i="31" s="1"/>
  <c r="AB107" i="31"/>
  <c r="AB108" i="31" s="1"/>
  <c r="D97" i="31"/>
  <c r="D99" i="31" s="1"/>
  <c r="L97" i="31"/>
  <c r="L99" i="31" s="1"/>
  <c r="T97" i="31"/>
  <c r="T99" i="31" s="1"/>
  <c r="AB97" i="31"/>
  <c r="AB99" i="31" s="1"/>
  <c r="AI80" i="31"/>
  <c r="AH80" i="31"/>
  <c r="K108" i="31"/>
  <c r="S108" i="31"/>
  <c r="AG97" i="31"/>
  <c r="E107" i="31"/>
  <c r="E108" i="31" s="1"/>
  <c r="AC107" i="31"/>
  <c r="AC108" i="31" s="1"/>
  <c r="H108" i="31"/>
  <c r="AH261" i="31"/>
  <c r="P5" i="31"/>
  <c r="Q108" i="31"/>
  <c r="K97" i="31"/>
  <c r="K99" i="31" s="1"/>
  <c r="AI76" i="31"/>
  <c r="AH76" i="31"/>
  <c r="F107" i="31"/>
  <c r="F108" i="31" s="1"/>
  <c r="N107" i="31"/>
  <c r="N108" i="31" s="1"/>
  <c r="V107" i="31"/>
  <c r="V108" i="31" s="1"/>
  <c r="AD107" i="31"/>
  <c r="AD108" i="31" s="1"/>
  <c r="E247" i="31"/>
  <c r="F247" i="31" s="1"/>
  <c r="G247" i="31" s="1"/>
  <c r="H247" i="31" s="1"/>
  <c r="I247" i="31" s="1"/>
  <c r="J247" i="31" s="1"/>
  <c r="K247" i="31" s="1"/>
  <c r="L247" i="31" s="1"/>
  <c r="M247" i="31" s="1"/>
  <c r="N247" i="31" s="1"/>
  <c r="O247" i="31" s="1"/>
  <c r="P247" i="31" s="1"/>
  <c r="Q247" i="31" s="1"/>
  <c r="R247" i="31" s="1"/>
  <c r="S247" i="31" s="1"/>
  <c r="T247" i="31" s="1"/>
  <c r="U247" i="31" s="1"/>
  <c r="V247" i="31" s="1"/>
  <c r="W247" i="31" s="1"/>
  <c r="X247" i="31" s="1"/>
  <c r="Y247" i="31" s="1"/>
  <c r="Z247" i="31" s="1"/>
  <c r="AA247" i="31" s="1"/>
  <c r="AB247" i="31" s="1"/>
  <c r="AC247" i="31" s="1"/>
  <c r="AD247" i="31" s="1"/>
  <c r="AE247" i="31" s="1"/>
  <c r="AF247" i="31" s="1"/>
  <c r="B247" i="31" s="1"/>
  <c r="O100" i="31"/>
  <c r="O7" i="31" s="1"/>
  <c r="B107" i="31"/>
  <c r="AH101" i="31"/>
  <c r="AH104" i="31"/>
  <c r="H5" i="31"/>
  <c r="I108" i="31"/>
  <c r="G246" i="31"/>
  <c r="S97" i="31"/>
  <c r="S99" i="31" s="1"/>
  <c r="B99" i="31"/>
  <c r="AH105" i="31"/>
  <c r="E251" i="31"/>
  <c r="E118" i="31" s="1"/>
  <c r="D258" i="31"/>
  <c r="AH62" i="31"/>
  <c r="AH103" i="31"/>
  <c r="AA123" i="30"/>
  <c r="Z123" i="30"/>
  <c r="Z58" i="30"/>
  <c r="Z62" i="30"/>
  <c r="Y123" i="30"/>
  <c r="X123" i="30"/>
  <c r="C58" i="16"/>
  <c r="D58" i="16"/>
  <c r="E58" i="16"/>
  <c r="F58" i="16"/>
  <c r="G58" i="16"/>
  <c r="H58" i="16"/>
  <c r="I58" i="16"/>
  <c r="J58" i="16"/>
  <c r="K58" i="16"/>
  <c r="L58" i="16"/>
  <c r="M58" i="16"/>
  <c r="V119" i="30"/>
  <c r="T58" i="30"/>
  <c r="T62" i="30"/>
  <c r="T76" i="30"/>
  <c r="T80" i="30"/>
  <c r="T92" i="30"/>
  <c r="T101" i="30"/>
  <c r="T102" i="30"/>
  <c r="T103" i="30"/>
  <c r="T104" i="30"/>
  <c r="T105" i="30"/>
  <c r="T118" i="30"/>
  <c r="AE100" i="31" l="1"/>
  <c r="AE7" i="31" s="1"/>
  <c r="R100" i="31"/>
  <c r="R7" i="31" s="1"/>
  <c r="AC100" i="31"/>
  <c r="AC7" i="31" s="1"/>
  <c r="E252" i="31"/>
  <c r="J100" i="31"/>
  <c r="J7" i="31" s="1"/>
  <c r="AB261" i="31"/>
  <c r="Z261" i="31"/>
  <c r="C256" i="31"/>
  <c r="G100" i="31"/>
  <c r="G7" i="31" s="1"/>
  <c r="E100" i="31"/>
  <c r="E7" i="31" s="1"/>
  <c r="AL261" i="31"/>
  <c r="T100" i="31"/>
  <c r="T7" i="31" s="1"/>
  <c r="AP261" i="31"/>
  <c r="X7" i="31"/>
  <c r="U7" i="31"/>
  <c r="N100" i="31"/>
  <c r="N7" i="31" s="1"/>
  <c r="AH97" i="31"/>
  <c r="AD100" i="31"/>
  <c r="AD7" i="31" s="1"/>
  <c r="H246" i="31"/>
  <c r="AT261" i="31"/>
  <c r="AB100" i="31"/>
  <c r="AB7" i="31" s="1"/>
  <c r="AI97" i="31"/>
  <c r="AD261" i="31"/>
  <c r="L100" i="31"/>
  <c r="L7" i="31" s="1"/>
  <c r="AS261" i="31"/>
  <c r="AA7" i="31"/>
  <c r="D282" i="31"/>
  <c r="F251" i="31"/>
  <c r="V261" i="31"/>
  <c r="D100" i="31"/>
  <c r="D7" i="31" s="1"/>
  <c r="V100" i="31"/>
  <c r="V7" i="31" s="1"/>
  <c r="AA261" i="31"/>
  <c r="I100" i="31"/>
  <c r="I7" i="31" s="1"/>
  <c r="U261" i="31"/>
  <c r="C100" i="31"/>
  <c r="C7" i="31" s="1"/>
  <c r="AK261" i="31"/>
  <c r="S100" i="31"/>
  <c r="S7" i="31" s="1"/>
  <c r="AC261" i="31"/>
  <c r="K100" i="31"/>
  <c r="K7" i="31" s="1"/>
  <c r="T261" i="31"/>
  <c r="B100" i="31"/>
  <c r="AH99" i="31"/>
  <c r="AI99" i="31"/>
  <c r="AI107" i="31"/>
  <c r="B108" i="31"/>
  <c r="AH107" i="31"/>
  <c r="B256" i="31"/>
  <c r="F100" i="31"/>
  <c r="F7" i="31" s="1"/>
  <c r="T107" i="30"/>
  <c r="T97" i="30"/>
  <c r="T99" i="30" s="1"/>
  <c r="T100" i="30" s="1"/>
  <c r="T108" i="30"/>
  <c r="K6" i="31" l="1"/>
  <c r="AH108" i="31"/>
  <c r="AI108" i="31"/>
  <c r="E282" i="31"/>
  <c r="G251" i="31"/>
  <c r="F118" i="31"/>
  <c r="F252" i="31"/>
  <c r="AI100" i="31"/>
  <c r="B7" i="31"/>
  <c r="A7" i="31" s="1"/>
  <c r="AH100" i="31"/>
  <c r="I246" i="31"/>
  <c r="F282" i="31" l="1"/>
  <c r="H251" i="31"/>
  <c r="G252" i="31"/>
  <c r="G118" i="31"/>
  <c r="J246" i="31"/>
  <c r="K246" i="31" l="1"/>
  <c r="G282" i="31"/>
  <c r="I251" i="31"/>
  <c r="H118" i="31"/>
  <c r="H252" i="31"/>
  <c r="H282" i="31" l="1"/>
  <c r="J251" i="31"/>
  <c r="I252" i="31"/>
  <c r="I118" i="31"/>
  <c r="L246" i="31"/>
  <c r="M246" i="31" l="1"/>
  <c r="K251" i="31"/>
  <c r="I282" i="31"/>
  <c r="J118" i="31"/>
  <c r="J252" i="31"/>
  <c r="J282" i="31" l="1"/>
  <c r="L251" i="31"/>
  <c r="K118" i="31"/>
  <c r="K252" i="31"/>
  <c r="N246" i="31"/>
  <c r="O246" i="31" l="1"/>
  <c r="K282" i="31"/>
  <c r="M251" i="31"/>
  <c r="M118" i="31" s="1"/>
  <c r="L252" i="31"/>
  <c r="L118" i="31"/>
  <c r="L282" i="31" l="1"/>
  <c r="N251" i="31"/>
  <c r="M252" i="31"/>
  <c r="P246" i="31"/>
  <c r="Q246" i="31" l="1"/>
  <c r="M282" i="31"/>
  <c r="O251" i="31"/>
  <c r="N252" i="31"/>
  <c r="N118" i="31"/>
  <c r="N282" i="31" l="1"/>
  <c r="P251" i="31"/>
  <c r="O252" i="31"/>
  <c r="O118" i="31"/>
  <c r="R246" i="31"/>
  <c r="S246" i="31" l="1"/>
  <c r="O282" i="31"/>
  <c r="Q251" i="31"/>
  <c r="P252" i="31"/>
  <c r="P282" i="31" l="1"/>
  <c r="R251" i="31"/>
  <c r="Q252" i="31"/>
  <c r="Q118" i="31"/>
  <c r="T246" i="31"/>
  <c r="U246" i="31" l="1"/>
  <c r="S251" i="31"/>
  <c r="Q282" i="31"/>
  <c r="R252" i="31"/>
  <c r="R118" i="31"/>
  <c r="R282" i="31" l="1"/>
  <c r="T251" i="31"/>
  <c r="S252" i="31"/>
  <c r="S118" i="31"/>
  <c r="V246" i="31"/>
  <c r="W246" i="31" l="1"/>
  <c r="S282" i="31"/>
  <c r="U251" i="31"/>
  <c r="T252" i="31"/>
  <c r="T118" i="31"/>
  <c r="T282" i="31" l="1"/>
  <c r="V251" i="31"/>
  <c r="U252" i="31"/>
  <c r="X246" i="31"/>
  <c r="Y246" i="31" l="1"/>
  <c r="U282" i="31"/>
  <c r="W251" i="31"/>
  <c r="V252" i="31"/>
  <c r="V118" i="31"/>
  <c r="V282" i="31" l="1"/>
  <c r="X251" i="31"/>
  <c r="W252" i="31"/>
  <c r="W118" i="31"/>
  <c r="Z246" i="31"/>
  <c r="AA246" i="31" l="1"/>
  <c r="W282" i="31"/>
  <c r="Y251" i="31"/>
  <c r="X252" i="31"/>
  <c r="X282" i="31" l="1"/>
  <c r="Z251" i="31"/>
  <c r="Y252" i="31"/>
  <c r="AB246" i="31"/>
  <c r="AC246" i="31" l="1"/>
  <c r="AA251" i="31"/>
  <c r="Y282" i="31"/>
  <c r="Z252" i="31"/>
  <c r="Z282" i="31" l="1"/>
  <c r="AB251" i="31"/>
  <c r="AA252" i="31"/>
  <c r="AD246" i="31"/>
  <c r="AE246" i="31" l="1"/>
  <c r="AA282" i="31"/>
  <c r="AC251" i="31"/>
  <c r="AB252" i="31"/>
  <c r="AB118" i="31"/>
  <c r="AB282" i="31" l="1"/>
  <c r="AD251" i="31"/>
  <c r="AC252" i="31"/>
  <c r="AC118" i="31"/>
  <c r="AF246" i="31"/>
  <c r="B246" i="31" l="1"/>
  <c r="AC282" i="31"/>
  <c r="AE251" i="31"/>
  <c r="AD252" i="31"/>
  <c r="AD282" i="31" l="1"/>
  <c r="AF251" i="31"/>
  <c r="AE252" i="31"/>
  <c r="AE118" i="31"/>
  <c r="B251" i="31" l="1"/>
  <c r="AE282" i="31"/>
  <c r="AF252" i="31"/>
  <c r="AF118" i="31"/>
  <c r="AF282" i="31" l="1"/>
  <c r="B118" i="31"/>
  <c r="B252" i="31"/>
  <c r="AI118" i="31" l="1"/>
  <c r="AH118" i="31"/>
  <c r="L123" i="30" l="1"/>
  <c r="L121" i="30"/>
  <c r="K123" i="30"/>
  <c r="K121" i="30"/>
  <c r="J123" i="30"/>
  <c r="J121" i="30"/>
  <c r="I123" i="30"/>
  <c r="I121" i="30"/>
  <c r="H123" i="30"/>
  <c r="H121" i="30"/>
  <c r="AI121" i="30" s="1"/>
  <c r="G123" i="30"/>
  <c r="G121" i="30"/>
  <c r="F123" i="30"/>
  <c r="F121" i="30"/>
  <c r="E123" i="30"/>
  <c r="E121" i="30"/>
  <c r="D123" i="30"/>
  <c r="C123" i="30"/>
  <c r="C118" i="30" s="1"/>
  <c r="B123" i="30"/>
  <c r="AF284" i="30"/>
  <c r="AE284" i="30"/>
  <c r="AD284" i="30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J284" i="30"/>
  <c r="I284" i="30"/>
  <c r="H284" i="30"/>
  <c r="G284" i="30"/>
  <c r="F284" i="30"/>
  <c r="E284" i="30"/>
  <c r="D284" i="30"/>
  <c r="C284" i="30"/>
  <c r="B284" i="30"/>
  <c r="A284" i="30"/>
  <c r="AF283" i="30"/>
  <c r="AE283" i="30"/>
  <c r="AD283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J283" i="30"/>
  <c r="I283" i="30"/>
  <c r="H283" i="30"/>
  <c r="G283" i="30"/>
  <c r="F283" i="30"/>
  <c r="E283" i="30"/>
  <c r="D283" i="30"/>
  <c r="C283" i="30"/>
  <c r="B283" i="30"/>
  <c r="A283" i="30"/>
  <c r="AF282" i="30"/>
  <c r="AE282" i="30"/>
  <c r="AD282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J282" i="30"/>
  <c r="I282" i="30"/>
  <c r="H282" i="30"/>
  <c r="G282" i="30"/>
  <c r="F282" i="30"/>
  <c r="E282" i="30"/>
  <c r="D282" i="30"/>
  <c r="C282" i="30"/>
  <c r="B282" i="30"/>
  <c r="A282" i="30"/>
  <c r="AF281" i="30"/>
  <c r="AE281" i="30"/>
  <c r="AD281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J281" i="30"/>
  <c r="I281" i="30"/>
  <c r="H281" i="30"/>
  <c r="G281" i="30"/>
  <c r="F281" i="30"/>
  <c r="E281" i="30"/>
  <c r="D281" i="30"/>
  <c r="C281" i="30"/>
  <c r="B281" i="30"/>
  <c r="A281" i="30"/>
  <c r="B280" i="30"/>
  <c r="S255" i="30"/>
  <c r="AG250" i="30"/>
  <c r="AG75" i="30" s="1"/>
  <c r="AG76" i="30" s="1"/>
  <c r="AG3" i="30" s="1"/>
  <c r="C250" i="30"/>
  <c r="D249" i="30"/>
  <c r="C280" i="30" s="1"/>
  <c r="D248" i="30"/>
  <c r="E248" i="30" s="1"/>
  <c r="F248" i="30" s="1"/>
  <c r="G248" i="30" s="1"/>
  <c r="H248" i="30" s="1"/>
  <c r="I248" i="30" s="1"/>
  <c r="J248" i="30" s="1"/>
  <c r="K248" i="30" s="1"/>
  <c r="L248" i="30" s="1"/>
  <c r="M248" i="30" s="1"/>
  <c r="N248" i="30" s="1"/>
  <c r="O248" i="30" s="1"/>
  <c r="P248" i="30" s="1"/>
  <c r="Q248" i="30" s="1"/>
  <c r="R248" i="30" s="1"/>
  <c r="S248" i="30" s="1"/>
  <c r="T248" i="30" s="1"/>
  <c r="U248" i="30" s="1"/>
  <c r="V248" i="30" s="1"/>
  <c r="W248" i="30" s="1"/>
  <c r="X248" i="30" s="1"/>
  <c r="Y248" i="30" s="1"/>
  <c r="Z248" i="30" s="1"/>
  <c r="AA248" i="30" s="1"/>
  <c r="AB248" i="30" s="1"/>
  <c r="AC248" i="30" s="1"/>
  <c r="AD248" i="30" s="1"/>
  <c r="AE248" i="30" s="1"/>
  <c r="AF248" i="30" s="1"/>
  <c r="B248" i="30" s="1"/>
  <c r="D247" i="30"/>
  <c r="D246" i="30"/>
  <c r="E246" i="30" s="1"/>
  <c r="F246" i="30" s="1"/>
  <c r="G246" i="30" s="1"/>
  <c r="H246" i="30" s="1"/>
  <c r="I246" i="30" s="1"/>
  <c r="J246" i="30" s="1"/>
  <c r="K246" i="30" s="1"/>
  <c r="L246" i="30" s="1"/>
  <c r="M246" i="30" s="1"/>
  <c r="N246" i="30" s="1"/>
  <c r="O246" i="30" s="1"/>
  <c r="P246" i="30" s="1"/>
  <c r="Q246" i="30" s="1"/>
  <c r="R246" i="30" s="1"/>
  <c r="S246" i="30" s="1"/>
  <c r="T246" i="30" s="1"/>
  <c r="U246" i="30" s="1"/>
  <c r="V246" i="30" s="1"/>
  <c r="W246" i="30" s="1"/>
  <c r="X246" i="30" s="1"/>
  <c r="Y246" i="30" s="1"/>
  <c r="Z246" i="30" s="1"/>
  <c r="AA246" i="30" s="1"/>
  <c r="AB246" i="30" s="1"/>
  <c r="AC246" i="30" s="1"/>
  <c r="AD246" i="30" s="1"/>
  <c r="AE246" i="30" s="1"/>
  <c r="AF246" i="30" s="1"/>
  <c r="B246" i="30" s="1"/>
  <c r="E245" i="30"/>
  <c r="F245" i="30" s="1"/>
  <c r="G245" i="30" s="1"/>
  <c r="H245" i="30" s="1"/>
  <c r="I245" i="30" s="1"/>
  <c r="J245" i="30" s="1"/>
  <c r="K245" i="30" s="1"/>
  <c r="L245" i="30" s="1"/>
  <c r="M245" i="30" s="1"/>
  <c r="N245" i="30" s="1"/>
  <c r="O245" i="30" s="1"/>
  <c r="P245" i="30" s="1"/>
  <c r="Q245" i="30" s="1"/>
  <c r="R245" i="30" s="1"/>
  <c r="S245" i="30" s="1"/>
  <c r="T245" i="30" s="1"/>
  <c r="U245" i="30" s="1"/>
  <c r="V245" i="30" s="1"/>
  <c r="W245" i="30" s="1"/>
  <c r="X245" i="30" s="1"/>
  <c r="Y245" i="30" s="1"/>
  <c r="Z245" i="30" s="1"/>
  <c r="AA245" i="30" s="1"/>
  <c r="AB245" i="30" s="1"/>
  <c r="AC245" i="30" s="1"/>
  <c r="AD245" i="30" s="1"/>
  <c r="AE245" i="30" s="1"/>
  <c r="AF245" i="30" s="1"/>
  <c r="B245" i="30" s="1"/>
  <c r="D245" i="30"/>
  <c r="D244" i="30"/>
  <c r="E244" i="30" s="1"/>
  <c r="AG242" i="30"/>
  <c r="AF242" i="30"/>
  <c r="AE242" i="30"/>
  <c r="AD242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J242" i="30"/>
  <c r="I242" i="30"/>
  <c r="H242" i="30"/>
  <c r="G242" i="30"/>
  <c r="F242" i="30"/>
  <c r="E242" i="30"/>
  <c r="D242" i="30"/>
  <c r="C242" i="30"/>
  <c r="B242" i="30"/>
  <c r="AI130" i="30"/>
  <c r="AH130" i="30"/>
  <c r="AI129" i="30"/>
  <c r="AH129" i="30"/>
  <c r="AI128" i="30"/>
  <c r="AH128" i="30"/>
  <c r="AI127" i="30"/>
  <c r="AH127" i="30"/>
  <c r="AI126" i="30"/>
  <c r="AH126" i="30"/>
  <c r="AI122" i="30"/>
  <c r="AH122" i="30"/>
  <c r="AI120" i="30"/>
  <c r="AH120" i="30"/>
  <c r="AI119" i="30"/>
  <c r="AH119" i="30"/>
  <c r="D118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I111" i="30"/>
  <c r="AH111" i="30"/>
  <c r="AI110" i="30"/>
  <c r="AH110" i="30"/>
  <c r="AI109" i="30"/>
  <c r="AH109" i="30"/>
  <c r="AI106" i="30"/>
  <c r="AH106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AF103" i="30"/>
  <c r="AE103" i="30"/>
  <c r="AD103" i="30"/>
  <c r="AC103" i="30"/>
  <c r="AB103" i="30"/>
  <c r="AA103" i="30"/>
  <c r="Z103" i="30"/>
  <c r="Y103" i="30"/>
  <c r="X103" i="30"/>
  <c r="W103" i="30"/>
  <c r="V103" i="30"/>
  <c r="U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AF102" i="30"/>
  <c r="AE102" i="30"/>
  <c r="AD102" i="30"/>
  <c r="AC102" i="30"/>
  <c r="AB102" i="30"/>
  <c r="AA102" i="30"/>
  <c r="Z102" i="30"/>
  <c r="Y102" i="30"/>
  <c r="X102" i="30"/>
  <c r="W102" i="30"/>
  <c r="V102" i="30"/>
  <c r="U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AF101" i="30"/>
  <c r="AE101" i="30"/>
  <c r="AD101" i="30"/>
  <c r="AC101" i="30"/>
  <c r="AB101" i="30"/>
  <c r="AB107" i="30" s="1"/>
  <c r="AA101" i="30"/>
  <c r="Z101" i="30"/>
  <c r="Y101" i="30"/>
  <c r="X101" i="30"/>
  <c r="W101" i="30"/>
  <c r="V101" i="30"/>
  <c r="U101" i="30"/>
  <c r="U107" i="30" s="1"/>
  <c r="S101" i="30"/>
  <c r="R101" i="30"/>
  <c r="Q101" i="30"/>
  <c r="P101" i="30"/>
  <c r="O101" i="30"/>
  <c r="N101" i="30"/>
  <c r="M101" i="30"/>
  <c r="L101" i="30"/>
  <c r="L107" i="30" s="1"/>
  <c r="K101" i="30"/>
  <c r="J101" i="30"/>
  <c r="I101" i="30"/>
  <c r="H101" i="30"/>
  <c r="G101" i="30"/>
  <c r="F101" i="30"/>
  <c r="E101" i="30"/>
  <c r="E107" i="30" s="1"/>
  <c r="D101" i="30"/>
  <c r="C101" i="30"/>
  <c r="B101" i="30"/>
  <c r="AI98" i="30"/>
  <c r="AH98" i="30"/>
  <c r="AI96" i="30"/>
  <c r="AH96" i="30"/>
  <c r="AG96" i="30"/>
  <c r="AI95" i="30"/>
  <c r="AH95" i="30"/>
  <c r="AI94" i="30"/>
  <c r="AH94" i="30"/>
  <c r="AI93" i="30"/>
  <c r="AH93" i="30"/>
  <c r="AG92" i="30"/>
  <c r="AF92" i="30"/>
  <c r="AE5" i="30" s="1"/>
  <c r="AE92" i="30"/>
  <c r="AD5" i="30" s="1"/>
  <c r="AD92" i="30"/>
  <c r="AC5" i="30" s="1"/>
  <c r="AC92" i="30"/>
  <c r="AB92" i="30"/>
  <c r="AA5" i="30" s="1"/>
  <c r="AA92" i="30"/>
  <c r="Z5" i="30" s="1"/>
  <c r="Z92" i="30"/>
  <c r="Y5" i="30" s="1"/>
  <c r="Y92" i="30"/>
  <c r="X92" i="30"/>
  <c r="W92" i="30"/>
  <c r="V5" i="30" s="1"/>
  <c r="V92" i="30"/>
  <c r="U5" i="30" s="1"/>
  <c r="U92" i="30"/>
  <c r="S92" i="30"/>
  <c r="R5" i="30" s="1"/>
  <c r="R92" i="30"/>
  <c r="Q5" i="30" s="1"/>
  <c r="Q92" i="30"/>
  <c r="P92" i="30"/>
  <c r="O5" i="30" s="1"/>
  <c r="O92" i="30"/>
  <c r="N5" i="30" s="1"/>
  <c r="N92" i="30"/>
  <c r="M5" i="30" s="1"/>
  <c r="M92" i="30"/>
  <c r="L92" i="30"/>
  <c r="K5" i="30" s="1"/>
  <c r="K92" i="30"/>
  <c r="J5" i="30" s="1"/>
  <c r="J92" i="30"/>
  <c r="I5" i="30" s="1"/>
  <c r="I92" i="30"/>
  <c r="H5" i="30" s="1"/>
  <c r="H92" i="30"/>
  <c r="G92" i="30"/>
  <c r="F5" i="30" s="1"/>
  <c r="F92" i="30"/>
  <c r="E5" i="30" s="1"/>
  <c r="E92" i="30"/>
  <c r="D92" i="30"/>
  <c r="C5" i="30" s="1"/>
  <c r="C92" i="30"/>
  <c r="B5" i="30" s="1"/>
  <c r="B92" i="30"/>
  <c r="AF5" i="30" s="1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I83" i="30"/>
  <c r="AH83" i="30"/>
  <c r="AI82" i="30"/>
  <c r="AH82" i="30"/>
  <c r="AI81" i="30"/>
  <c r="AH81" i="30"/>
  <c r="AG80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B80" i="30"/>
  <c r="AI79" i="30"/>
  <c r="AH79" i="30"/>
  <c r="AI78" i="30"/>
  <c r="AH78" i="30"/>
  <c r="AI77" i="30"/>
  <c r="AH77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AI75" i="30"/>
  <c r="AH75" i="30"/>
  <c r="AI74" i="30"/>
  <c r="AH74" i="30"/>
  <c r="AI73" i="30"/>
  <c r="AH73" i="30"/>
  <c r="AI72" i="30"/>
  <c r="AH72" i="30"/>
  <c r="AI71" i="30"/>
  <c r="AH71" i="30"/>
  <c r="AI70" i="30"/>
  <c r="AH70" i="30"/>
  <c r="AI69" i="30"/>
  <c r="AH69" i="30"/>
  <c r="AI68" i="30"/>
  <c r="AH68" i="30"/>
  <c r="AI67" i="30"/>
  <c r="AH67" i="30"/>
  <c r="AI66" i="30"/>
  <c r="AH66" i="30"/>
  <c r="AI65" i="30"/>
  <c r="AH65" i="30"/>
  <c r="AI64" i="30"/>
  <c r="AH64" i="30"/>
  <c r="AI63" i="30"/>
  <c r="AH63" i="30"/>
  <c r="AG62" i="30"/>
  <c r="AF62" i="30"/>
  <c r="AE62" i="30"/>
  <c r="AD62" i="30"/>
  <c r="AC62" i="30"/>
  <c r="AB62" i="30"/>
  <c r="AA62" i="30"/>
  <c r="Y62" i="30"/>
  <c r="X62" i="30"/>
  <c r="W62" i="30"/>
  <c r="V62" i="30"/>
  <c r="U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AI61" i="30"/>
  <c r="AH61" i="30"/>
  <c r="AI60" i="30"/>
  <c r="AH60" i="30"/>
  <c r="AI59" i="30"/>
  <c r="AH59" i="30"/>
  <c r="AG58" i="30"/>
  <c r="AF58" i="30"/>
  <c r="AE58" i="30"/>
  <c r="AD58" i="30"/>
  <c r="AC58" i="30"/>
  <c r="AB58" i="30"/>
  <c r="AA58" i="30"/>
  <c r="Y58" i="30"/>
  <c r="X58" i="30"/>
  <c r="W58" i="30"/>
  <c r="V58" i="30"/>
  <c r="U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B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S5" i="30"/>
  <c r="AG4" i="30"/>
  <c r="K4" i="30"/>
  <c r="E4" i="30"/>
  <c r="H4" i="30" s="1"/>
  <c r="B4" i="30"/>
  <c r="S256" i="30" s="1"/>
  <c r="AG2" i="30"/>
  <c r="AF123" i="28"/>
  <c r="AE123" i="28"/>
  <c r="AD123" i="28"/>
  <c r="AC123" i="28"/>
  <c r="M10" i="29"/>
  <c r="AB123" i="28"/>
  <c r="AB121" i="28"/>
  <c r="AA123" i="28"/>
  <c r="Z123" i="28"/>
  <c r="Y123" i="28"/>
  <c r="X123" i="28"/>
  <c r="U123" i="28"/>
  <c r="T123" i="28"/>
  <c r="S123" i="28"/>
  <c r="AE97" i="30" l="1"/>
  <c r="AE99" i="30" s="1"/>
  <c r="AC107" i="30"/>
  <c r="AB97" i="30"/>
  <c r="AB99" i="30" s="1"/>
  <c r="AA97" i="30"/>
  <c r="AA99" i="30" s="1"/>
  <c r="W97" i="30"/>
  <c r="W99" i="30" s="1"/>
  <c r="S97" i="30"/>
  <c r="S99" i="30" s="1"/>
  <c r="O97" i="30"/>
  <c r="O99" i="30" s="1"/>
  <c r="M107" i="30"/>
  <c r="M108" i="30" s="1"/>
  <c r="AG6" i="30"/>
  <c r="V107" i="30"/>
  <c r="X5" i="30"/>
  <c r="M97" i="30"/>
  <c r="M99" i="30" s="1"/>
  <c r="AE259" i="30" s="1"/>
  <c r="U97" i="30"/>
  <c r="U99" i="30" s="1"/>
  <c r="AM259" i="30" s="1"/>
  <c r="AC97" i="30"/>
  <c r="AC99" i="30" s="1"/>
  <c r="AU259" i="30" s="1"/>
  <c r="AH103" i="30"/>
  <c r="E249" i="30"/>
  <c r="D280" i="30" s="1"/>
  <c r="X108" i="30"/>
  <c r="W5" i="30"/>
  <c r="N107" i="30"/>
  <c r="N108" i="30" s="1"/>
  <c r="AD107" i="30"/>
  <c r="AD108" i="30" s="1"/>
  <c r="P5" i="30"/>
  <c r="N97" i="30"/>
  <c r="N99" i="30" s="1"/>
  <c r="AF259" i="30" s="1"/>
  <c r="V97" i="30"/>
  <c r="V99" i="30" s="1"/>
  <c r="AD97" i="30"/>
  <c r="AD99" i="30" s="1"/>
  <c r="AV259" i="30" s="1"/>
  <c r="AG99" i="30"/>
  <c r="H107" i="30"/>
  <c r="P107" i="30"/>
  <c r="P108" i="30" s="1"/>
  <c r="X107" i="30"/>
  <c r="AF107" i="30"/>
  <c r="AF108" i="30" s="1"/>
  <c r="AI103" i="30"/>
  <c r="L108" i="30"/>
  <c r="AB108" i="30"/>
  <c r="I107" i="30"/>
  <c r="Q107" i="30"/>
  <c r="Y107" i="30"/>
  <c r="Y108" i="30" s="1"/>
  <c r="AI102" i="30"/>
  <c r="AF97" i="30"/>
  <c r="AF99" i="30" s="1"/>
  <c r="AX259" i="30" s="1"/>
  <c r="R107" i="30"/>
  <c r="R108" i="30" s="1"/>
  <c r="Z107" i="30"/>
  <c r="Z108" i="30" s="1"/>
  <c r="X97" i="30"/>
  <c r="X99" i="30" s="1"/>
  <c r="AP259" i="30" s="1"/>
  <c r="Q97" i="30"/>
  <c r="Q99" i="30" s="1"/>
  <c r="AI259" i="30" s="1"/>
  <c r="Y97" i="30"/>
  <c r="Y99" i="30" s="1"/>
  <c r="AQ259" i="30" s="1"/>
  <c r="AG97" i="30"/>
  <c r="V108" i="30"/>
  <c r="C107" i="30"/>
  <c r="S107" i="30"/>
  <c r="S108" i="30" s="1"/>
  <c r="AA107" i="30"/>
  <c r="AA108" i="30" s="1"/>
  <c r="O107" i="30"/>
  <c r="O108" i="30" s="1"/>
  <c r="W107" i="30"/>
  <c r="W100" i="30" s="1"/>
  <c r="W7" i="30" s="1"/>
  <c r="AE107" i="30"/>
  <c r="AE108" i="30" s="1"/>
  <c r="P97" i="30"/>
  <c r="P99" i="30" s="1"/>
  <c r="AH259" i="30" s="1"/>
  <c r="R97" i="30"/>
  <c r="R99" i="30" s="1"/>
  <c r="AJ259" i="30" s="1"/>
  <c r="Z97" i="30"/>
  <c r="Z99" i="30" s="1"/>
  <c r="D250" i="30"/>
  <c r="L97" i="30"/>
  <c r="L99" i="30" s="1"/>
  <c r="L100" i="30" s="1"/>
  <c r="L7" i="30" s="1"/>
  <c r="AI101" i="30"/>
  <c r="K107" i="30"/>
  <c r="K108" i="30" s="1"/>
  <c r="K97" i="30"/>
  <c r="K99" i="30" s="1"/>
  <c r="AC259" i="30" s="1"/>
  <c r="J97" i="30"/>
  <c r="J99" i="30" s="1"/>
  <c r="AB259" i="30" s="1"/>
  <c r="I108" i="30"/>
  <c r="I97" i="30"/>
  <c r="I99" i="30" s="1"/>
  <c r="I100" i="30" s="1"/>
  <c r="I7" i="30" s="1"/>
  <c r="H108" i="30"/>
  <c r="G5" i="30"/>
  <c r="H97" i="30"/>
  <c r="H99" i="30" s="1"/>
  <c r="H100" i="30" s="1"/>
  <c r="H7" i="30" s="1"/>
  <c r="AI123" i="30"/>
  <c r="AH121" i="30"/>
  <c r="G107" i="30"/>
  <c r="G97" i="30"/>
  <c r="G99" i="30" s="1"/>
  <c r="AH123" i="30"/>
  <c r="F107" i="30"/>
  <c r="F108" i="30" s="1"/>
  <c r="F97" i="30"/>
  <c r="F99" i="30" s="1"/>
  <c r="X259" i="30" s="1"/>
  <c r="AI62" i="30"/>
  <c r="E97" i="30"/>
  <c r="E99" i="30" s="1"/>
  <c r="E100" i="30" s="1"/>
  <c r="E7" i="30" s="1"/>
  <c r="AI58" i="30"/>
  <c r="AI104" i="30"/>
  <c r="D107" i="30"/>
  <c r="D108" i="30" s="1"/>
  <c r="D97" i="30"/>
  <c r="D99" i="30" s="1"/>
  <c r="V259" i="30" s="1"/>
  <c r="AI105" i="30"/>
  <c r="C108" i="30"/>
  <c r="C97" i="30"/>
  <c r="C99" i="30" s="1"/>
  <c r="U259" i="30" s="1"/>
  <c r="AH104" i="30"/>
  <c r="B97" i="30"/>
  <c r="AG259" i="30"/>
  <c r="AO259" i="30"/>
  <c r="AW259" i="30"/>
  <c r="AE100" i="30"/>
  <c r="AE7" i="30" s="1"/>
  <c r="J107" i="30"/>
  <c r="J108" i="30" s="1"/>
  <c r="AH62" i="30"/>
  <c r="AI80" i="30"/>
  <c r="AH58" i="30"/>
  <c r="D5" i="30"/>
  <c r="E108" i="30"/>
  <c r="L5" i="30"/>
  <c r="T5" i="30"/>
  <c r="U108" i="30"/>
  <c r="AB5" i="30"/>
  <c r="AC108" i="30"/>
  <c r="Z259" i="30"/>
  <c r="B99" i="30"/>
  <c r="F244" i="30"/>
  <c r="E118" i="30"/>
  <c r="AK259" i="30"/>
  <c r="AS259" i="30"/>
  <c r="AL259" i="30"/>
  <c r="T7" i="30"/>
  <c r="AT259" i="30"/>
  <c r="AB100" i="30"/>
  <c r="AB7" i="30" s="1"/>
  <c r="AI76" i="30"/>
  <c r="G108" i="30"/>
  <c r="W108" i="30"/>
  <c r="D256" i="30"/>
  <c r="AH76" i="30"/>
  <c r="AH80" i="30"/>
  <c r="AH92" i="30"/>
  <c r="AI92" i="30"/>
  <c r="AH101" i="30"/>
  <c r="B107" i="30"/>
  <c r="B108" i="30" s="1"/>
  <c r="F249" i="30"/>
  <c r="AH102" i="30"/>
  <c r="E247" i="30"/>
  <c r="F247" i="30" s="1"/>
  <c r="G247" i="30" s="1"/>
  <c r="H247" i="30" s="1"/>
  <c r="I247" i="30" s="1"/>
  <c r="J247" i="30" s="1"/>
  <c r="K247" i="30" s="1"/>
  <c r="L247" i="30" s="1"/>
  <c r="M247" i="30" s="1"/>
  <c r="N247" i="30" s="1"/>
  <c r="O247" i="30" s="1"/>
  <c r="P247" i="30" s="1"/>
  <c r="Q247" i="30" s="1"/>
  <c r="R247" i="30" s="1"/>
  <c r="S247" i="30" s="1"/>
  <c r="T247" i="30" s="1"/>
  <c r="U247" i="30" s="1"/>
  <c r="V247" i="30" s="1"/>
  <c r="W247" i="30" s="1"/>
  <c r="X247" i="30" s="1"/>
  <c r="Y247" i="30" s="1"/>
  <c r="Z247" i="30" s="1"/>
  <c r="AA247" i="30" s="1"/>
  <c r="AB247" i="30" s="1"/>
  <c r="AC247" i="30" s="1"/>
  <c r="AD247" i="30" s="1"/>
  <c r="AE247" i="30" s="1"/>
  <c r="AF247" i="30" s="1"/>
  <c r="B247" i="30" s="1"/>
  <c r="AH105" i="30"/>
  <c r="AC100" i="30" l="1"/>
  <c r="AC7" i="30" s="1"/>
  <c r="AF100" i="30"/>
  <c r="AF7" i="30" s="1"/>
  <c r="AD100" i="30"/>
  <c r="AD7" i="30" s="1"/>
  <c r="AA100" i="30"/>
  <c r="AA7" i="30" s="1"/>
  <c r="Z100" i="30"/>
  <c r="Z7" i="30" s="1"/>
  <c r="X100" i="30"/>
  <c r="X7" i="30" s="1"/>
  <c r="Y100" i="30"/>
  <c r="Y7" i="30" s="1"/>
  <c r="AR259" i="30"/>
  <c r="W259" i="30"/>
  <c r="V100" i="30"/>
  <c r="V7" i="30" s="1"/>
  <c r="AN259" i="30"/>
  <c r="U100" i="30"/>
  <c r="U7" i="30" s="1"/>
  <c r="S100" i="30"/>
  <c r="S7" i="30" s="1"/>
  <c r="R100" i="30"/>
  <c r="R7" i="30" s="1"/>
  <c r="P100" i="30"/>
  <c r="P7" i="30" s="1"/>
  <c r="Q100" i="30"/>
  <c r="Q7" i="30" s="1"/>
  <c r="O100" i="30"/>
  <c r="O7" i="30" s="1"/>
  <c r="M100" i="30"/>
  <c r="M7" i="30" s="1"/>
  <c r="AD259" i="30"/>
  <c r="C100" i="30"/>
  <c r="C7" i="30" s="1"/>
  <c r="N100" i="30"/>
  <c r="N7" i="30" s="1"/>
  <c r="Q108" i="30"/>
  <c r="AI108" i="30" s="1"/>
  <c r="G100" i="30"/>
  <c r="G7" i="30" s="1"/>
  <c r="AA259" i="30"/>
  <c r="Y259" i="30"/>
  <c r="D100" i="30"/>
  <c r="D7" i="30" s="1"/>
  <c r="K100" i="30"/>
  <c r="K7" i="30" s="1"/>
  <c r="J100" i="30"/>
  <c r="J7" i="30" s="1"/>
  <c r="B254" i="30"/>
  <c r="C254" i="30"/>
  <c r="F100" i="30"/>
  <c r="F7" i="30" s="1"/>
  <c r="AI97" i="30"/>
  <c r="AH97" i="30"/>
  <c r="E280" i="30"/>
  <c r="G249" i="30"/>
  <c r="G244" i="30"/>
  <c r="F118" i="30"/>
  <c r="F250" i="30"/>
  <c r="AI107" i="30"/>
  <c r="AH107" i="30"/>
  <c r="T259" i="30"/>
  <c r="B100" i="30"/>
  <c r="AI99" i="30"/>
  <c r="AH99" i="30"/>
  <c r="E250" i="30"/>
  <c r="AH108" i="30" l="1"/>
  <c r="K6" i="30"/>
  <c r="B7" i="30"/>
  <c r="A7" i="30" s="1"/>
  <c r="AI100" i="30"/>
  <c r="AH100" i="30"/>
  <c r="H244" i="30"/>
  <c r="G118" i="30"/>
  <c r="G250" i="30"/>
  <c r="H249" i="30"/>
  <c r="F280" i="30"/>
  <c r="G280" i="30" l="1"/>
  <c r="I249" i="30"/>
  <c r="I244" i="30"/>
  <c r="H118" i="30"/>
  <c r="H250" i="30"/>
  <c r="I250" i="30" l="1"/>
  <c r="I118" i="30"/>
  <c r="J244" i="30"/>
  <c r="H280" i="30"/>
  <c r="J249" i="30"/>
  <c r="J118" i="30" l="1"/>
  <c r="J250" i="30"/>
  <c r="K244" i="30"/>
  <c r="K249" i="30"/>
  <c r="I280" i="30"/>
  <c r="J280" i="30" l="1"/>
  <c r="L249" i="30"/>
  <c r="K118" i="30"/>
  <c r="K250" i="30"/>
  <c r="L244" i="30"/>
  <c r="L250" i="30" l="1"/>
  <c r="M244" i="30"/>
  <c r="L118" i="30"/>
  <c r="K280" i="30"/>
  <c r="M249" i="30"/>
  <c r="L280" i="30" l="1"/>
  <c r="N249" i="30"/>
  <c r="N244" i="30"/>
  <c r="M118" i="30"/>
  <c r="M250" i="30"/>
  <c r="M280" i="30" l="1"/>
  <c r="O249" i="30"/>
  <c r="O244" i="30"/>
  <c r="N118" i="30"/>
  <c r="N250" i="30"/>
  <c r="P244" i="30" l="1"/>
  <c r="O118" i="30"/>
  <c r="O250" i="30"/>
  <c r="N280" i="30"/>
  <c r="P249" i="30"/>
  <c r="O280" i="30" l="1"/>
  <c r="Q249" i="30"/>
  <c r="Q244" i="30"/>
  <c r="P250" i="30"/>
  <c r="Q250" i="30" l="1"/>
  <c r="Q118" i="30"/>
  <c r="R244" i="30"/>
  <c r="P280" i="30"/>
  <c r="R249" i="30"/>
  <c r="S249" i="30" l="1"/>
  <c r="Q280" i="30"/>
  <c r="R250" i="30"/>
  <c r="R118" i="30"/>
  <c r="S244" i="30"/>
  <c r="S250" i="30" l="1"/>
  <c r="S118" i="30"/>
  <c r="T244" i="30"/>
  <c r="R280" i="30"/>
  <c r="T249" i="30"/>
  <c r="S280" i="30" l="1"/>
  <c r="U249" i="30"/>
  <c r="T250" i="30"/>
  <c r="U244" i="30"/>
  <c r="V244" i="30" l="1"/>
  <c r="U250" i="30"/>
  <c r="U118" i="30"/>
  <c r="T280" i="30"/>
  <c r="V249" i="30"/>
  <c r="U280" i="30" l="1"/>
  <c r="W249" i="30"/>
  <c r="W244" i="30"/>
  <c r="V250" i="30"/>
  <c r="V118" i="30"/>
  <c r="X244" i="30" l="1"/>
  <c r="W250" i="30"/>
  <c r="W118" i="30"/>
  <c r="V280" i="30"/>
  <c r="X249" i="30"/>
  <c r="W280" i="30" l="1"/>
  <c r="Y249" i="30"/>
  <c r="Y244" i="30"/>
  <c r="X250" i="30"/>
  <c r="X118" i="30"/>
  <c r="Y250" i="30" l="1"/>
  <c r="Y118" i="30"/>
  <c r="Z244" i="30"/>
  <c r="X280" i="30"/>
  <c r="Z249" i="30"/>
  <c r="Z250" i="30" l="1"/>
  <c r="Z118" i="30"/>
  <c r="AA244" i="30"/>
  <c r="AA249" i="30"/>
  <c r="Y280" i="30"/>
  <c r="Z280" i="30" l="1"/>
  <c r="AB249" i="30"/>
  <c r="AA250" i="30"/>
  <c r="AA118" i="30"/>
  <c r="AB244" i="30"/>
  <c r="AA280" i="30" l="1"/>
  <c r="AC249" i="30"/>
  <c r="AB250" i="30"/>
  <c r="AB118" i="30"/>
  <c r="AC244" i="30"/>
  <c r="AD244" i="30" l="1"/>
  <c r="AC250" i="30"/>
  <c r="AC118" i="30"/>
  <c r="AB280" i="30"/>
  <c r="AD249" i="30"/>
  <c r="AC280" i="30" l="1"/>
  <c r="AE249" i="30"/>
  <c r="AE244" i="30"/>
  <c r="AD250" i="30"/>
  <c r="AF244" i="30" l="1"/>
  <c r="AE250" i="30"/>
  <c r="AE118" i="30"/>
  <c r="AF249" i="30"/>
  <c r="AD280" i="30"/>
  <c r="B249" i="30" l="1"/>
  <c r="AF280" i="30" s="1"/>
  <c r="AE280" i="30"/>
  <c r="AF250" i="30"/>
  <c r="AF118" i="30"/>
  <c r="B244" i="30"/>
  <c r="B118" i="30" l="1"/>
  <c r="B250" i="30"/>
  <c r="AI118" i="30" l="1"/>
  <c r="AH118" i="30"/>
  <c r="L123" i="28" l="1"/>
  <c r="K123" i="28"/>
  <c r="J123" i="28"/>
  <c r="I123" i="28"/>
  <c r="H123" i="28"/>
  <c r="G123" i="28"/>
  <c r="F123" i="28"/>
  <c r="E123" i="28"/>
  <c r="C58" i="28"/>
  <c r="D58" i="28"/>
  <c r="C62" i="28"/>
  <c r="D62" i="28"/>
  <c r="B118" i="28"/>
  <c r="B105" i="28"/>
  <c r="B104" i="28"/>
  <c r="B103" i="28"/>
  <c r="B102" i="28"/>
  <c r="B101" i="28"/>
  <c r="B92" i="28"/>
  <c r="B80" i="28"/>
  <c r="B76" i="28"/>
  <c r="B62" i="28"/>
  <c r="B58" i="28"/>
  <c r="AF284" i="28"/>
  <c r="AE284" i="28"/>
  <c r="AD284" i="28"/>
  <c r="AC284" i="28"/>
  <c r="AB284" i="28"/>
  <c r="AA284" i="28"/>
  <c r="Z284" i="28"/>
  <c r="Y284" i="28"/>
  <c r="X284" i="28"/>
  <c r="W284" i="28"/>
  <c r="V284" i="28"/>
  <c r="U284" i="28"/>
  <c r="T284" i="28"/>
  <c r="S284" i="28"/>
  <c r="R284" i="28"/>
  <c r="Q284" i="28"/>
  <c r="P284" i="28"/>
  <c r="O284" i="28"/>
  <c r="N284" i="28"/>
  <c r="M284" i="28"/>
  <c r="L284" i="28"/>
  <c r="K284" i="28"/>
  <c r="J284" i="28"/>
  <c r="I284" i="28"/>
  <c r="H284" i="28"/>
  <c r="G284" i="28"/>
  <c r="F284" i="28"/>
  <c r="E284" i="28"/>
  <c r="D284" i="28"/>
  <c r="C284" i="28"/>
  <c r="B284" i="28"/>
  <c r="A284" i="28"/>
  <c r="AF283" i="28"/>
  <c r="AE283" i="28"/>
  <c r="AD283" i="28"/>
  <c r="AC283" i="28"/>
  <c r="AB283" i="28"/>
  <c r="AA283" i="28"/>
  <c r="Z283" i="28"/>
  <c r="Y283" i="28"/>
  <c r="X283" i="28"/>
  <c r="W283" i="28"/>
  <c r="V283" i="28"/>
  <c r="U283" i="28"/>
  <c r="T283" i="28"/>
  <c r="S283" i="28"/>
  <c r="R283" i="28"/>
  <c r="Q283" i="28"/>
  <c r="P283" i="28"/>
  <c r="O283" i="28"/>
  <c r="N283" i="28"/>
  <c r="M283" i="28"/>
  <c r="L283" i="28"/>
  <c r="K283" i="28"/>
  <c r="J283" i="28"/>
  <c r="I283" i="28"/>
  <c r="H283" i="28"/>
  <c r="G283" i="28"/>
  <c r="F283" i="28"/>
  <c r="E283" i="28"/>
  <c r="D283" i="28"/>
  <c r="C283" i="28"/>
  <c r="B283" i="28"/>
  <c r="A283" i="28"/>
  <c r="AF282" i="28"/>
  <c r="AE282" i="28"/>
  <c r="AD282" i="28"/>
  <c r="AC282" i="28"/>
  <c r="AB282" i="28"/>
  <c r="AA282" i="28"/>
  <c r="Z282" i="28"/>
  <c r="Y282" i="28"/>
  <c r="X282" i="28"/>
  <c r="W282" i="28"/>
  <c r="V282" i="28"/>
  <c r="U282" i="28"/>
  <c r="T282" i="28"/>
  <c r="S282" i="28"/>
  <c r="R282" i="28"/>
  <c r="Q282" i="28"/>
  <c r="P282" i="28"/>
  <c r="O282" i="28"/>
  <c r="N282" i="28"/>
  <c r="M282" i="28"/>
  <c r="L282" i="28"/>
  <c r="K282" i="28"/>
  <c r="J282" i="28"/>
  <c r="I282" i="28"/>
  <c r="H282" i="28"/>
  <c r="G282" i="28"/>
  <c r="F282" i="28"/>
  <c r="E282" i="28"/>
  <c r="D282" i="28"/>
  <c r="C282" i="28"/>
  <c r="B282" i="28"/>
  <c r="A282" i="28"/>
  <c r="AF281" i="28"/>
  <c r="AE281" i="28"/>
  <c r="AD281" i="28"/>
  <c r="AC281" i="28"/>
  <c r="AB281" i="28"/>
  <c r="AA281" i="28"/>
  <c r="Z281" i="28"/>
  <c r="Y281" i="28"/>
  <c r="X281" i="28"/>
  <c r="W281" i="28"/>
  <c r="V281" i="28"/>
  <c r="U281" i="28"/>
  <c r="T281" i="28"/>
  <c r="S281" i="28"/>
  <c r="R281" i="28"/>
  <c r="Q281" i="28"/>
  <c r="P281" i="28"/>
  <c r="O281" i="28"/>
  <c r="N281" i="28"/>
  <c r="M281" i="28"/>
  <c r="L281" i="28"/>
  <c r="K281" i="28"/>
  <c r="J281" i="28"/>
  <c r="I281" i="28"/>
  <c r="H281" i="28"/>
  <c r="G281" i="28"/>
  <c r="F281" i="28"/>
  <c r="E281" i="28"/>
  <c r="D281" i="28"/>
  <c r="C281" i="28"/>
  <c r="B281" i="28"/>
  <c r="A281" i="28"/>
  <c r="B280" i="28"/>
  <c r="S255" i="28"/>
  <c r="AG250" i="28"/>
  <c r="C250" i="28"/>
  <c r="D249" i="28"/>
  <c r="E248" i="28"/>
  <c r="F248" i="28" s="1"/>
  <c r="G248" i="28" s="1"/>
  <c r="H248" i="28" s="1"/>
  <c r="I248" i="28" s="1"/>
  <c r="J248" i="28" s="1"/>
  <c r="K248" i="28" s="1"/>
  <c r="L248" i="28" s="1"/>
  <c r="M248" i="28" s="1"/>
  <c r="N248" i="28" s="1"/>
  <c r="O248" i="28" s="1"/>
  <c r="P248" i="28" s="1"/>
  <c r="Q248" i="28" s="1"/>
  <c r="R248" i="28" s="1"/>
  <c r="S248" i="28" s="1"/>
  <c r="T248" i="28" s="1"/>
  <c r="U248" i="28" s="1"/>
  <c r="V248" i="28" s="1"/>
  <c r="W248" i="28" s="1"/>
  <c r="X248" i="28" s="1"/>
  <c r="Y248" i="28" s="1"/>
  <c r="Z248" i="28" s="1"/>
  <c r="AA248" i="28" s="1"/>
  <c r="AB248" i="28" s="1"/>
  <c r="AC248" i="28" s="1"/>
  <c r="AD248" i="28" s="1"/>
  <c r="AE248" i="28" s="1"/>
  <c r="AF248" i="28" s="1"/>
  <c r="B248" i="28" s="1"/>
  <c r="D248" i="28"/>
  <c r="H247" i="28"/>
  <c r="I247" i="28" s="1"/>
  <c r="J247" i="28" s="1"/>
  <c r="K247" i="28" s="1"/>
  <c r="L247" i="28" s="1"/>
  <c r="M247" i="28" s="1"/>
  <c r="N247" i="28" s="1"/>
  <c r="O247" i="28" s="1"/>
  <c r="P247" i="28" s="1"/>
  <c r="Q247" i="28" s="1"/>
  <c r="R247" i="28" s="1"/>
  <c r="S247" i="28" s="1"/>
  <c r="T247" i="28" s="1"/>
  <c r="U247" i="28" s="1"/>
  <c r="V247" i="28" s="1"/>
  <c r="W247" i="28" s="1"/>
  <c r="X247" i="28" s="1"/>
  <c r="Y247" i="28" s="1"/>
  <c r="Z247" i="28" s="1"/>
  <c r="AA247" i="28" s="1"/>
  <c r="AB247" i="28" s="1"/>
  <c r="AC247" i="28" s="1"/>
  <c r="AD247" i="28" s="1"/>
  <c r="AE247" i="28" s="1"/>
  <c r="AF247" i="28" s="1"/>
  <c r="B247" i="28" s="1"/>
  <c r="D247" i="28"/>
  <c r="E247" i="28" s="1"/>
  <c r="F247" i="28" s="1"/>
  <c r="G247" i="28" s="1"/>
  <c r="F246" i="28"/>
  <c r="G246" i="28" s="1"/>
  <c r="H246" i="28" s="1"/>
  <c r="I246" i="28" s="1"/>
  <c r="J246" i="28" s="1"/>
  <c r="K246" i="28" s="1"/>
  <c r="L246" i="28" s="1"/>
  <c r="M246" i="28" s="1"/>
  <c r="N246" i="28" s="1"/>
  <c r="O246" i="28" s="1"/>
  <c r="P246" i="28" s="1"/>
  <c r="Q246" i="28" s="1"/>
  <c r="R246" i="28" s="1"/>
  <c r="S246" i="28" s="1"/>
  <c r="T246" i="28" s="1"/>
  <c r="U246" i="28" s="1"/>
  <c r="V246" i="28" s="1"/>
  <c r="W246" i="28" s="1"/>
  <c r="X246" i="28" s="1"/>
  <c r="Y246" i="28" s="1"/>
  <c r="Z246" i="28" s="1"/>
  <c r="AA246" i="28" s="1"/>
  <c r="AB246" i="28" s="1"/>
  <c r="AC246" i="28" s="1"/>
  <c r="AD246" i="28" s="1"/>
  <c r="AE246" i="28" s="1"/>
  <c r="AF246" i="28" s="1"/>
  <c r="B246" i="28" s="1"/>
  <c r="E246" i="28"/>
  <c r="D246" i="28"/>
  <c r="D245" i="28"/>
  <c r="E244" i="28"/>
  <c r="F244" i="28" s="1"/>
  <c r="D244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E242" i="28"/>
  <c r="D242" i="28"/>
  <c r="C242" i="28"/>
  <c r="B242" i="28"/>
  <c r="AI130" i="28"/>
  <c r="AH130" i="28"/>
  <c r="AI129" i="28"/>
  <c r="AH129" i="28"/>
  <c r="AI128" i="28"/>
  <c r="AH128" i="28"/>
  <c r="AI127" i="28"/>
  <c r="AH127" i="28"/>
  <c r="AI126" i="28"/>
  <c r="AH126" i="28"/>
  <c r="AI123" i="28"/>
  <c r="AI122" i="28"/>
  <c r="AH122" i="28"/>
  <c r="AI121" i="28"/>
  <c r="AH121" i="28"/>
  <c r="AI120" i="28"/>
  <c r="AH120" i="28"/>
  <c r="AI119" i="28"/>
  <c r="AH119" i="28"/>
  <c r="D118" i="28"/>
  <c r="C118" i="28"/>
  <c r="AI117" i="28"/>
  <c r="AH117" i="28"/>
  <c r="AI116" i="28"/>
  <c r="AH116" i="28"/>
  <c r="AI115" i="28"/>
  <c r="AH115" i="28"/>
  <c r="AI114" i="28"/>
  <c r="AH114" i="28"/>
  <c r="AI113" i="28"/>
  <c r="AH113" i="28"/>
  <c r="AI112" i="28"/>
  <c r="AH112" i="28"/>
  <c r="AI111" i="28"/>
  <c r="AH111" i="28"/>
  <c r="AI110" i="28"/>
  <c r="AH110" i="28"/>
  <c r="AI109" i="28"/>
  <c r="AH109" i="28"/>
  <c r="K107" i="28"/>
  <c r="K108" i="28" s="1"/>
  <c r="AI106" i="28"/>
  <c r="AH106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L107" i="28" s="1"/>
  <c r="K104" i="28"/>
  <c r="J104" i="28"/>
  <c r="I104" i="28"/>
  <c r="H104" i="28"/>
  <c r="G104" i="28"/>
  <c r="F104" i="28"/>
  <c r="E104" i="28"/>
  <c r="D104" i="28"/>
  <c r="D107" i="28" s="1"/>
  <c r="C104" i="28"/>
  <c r="AF103" i="28"/>
  <c r="AE103" i="28"/>
  <c r="AD103" i="28"/>
  <c r="AC103" i="28"/>
  <c r="AB103" i="28"/>
  <c r="AA103" i="28"/>
  <c r="Z103" i="28"/>
  <c r="Y103" i="28"/>
  <c r="X103" i="28"/>
  <c r="W103" i="28"/>
  <c r="V103" i="28"/>
  <c r="U103" i="28"/>
  <c r="T103" i="28"/>
  <c r="S103" i="28"/>
  <c r="R103" i="28"/>
  <c r="Q103" i="28"/>
  <c r="P103" i="28"/>
  <c r="O103" i="28"/>
  <c r="N103" i="28"/>
  <c r="M103" i="28"/>
  <c r="L103" i="28"/>
  <c r="K103" i="28"/>
  <c r="J103" i="28"/>
  <c r="I103" i="28"/>
  <c r="H103" i="28"/>
  <c r="G103" i="28"/>
  <c r="F103" i="28"/>
  <c r="E103" i="28"/>
  <c r="D103" i="28"/>
  <c r="C103" i="28"/>
  <c r="AF102" i="28"/>
  <c r="AE102" i="28"/>
  <c r="AD102" i="28"/>
  <c r="AC102" i="28"/>
  <c r="AB102" i="28"/>
  <c r="AA102" i="28"/>
  <c r="Z102" i="28"/>
  <c r="Y102" i="28"/>
  <c r="X102" i="28"/>
  <c r="W102" i="28"/>
  <c r="V102" i="28"/>
  <c r="U102" i="28"/>
  <c r="T102" i="28"/>
  <c r="S102" i="28"/>
  <c r="R102" i="28"/>
  <c r="Q102" i="28"/>
  <c r="Q107" i="28" s="1"/>
  <c r="P102" i="28"/>
  <c r="O102" i="28"/>
  <c r="N102" i="28"/>
  <c r="M102" i="28"/>
  <c r="L102" i="28"/>
  <c r="K102" i="28"/>
  <c r="J102" i="28"/>
  <c r="I102" i="28"/>
  <c r="H102" i="28"/>
  <c r="G102" i="28"/>
  <c r="F102" i="28"/>
  <c r="E102" i="28"/>
  <c r="D102" i="28"/>
  <c r="C102" i="28"/>
  <c r="AF101" i="28"/>
  <c r="AF107" i="28" s="1"/>
  <c r="AE101" i="28"/>
  <c r="AE107" i="28" s="1"/>
  <c r="AD101" i="28"/>
  <c r="AC101" i="28"/>
  <c r="AB101" i="28"/>
  <c r="AA101" i="28"/>
  <c r="Z101" i="28"/>
  <c r="Y101" i="28"/>
  <c r="X101" i="28"/>
  <c r="X107" i="28" s="1"/>
  <c r="W101" i="28"/>
  <c r="V101" i="28"/>
  <c r="U101" i="28"/>
  <c r="T101" i="28"/>
  <c r="S101" i="28"/>
  <c r="R101" i="28"/>
  <c r="R107" i="28" s="1"/>
  <c r="Q101" i="28"/>
  <c r="P101" i="28"/>
  <c r="O101" i="28"/>
  <c r="O107" i="28" s="1"/>
  <c r="N101" i="28"/>
  <c r="M101" i="28"/>
  <c r="L101" i="28"/>
  <c r="K101" i="28"/>
  <c r="J101" i="28"/>
  <c r="J107" i="28" s="1"/>
  <c r="I101" i="28"/>
  <c r="H101" i="28"/>
  <c r="H107" i="28" s="1"/>
  <c r="G101" i="28"/>
  <c r="F101" i="28"/>
  <c r="E101" i="28"/>
  <c r="D101" i="28"/>
  <c r="C101" i="28"/>
  <c r="AI98" i="28"/>
  <c r="AH98" i="28"/>
  <c r="AI96" i="28"/>
  <c r="AH96" i="28"/>
  <c r="AG96" i="28"/>
  <c r="AI95" i="28"/>
  <c r="AH95" i="28"/>
  <c r="AI94" i="28"/>
  <c r="AH94" i="28"/>
  <c r="AI93" i="28"/>
  <c r="AH93" i="28"/>
  <c r="AG92" i="28"/>
  <c r="AF92" i="28"/>
  <c r="AE5" i="28" s="1"/>
  <c r="AE92" i="28"/>
  <c r="AD5" i="28" s="1"/>
  <c r="AD92" i="28"/>
  <c r="AC5" i="28" s="1"/>
  <c r="AC92" i="28"/>
  <c r="AB5" i="28" s="1"/>
  <c r="AB92" i="28"/>
  <c r="AA92" i="28"/>
  <c r="Z5" i="28" s="1"/>
  <c r="Z92" i="28"/>
  <c r="Y92" i="28"/>
  <c r="X5" i="28" s="1"/>
  <c r="X92" i="28"/>
  <c r="W5" i="28" s="1"/>
  <c r="W92" i="28"/>
  <c r="V92" i="28"/>
  <c r="U5" i="28" s="1"/>
  <c r="U92" i="28"/>
  <c r="T5" i="28" s="1"/>
  <c r="T92" i="28"/>
  <c r="S92" i="28"/>
  <c r="R5" i="28" s="1"/>
  <c r="R92" i="28"/>
  <c r="R108" i="28" s="1"/>
  <c r="Q92" i="28"/>
  <c r="P5" i="28" s="1"/>
  <c r="P92" i="28"/>
  <c r="O5" i="28" s="1"/>
  <c r="O92" i="28"/>
  <c r="N5" i="28" s="1"/>
  <c r="N92" i="28"/>
  <c r="M5" i="28" s="1"/>
  <c r="M92" i="28"/>
  <c r="L5" i="28" s="1"/>
  <c r="L92" i="28"/>
  <c r="K92" i="28"/>
  <c r="J5" i="28" s="1"/>
  <c r="J92" i="28"/>
  <c r="I92" i="28"/>
  <c r="H5" i="28" s="1"/>
  <c r="H92" i="28"/>
  <c r="G5" i="28" s="1"/>
  <c r="G92" i="28"/>
  <c r="F5" i="28" s="1"/>
  <c r="F92" i="28"/>
  <c r="E5" i="28" s="1"/>
  <c r="E92" i="28"/>
  <c r="D5" i="28" s="1"/>
  <c r="D92" i="28"/>
  <c r="C92" i="28"/>
  <c r="B5" i="28" s="1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I83" i="28"/>
  <c r="AH83" i="28"/>
  <c r="AI82" i="28"/>
  <c r="AH82" i="28"/>
  <c r="AI81" i="28"/>
  <c r="AH81" i="28"/>
  <c r="AG80" i="28"/>
  <c r="AG4" i="28" s="1"/>
  <c r="AF80" i="28"/>
  <c r="AE80" i="28"/>
  <c r="AD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AI79" i="28"/>
  <c r="AH79" i="28"/>
  <c r="AI78" i="28"/>
  <c r="AH78" i="28"/>
  <c r="AI77" i="28"/>
  <c r="AH77" i="28"/>
  <c r="AG76" i="28"/>
  <c r="AG3" i="28" s="1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AI75" i="28"/>
  <c r="AH75" i="28"/>
  <c r="AG75" i="28"/>
  <c r="AI74" i="28"/>
  <c r="AH74" i="28"/>
  <c r="AI73" i="28"/>
  <c r="AH73" i="28"/>
  <c r="AI72" i="28"/>
  <c r="AH72" i="28"/>
  <c r="AI71" i="28"/>
  <c r="AH71" i="28"/>
  <c r="AI70" i="28"/>
  <c r="AH70" i="28"/>
  <c r="AI69" i="28"/>
  <c r="AH69" i="28"/>
  <c r="AI68" i="28"/>
  <c r="AH68" i="28"/>
  <c r="AI67" i="28"/>
  <c r="AH67" i="28"/>
  <c r="AI66" i="28"/>
  <c r="AH66" i="28"/>
  <c r="AI65" i="28"/>
  <c r="AH65" i="28"/>
  <c r="AI64" i="28"/>
  <c r="AH64" i="28"/>
  <c r="AI63" i="28"/>
  <c r="AH63" i="28"/>
  <c r="AG62" i="28"/>
  <c r="AF62" i="28"/>
  <c r="AE62" i="28"/>
  <c r="AD62" i="28"/>
  <c r="AC62" i="28"/>
  <c r="AB62" i="28"/>
  <c r="AA62" i="28"/>
  <c r="Z62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AI61" i="28"/>
  <c r="AH61" i="28"/>
  <c r="AI60" i="28"/>
  <c r="AH60" i="28"/>
  <c r="AI59" i="28"/>
  <c r="AH59" i="28"/>
  <c r="AG58" i="28"/>
  <c r="AG2" i="28" s="1"/>
  <c r="AF58" i="28"/>
  <c r="AE58" i="28"/>
  <c r="AD58" i="28"/>
  <c r="AC58" i="28"/>
  <c r="AB58" i="28"/>
  <c r="AA58" i="28"/>
  <c r="Z58" i="28"/>
  <c r="Y58" i="28"/>
  <c r="X58" i="28"/>
  <c r="W58" i="28"/>
  <c r="V58" i="28"/>
  <c r="U58" i="28"/>
  <c r="T58" i="28"/>
  <c r="S58" i="28"/>
  <c r="R58" i="28"/>
  <c r="Q58" i="28"/>
  <c r="P58" i="28"/>
  <c r="O58" i="28"/>
  <c r="N58" i="28"/>
  <c r="M58" i="28"/>
  <c r="L58" i="28"/>
  <c r="K58" i="28"/>
  <c r="J58" i="28"/>
  <c r="I58" i="28"/>
  <c r="H58" i="28"/>
  <c r="G58" i="28"/>
  <c r="F58" i="28"/>
  <c r="E58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K4" i="28"/>
  <c r="E4" i="28"/>
  <c r="H4" i="28" s="1"/>
  <c r="B4" i="28"/>
  <c r="S256" i="28" s="1"/>
  <c r="AF123" i="27"/>
  <c r="AF121" i="27"/>
  <c r="AF57" i="27"/>
  <c r="AE123" i="27"/>
  <c r="AE121" i="27"/>
  <c r="AE57" i="27"/>
  <c r="AE58" i="27"/>
  <c r="AE62" i="27"/>
  <c r="AE76" i="27"/>
  <c r="AE80" i="27"/>
  <c r="AE92" i="27"/>
  <c r="AE101" i="27"/>
  <c r="AE102" i="27"/>
  <c r="AE103" i="27"/>
  <c r="AE104" i="27"/>
  <c r="AE105" i="27"/>
  <c r="AE107" i="27"/>
  <c r="AE108" i="28" l="1"/>
  <c r="AE97" i="28"/>
  <c r="AE99" i="28" s="1"/>
  <c r="AE100" i="28" s="1"/>
  <c r="AE7" i="28" s="1"/>
  <c r="AD97" i="28"/>
  <c r="AD99" i="28" s="1"/>
  <c r="AB107" i="28"/>
  <c r="X97" i="28"/>
  <c r="X99" i="28" s="1"/>
  <c r="AP259" i="28" s="1"/>
  <c r="Y107" i="28"/>
  <c r="Z107" i="28"/>
  <c r="Z108" i="28" s="1"/>
  <c r="AA107" i="28"/>
  <c r="Z97" i="28"/>
  <c r="Z99" i="28" s="1"/>
  <c r="AR259" i="28" s="1"/>
  <c r="Y5" i="28"/>
  <c r="AA108" i="28"/>
  <c r="W107" i="28"/>
  <c r="W108" i="28" s="1"/>
  <c r="V5" i="28"/>
  <c r="V97" i="28"/>
  <c r="V99" i="28" s="1"/>
  <c r="AN259" i="28" s="1"/>
  <c r="T107" i="28"/>
  <c r="AH103" i="28"/>
  <c r="S107" i="28"/>
  <c r="S108" i="28" s="1"/>
  <c r="AH102" i="28"/>
  <c r="Q5" i="28"/>
  <c r="R97" i="28"/>
  <c r="R99" i="28" s="1"/>
  <c r="R100" i="28" s="1"/>
  <c r="R7" i="28" s="1"/>
  <c r="Q97" i="28"/>
  <c r="Q99" i="28" s="1"/>
  <c r="P107" i="28"/>
  <c r="P108" i="28" s="1"/>
  <c r="P97" i="28"/>
  <c r="P99" i="28" s="1"/>
  <c r="P100" i="28" s="1"/>
  <c r="P7" i="28" s="1"/>
  <c r="O108" i="28"/>
  <c r="N97" i="28"/>
  <c r="N99" i="28" s="1"/>
  <c r="AF259" i="28" s="1"/>
  <c r="O97" i="28"/>
  <c r="O99" i="28" s="1"/>
  <c r="O100" i="28" s="1"/>
  <c r="O7" i="28" s="1"/>
  <c r="W97" i="28"/>
  <c r="W99" i="28" s="1"/>
  <c r="AO259" i="28" s="1"/>
  <c r="AF97" i="28"/>
  <c r="AF99" i="28" s="1"/>
  <c r="AX259" i="28" s="1"/>
  <c r="Y97" i="28"/>
  <c r="Y99" i="28" s="1"/>
  <c r="AQ259" i="28" s="1"/>
  <c r="AG97" i="28"/>
  <c r="S97" i="28"/>
  <c r="S99" i="28" s="1"/>
  <c r="AK259" i="28" s="1"/>
  <c r="AA97" i="28"/>
  <c r="AA99" i="28" s="1"/>
  <c r="AS259" i="28" s="1"/>
  <c r="U97" i="28"/>
  <c r="U99" i="28" s="1"/>
  <c r="AM259" i="28" s="1"/>
  <c r="AC97" i="28"/>
  <c r="AC99" i="28" s="1"/>
  <c r="AU259" i="28" s="1"/>
  <c r="M97" i="28"/>
  <c r="M99" i="28" s="1"/>
  <c r="AE259" i="28" s="1"/>
  <c r="K97" i="28"/>
  <c r="K99" i="28" s="1"/>
  <c r="K100" i="28" s="1"/>
  <c r="K7" i="28" s="1"/>
  <c r="AI57" i="28"/>
  <c r="J108" i="28"/>
  <c r="J97" i="28"/>
  <c r="J99" i="28" s="1"/>
  <c r="AB259" i="28" s="1"/>
  <c r="I107" i="28"/>
  <c r="I97" i="28"/>
  <c r="I99" i="28" s="1"/>
  <c r="AA259" i="28" s="1"/>
  <c r="H97" i="28"/>
  <c r="H99" i="28" s="1"/>
  <c r="Z259" i="28" s="1"/>
  <c r="AH57" i="28"/>
  <c r="AH123" i="28"/>
  <c r="G107" i="28"/>
  <c r="G108" i="28"/>
  <c r="G97" i="28"/>
  <c r="G99" i="28" s="1"/>
  <c r="Y259" i="28" s="1"/>
  <c r="F97" i="28"/>
  <c r="F99" i="28" s="1"/>
  <c r="E97" i="28"/>
  <c r="E99" i="28" s="1"/>
  <c r="W259" i="28" s="1"/>
  <c r="C97" i="28"/>
  <c r="C99" i="28" s="1"/>
  <c r="U259" i="28" s="1"/>
  <c r="B97" i="28"/>
  <c r="B99" i="28" s="1"/>
  <c r="AF5" i="28"/>
  <c r="AI92" i="28"/>
  <c r="B107" i="28"/>
  <c r="B108" i="28" s="1"/>
  <c r="B100" i="28"/>
  <c r="X259" i="28"/>
  <c r="AI259" i="28"/>
  <c r="Q100" i="28"/>
  <c r="Q7" i="28" s="1"/>
  <c r="AV259" i="28"/>
  <c r="H108" i="28"/>
  <c r="X108" i="28"/>
  <c r="AF108" i="28"/>
  <c r="AW259" i="28"/>
  <c r="E107" i="28"/>
  <c r="M107" i="28"/>
  <c r="M108" i="28" s="1"/>
  <c r="AC107" i="28"/>
  <c r="AC108" i="28" s="1"/>
  <c r="F107" i="28"/>
  <c r="F108" i="28" s="1"/>
  <c r="N107" i="28"/>
  <c r="V107" i="28"/>
  <c r="AD107" i="28"/>
  <c r="AD100" i="28" s="1"/>
  <c r="AD7" i="28" s="1"/>
  <c r="U107" i="28"/>
  <c r="U108" i="28" s="1"/>
  <c r="I5" i="28"/>
  <c r="AG6" i="28"/>
  <c r="AH62" i="28"/>
  <c r="AI62" i="28"/>
  <c r="I108" i="28"/>
  <c r="Q108" i="28"/>
  <c r="Y108" i="28"/>
  <c r="AG99" i="28"/>
  <c r="G244" i="28"/>
  <c r="AH92" i="28"/>
  <c r="AI105" i="28"/>
  <c r="C280" i="28"/>
  <c r="E249" i="28"/>
  <c r="AI58" i="28"/>
  <c r="AH58" i="28"/>
  <c r="AI80" i="28"/>
  <c r="AH80" i="28"/>
  <c r="AI101" i="28"/>
  <c r="AI104" i="28"/>
  <c r="AH105" i="28"/>
  <c r="C107" i="28"/>
  <c r="C108" i="28" s="1"/>
  <c r="D250" i="28"/>
  <c r="E250" i="28"/>
  <c r="AD108" i="28"/>
  <c r="D97" i="28"/>
  <c r="D99" i="28" s="1"/>
  <c r="L97" i="28"/>
  <c r="L99" i="28" s="1"/>
  <c r="T97" i="28"/>
  <c r="T99" i="28" s="1"/>
  <c r="AB97" i="28"/>
  <c r="AB99" i="28" s="1"/>
  <c r="AI76" i="28"/>
  <c r="AH76" i="28"/>
  <c r="C5" i="28"/>
  <c r="D108" i="28"/>
  <c r="K5" i="28"/>
  <c r="L108" i="28"/>
  <c r="S5" i="28"/>
  <c r="T108" i="28"/>
  <c r="AA5" i="28"/>
  <c r="AB108" i="28"/>
  <c r="AH101" i="28"/>
  <c r="AI102" i="28"/>
  <c r="AI103" i="28"/>
  <c r="E245" i="28"/>
  <c r="F245" i="28" s="1"/>
  <c r="G245" i="28" s="1"/>
  <c r="H245" i="28" s="1"/>
  <c r="I245" i="28" s="1"/>
  <c r="J245" i="28" s="1"/>
  <c r="K245" i="28" s="1"/>
  <c r="L245" i="28" s="1"/>
  <c r="M245" i="28" s="1"/>
  <c r="N245" i="28" s="1"/>
  <c r="O245" i="28" s="1"/>
  <c r="P245" i="28" s="1"/>
  <c r="Q245" i="28" s="1"/>
  <c r="R245" i="28" s="1"/>
  <c r="S245" i="28" s="1"/>
  <c r="T245" i="28" s="1"/>
  <c r="U245" i="28" s="1"/>
  <c r="V245" i="28" s="1"/>
  <c r="W245" i="28" s="1"/>
  <c r="X245" i="28" s="1"/>
  <c r="Y245" i="28" s="1"/>
  <c r="Z245" i="28" s="1"/>
  <c r="AA245" i="28" s="1"/>
  <c r="AB245" i="28" s="1"/>
  <c r="AC245" i="28" s="1"/>
  <c r="AD245" i="28" s="1"/>
  <c r="AE245" i="28" s="1"/>
  <c r="AF245" i="28" s="1"/>
  <c r="B245" i="28" s="1"/>
  <c r="D256" i="28"/>
  <c r="AH104" i="28"/>
  <c r="AE97" i="27"/>
  <c r="AE99" i="27" s="1"/>
  <c r="AE100" i="27" s="1"/>
  <c r="AE108" i="27"/>
  <c r="AD123" i="27"/>
  <c r="AC123" i="27"/>
  <c r="AB123" i="27"/>
  <c r="AA123" i="27"/>
  <c r="Z123" i="27"/>
  <c r="Y123" i="27"/>
  <c r="X123" i="27"/>
  <c r="W123" i="27"/>
  <c r="AF100" i="28" l="1"/>
  <c r="AF7" i="28" s="1"/>
  <c r="AC100" i="28"/>
  <c r="AC7" i="28" s="1"/>
  <c r="Z100" i="28"/>
  <c r="Z7" i="28" s="1"/>
  <c r="X100" i="28"/>
  <c r="X7" i="28" s="1"/>
  <c r="AA100" i="28"/>
  <c r="AA7" i="28" s="1"/>
  <c r="V100" i="28"/>
  <c r="V7" i="28" s="1"/>
  <c r="Y100" i="28"/>
  <c r="Y7" i="28" s="1"/>
  <c r="W100" i="28"/>
  <c r="W7" i="28" s="1"/>
  <c r="AJ259" i="28"/>
  <c r="AH259" i="28"/>
  <c r="AG259" i="28"/>
  <c r="N100" i="28"/>
  <c r="N7" i="28" s="1"/>
  <c r="H100" i="28"/>
  <c r="H7" i="28" s="1"/>
  <c r="S100" i="28"/>
  <c r="S7" i="28" s="1"/>
  <c r="E100" i="28"/>
  <c r="E7" i="28" s="1"/>
  <c r="J100" i="28"/>
  <c r="J7" i="28" s="1"/>
  <c r="AC259" i="28"/>
  <c r="C254" i="28"/>
  <c r="I100" i="28"/>
  <c r="I7" i="28" s="1"/>
  <c r="B254" i="28"/>
  <c r="G100" i="28"/>
  <c r="G7" i="28" s="1"/>
  <c r="E108" i="28"/>
  <c r="AI107" i="28"/>
  <c r="AH107" i="28"/>
  <c r="V108" i="28"/>
  <c r="AT259" i="28"/>
  <c r="AB100" i="28"/>
  <c r="AB7" i="28" s="1"/>
  <c r="F249" i="28"/>
  <c r="D280" i="28"/>
  <c r="H244" i="28"/>
  <c r="C100" i="28"/>
  <c r="C7" i="28" s="1"/>
  <c r="V259" i="28"/>
  <c r="D100" i="28"/>
  <c r="D7" i="28" s="1"/>
  <c r="F100" i="28"/>
  <c r="F7" i="28" s="1"/>
  <c r="AI97" i="28"/>
  <c r="AH97" i="28"/>
  <c r="AL259" i="28"/>
  <c r="T100" i="28"/>
  <c r="T7" i="28" s="1"/>
  <c r="U100" i="28"/>
  <c r="U7" i="28" s="1"/>
  <c r="AD259" i="28"/>
  <c r="L100" i="28"/>
  <c r="L7" i="28" s="1"/>
  <c r="E118" i="28"/>
  <c r="N108" i="28"/>
  <c r="M100" i="28"/>
  <c r="M7" i="28" s="1"/>
  <c r="U123" i="27"/>
  <c r="K6" i="28" l="1"/>
  <c r="E280" i="28"/>
  <c r="G249" i="28"/>
  <c r="F250" i="28"/>
  <c r="F118" i="28"/>
  <c r="T259" i="28"/>
  <c r="AI99" i="28"/>
  <c r="AH99" i="28"/>
  <c r="AH108" i="28"/>
  <c r="AI108" i="28"/>
  <c r="I244" i="28"/>
  <c r="T123" i="27"/>
  <c r="T121" i="27"/>
  <c r="S123" i="27"/>
  <c r="B7" i="28" l="1"/>
  <c r="A7" i="28" s="1"/>
  <c r="AI100" i="28"/>
  <c r="AH100" i="28"/>
  <c r="J244" i="28"/>
  <c r="F280" i="28"/>
  <c r="H249" i="28"/>
  <c r="G250" i="28"/>
  <c r="G118" i="28"/>
  <c r="R123" i="27"/>
  <c r="Q123" i="27"/>
  <c r="P123" i="27"/>
  <c r="O123" i="27"/>
  <c r="G280" i="28" l="1"/>
  <c r="I249" i="28"/>
  <c r="H118" i="28"/>
  <c r="H250" i="28"/>
  <c r="K244" i="28"/>
  <c r="N123" i="27"/>
  <c r="L123" i="27"/>
  <c r="L58" i="27"/>
  <c r="L62" i="27"/>
  <c r="L76" i="27"/>
  <c r="L80" i="27"/>
  <c r="L92" i="27"/>
  <c r="L108" i="27" s="1"/>
  <c r="L101" i="27"/>
  <c r="L102" i="27"/>
  <c r="L103" i="27"/>
  <c r="L104" i="27"/>
  <c r="L105" i="27"/>
  <c r="L107" i="27"/>
  <c r="L118" i="27"/>
  <c r="L95" i="18"/>
  <c r="K123" i="27"/>
  <c r="K58" i="27"/>
  <c r="K62" i="27"/>
  <c r="K76" i="27"/>
  <c r="K80" i="27"/>
  <c r="K92" i="27"/>
  <c r="J5" i="27" s="1"/>
  <c r="K101" i="27"/>
  <c r="K102" i="27"/>
  <c r="K103" i="27"/>
  <c r="K104" i="27"/>
  <c r="K105" i="27"/>
  <c r="K107" i="27"/>
  <c r="K108" i="27"/>
  <c r="K118" i="27"/>
  <c r="J123" i="27"/>
  <c r="I123" i="27"/>
  <c r="J58" i="27"/>
  <c r="J62" i="27"/>
  <c r="J76" i="27"/>
  <c r="J80" i="27"/>
  <c r="J92" i="27"/>
  <c r="I5" i="27" s="1"/>
  <c r="J101" i="27"/>
  <c r="J102" i="27"/>
  <c r="J103" i="27"/>
  <c r="J104" i="27"/>
  <c r="J105" i="27"/>
  <c r="J107" i="27"/>
  <c r="J118" i="27"/>
  <c r="I58" i="27"/>
  <c r="I62" i="27"/>
  <c r="I76" i="27"/>
  <c r="I80" i="27"/>
  <c r="I92" i="27"/>
  <c r="I101" i="27"/>
  <c r="I107" i="27" s="1"/>
  <c r="I102" i="27"/>
  <c r="I103" i="27"/>
  <c r="I104" i="27"/>
  <c r="I105" i="27"/>
  <c r="I118" i="27"/>
  <c r="H123" i="27"/>
  <c r="H118" i="27" s="1"/>
  <c r="H58" i="27"/>
  <c r="H62" i="27"/>
  <c r="H76" i="27"/>
  <c r="H80" i="27"/>
  <c r="H92" i="27"/>
  <c r="H108" i="27" s="1"/>
  <c r="H101" i="27"/>
  <c r="H102" i="27"/>
  <c r="H103" i="27"/>
  <c r="H104" i="27"/>
  <c r="H107" i="27" s="1"/>
  <c r="H105" i="27"/>
  <c r="G123" i="27"/>
  <c r="G58" i="27"/>
  <c r="G62" i="27"/>
  <c r="G76" i="27"/>
  <c r="G80" i="27"/>
  <c r="G92" i="27"/>
  <c r="F5" i="27" s="1"/>
  <c r="G101" i="27"/>
  <c r="G102" i="27"/>
  <c r="G103" i="27"/>
  <c r="G104" i="27"/>
  <c r="G105" i="27"/>
  <c r="F58" i="27"/>
  <c r="F62" i="27"/>
  <c r="F76" i="27"/>
  <c r="F80" i="27"/>
  <c r="F92" i="27"/>
  <c r="E5" i="27" s="1"/>
  <c r="F101" i="27"/>
  <c r="F102" i="27"/>
  <c r="F103" i="27"/>
  <c r="F104" i="27"/>
  <c r="F105" i="27"/>
  <c r="F107" i="27" s="1"/>
  <c r="F118" i="27"/>
  <c r="F123" i="27"/>
  <c r="E123" i="27"/>
  <c r="E58" i="27"/>
  <c r="E62" i="27"/>
  <c r="E76" i="27"/>
  <c r="E80" i="27"/>
  <c r="E92" i="27"/>
  <c r="D5" i="27" s="1"/>
  <c r="E101" i="27"/>
  <c r="E107" i="27" s="1"/>
  <c r="E102" i="27"/>
  <c r="E103" i="27"/>
  <c r="E104" i="27"/>
  <c r="E105" i="27"/>
  <c r="D58" i="27"/>
  <c r="D62" i="27"/>
  <c r="D76" i="27"/>
  <c r="D80" i="27"/>
  <c r="D92" i="27"/>
  <c r="D101" i="27"/>
  <c r="D102" i="27"/>
  <c r="D103" i="27"/>
  <c r="D104" i="27"/>
  <c r="D105" i="27"/>
  <c r="D118" i="27"/>
  <c r="C58" i="27"/>
  <c r="C62" i="27"/>
  <c r="C76" i="27"/>
  <c r="C80" i="27"/>
  <c r="C92" i="27"/>
  <c r="B5" i="27" s="1"/>
  <c r="C101" i="27"/>
  <c r="C102" i="27"/>
  <c r="C103" i="27"/>
  <c r="C104" i="27"/>
  <c r="C105" i="27"/>
  <c r="C118" i="27"/>
  <c r="B118" i="27"/>
  <c r="B105" i="27"/>
  <c r="B104" i="27"/>
  <c r="B103" i="27"/>
  <c r="B102" i="27"/>
  <c r="B101" i="27"/>
  <c r="B107" i="27" s="1"/>
  <c r="B92" i="27"/>
  <c r="B108" i="27" s="1"/>
  <c r="B80" i="27"/>
  <c r="B76" i="27"/>
  <c r="B62" i="27"/>
  <c r="B58" i="27"/>
  <c r="AF284" i="27"/>
  <c r="AE284" i="27"/>
  <c r="AD284" i="27"/>
  <c r="AC284" i="27"/>
  <c r="AB284" i="27"/>
  <c r="AA284" i="27"/>
  <c r="Z284" i="27"/>
  <c r="Y284" i="27"/>
  <c r="X284" i="27"/>
  <c r="W284" i="27"/>
  <c r="V284" i="27"/>
  <c r="U284" i="27"/>
  <c r="T284" i="27"/>
  <c r="S284" i="27"/>
  <c r="R284" i="27"/>
  <c r="Q284" i="27"/>
  <c r="P284" i="27"/>
  <c r="O284" i="27"/>
  <c r="N284" i="27"/>
  <c r="M284" i="27"/>
  <c r="L284" i="27"/>
  <c r="K284" i="27"/>
  <c r="J284" i="27"/>
  <c r="I284" i="27"/>
  <c r="H284" i="27"/>
  <c r="G284" i="27"/>
  <c r="F284" i="27"/>
  <c r="E284" i="27"/>
  <c r="D284" i="27"/>
  <c r="C284" i="27"/>
  <c r="B284" i="27"/>
  <c r="A284" i="27"/>
  <c r="AF283" i="27"/>
  <c r="AE283" i="27"/>
  <c r="AD283" i="27"/>
  <c r="AC283" i="27"/>
  <c r="AB283" i="27"/>
  <c r="AA283" i="27"/>
  <c r="Z283" i="27"/>
  <c r="Y283" i="27"/>
  <c r="X283" i="27"/>
  <c r="W283" i="27"/>
  <c r="V283" i="27"/>
  <c r="U283" i="27"/>
  <c r="T283" i="27"/>
  <c r="S283" i="27"/>
  <c r="R283" i="27"/>
  <c r="Q283" i="27"/>
  <c r="P283" i="27"/>
  <c r="O283" i="27"/>
  <c r="N283" i="27"/>
  <c r="M283" i="27"/>
  <c r="L283" i="27"/>
  <c r="K283" i="27"/>
  <c r="J283" i="27"/>
  <c r="I283" i="27"/>
  <c r="H283" i="27"/>
  <c r="G283" i="27"/>
  <c r="F283" i="27"/>
  <c r="E283" i="27"/>
  <c r="D283" i="27"/>
  <c r="C283" i="27"/>
  <c r="B283" i="27"/>
  <c r="A283" i="27"/>
  <c r="AF282" i="27"/>
  <c r="AE282" i="27"/>
  <c r="AD282" i="27"/>
  <c r="AC282" i="27"/>
  <c r="AB282" i="27"/>
  <c r="AA282" i="27"/>
  <c r="Z282" i="27"/>
  <c r="Y282" i="27"/>
  <c r="X282" i="27"/>
  <c r="W282" i="27"/>
  <c r="V282" i="27"/>
  <c r="U282" i="27"/>
  <c r="T282" i="27"/>
  <c r="S282" i="27"/>
  <c r="R282" i="27"/>
  <c r="Q282" i="27"/>
  <c r="P282" i="27"/>
  <c r="O282" i="27"/>
  <c r="N282" i="27"/>
  <c r="M282" i="27"/>
  <c r="L282" i="27"/>
  <c r="K282" i="27"/>
  <c r="J282" i="27"/>
  <c r="I282" i="27"/>
  <c r="H282" i="27"/>
  <c r="G282" i="27"/>
  <c r="F282" i="27"/>
  <c r="E282" i="27"/>
  <c r="D282" i="27"/>
  <c r="C282" i="27"/>
  <c r="B282" i="27"/>
  <c r="A282" i="27"/>
  <c r="AF281" i="27"/>
  <c r="AE281" i="27"/>
  <c r="AD281" i="27"/>
  <c r="AC281" i="27"/>
  <c r="AB281" i="27"/>
  <c r="AA281" i="27"/>
  <c r="Z281" i="27"/>
  <c r="Y281" i="27"/>
  <c r="X281" i="27"/>
  <c r="W281" i="27"/>
  <c r="V281" i="27"/>
  <c r="U281" i="27"/>
  <c r="T281" i="27"/>
  <c r="S281" i="27"/>
  <c r="R281" i="27"/>
  <c r="Q281" i="27"/>
  <c r="P281" i="27"/>
  <c r="O281" i="27"/>
  <c r="N281" i="27"/>
  <c r="M281" i="27"/>
  <c r="L281" i="27"/>
  <c r="K281" i="27"/>
  <c r="J281" i="27"/>
  <c r="I281" i="27"/>
  <c r="H281" i="27"/>
  <c r="G281" i="27"/>
  <c r="F281" i="27"/>
  <c r="E281" i="27"/>
  <c r="D281" i="27"/>
  <c r="C281" i="27"/>
  <c r="B281" i="27"/>
  <c r="A281" i="27"/>
  <c r="B280" i="27"/>
  <c r="S255" i="27"/>
  <c r="AG250" i="27"/>
  <c r="C250" i="27"/>
  <c r="D249" i="27"/>
  <c r="C280" i="27" s="1"/>
  <c r="E248" i="27"/>
  <c r="F248" i="27" s="1"/>
  <c r="G248" i="27" s="1"/>
  <c r="H248" i="27" s="1"/>
  <c r="I248" i="27" s="1"/>
  <c r="J248" i="27" s="1"/>
  <c r="K248" i="27" s="1"/>
  <c r="L248" i="27" s="1"/>
  <c r="M248" i="27" s="1"/>
  <c r="N248" i="27" s="1"/>
  <c r="O248" i="27" s="1"/>
  <c r="P248" i="27" s="1"/>
  <c r="Q248" i="27" s="1"/>
  <c r="R248" i="27" s="1"/>
  <c r="S248" i="27" s="1"/>
  <c r="T248" i="27" s="1"/>
  <c r="U248" i="27" s="1"/>
  <c r="V248" i="27" s="1"/>
  <c r="W248" i="27" s="1"/>
  <c r="X248" i="27" s="1"/>
  <c r="Y248" i="27" s="1"/>
  <c r="Z248" i="27" s="1"/>
  <c r="AA248" i="27" s="1"/>
  <c r="AB248" i="27" s="1"/>
  <c r="AC248" i="27" s="1"/>
  <c r="AD248" i="27" s="1"/>
  <c r="AE248" i="27" s="1"/>
  <c r="AF248" i="27" s="1"/>
  <c r="B248" i="27" s="1"/>
  <c r="D248" i="27"/>
  <c r="H247" i="27"/>
  <c r="I247" i="27" s="1"/>
  <c r="J247" i="27" s="1"/>
  <c r="K247" i="27" s="1"/>
  <c r="L247" i="27" s="1"/>
  <c r="M247" i="27" s="1"/>
  <c r="N247" i="27" s="1"/>
  <c r="O247" i="27" s="1"/>
  <c r="P247" i="27" s="1"/>
  <c r="Q247" i="27" s="1"/>
  <c r="R247" i="27" s="1"/>
  <c r="S247" i="27" s="1"/>
  <c r="T247" i="27" s="1"/>
  <c r="U247" i="27" s="1"/>
  <c r="V247" i="27" s="1"/>
  <c r="W247" i="27" s="1"/>
  <c r="X247" i="27" s="1"/>
  <c r="Y247" i="27" s="1"/>
  <c r="Z247" i="27" s="1"/>
  <c r="AA247" i="27" s="1"/>
  <c r="AB247" i="27" s="1"/>
  <c r="AC247" i="27" s="1"/>
  <c r="AD247" i="27" s="1"/>
  <c r="AE247" i="27" s="1"/>
  <c r="AF247" i="27" s="1"/>
  <c r="B247" i="27" s="1"/>
  <c r="G247" i="27"/>
  <c r="F247" i="27"/>
  <c r="E247" i="27"/>
  <c r="D247" i="27"/>
  <c r="F246" i="27"/>
  <c r="G246" i="27" s="1"/>
  <c r="H246" i="27" s="1"/>
  <c r="I246" i="27" s="1"/>
  <c r="J246" i="27" s="1"/>
  <c r="K246" i="27" s="1"/>
  <c r="L246" i="27" s="1"/>
  <c r="M246" i="27" s="1"/>
  <c r="N246" i="27" s="1"/>
  <c r="O246" i="27" s="1"/>
  <c r="P246" i="27" s="1"/>
  <c r="Q246" i="27" s="1"/>
  <c r="R246" i="27" s="1"/>
  <c r="S246" i="27" s="1"/>
  <c r="T246" i="27" s="1"/>
  <c r="U246" i="27" s="1"/>
  <c r="V246" i="27" s="1"/>
  <c r="W246" i="27" s="1"/>
  <c r="X246" i="27" s="1"/>
  <c r="Y246" i="27" s="1"/>
  <c r="Z246" i="27" s="1"/>
  <c r="AA246" i="27" s="1"/>
  <c r="AB246" i="27" s="1"/>
  <c r="AC246" i="27" s="1"/>
  <c r="AD246" i="27" s="1"/>
  <c r="AE246" i="27" s="1"/>
  <c r="AF246" i="27" s="1"/>
  <c r="B246" i="27" s="1"/>
  <c r="E246" i="27"/>
  <c r="D246" i="27"/>
  <c r="D245" i="27"/>
  <c r="D250" i="27" s="1"/>
  <c r="E244" i="27"/>
  <c r="F244" i="27" s="1"/>
  <c r="D244" i="27"/>
  <c r="AG242" i="27"/>
  <c r="AF242" i="27"/>
  <c r="AE242" i="27"/>
  <c r="AD242" i="27"/>
  <c r="AC242" i="27"/>
  <c r="AB242" i="27"/>
  <c r="AA242" i="27"/>
  <c r="Z242" i="27"/>
  <c r="Y242" i="27"/>
  <c r="X242" i="27"/>
  <c r="W242" i="27"/>
  <c r="V242" i="27"/>
  <c r="U242" i="27"/>
  <c r="T242" i="27"/>
  <c r="S242" i="27"/>
  <c r="R242" i="27"/>
  <c r="Q242" i="27"/>
  <c r="P242" i="27"/>
  <c r="O242" i="27"/>
  <c r="N242" i="27"/>
  <c r="M242" i="27"/>
  <c r="L242" i="27"/>
  <c r="K242" i="27"/>
  <c r="J242" i="27"/>
  <c r="I242" i="27"/>
  <c r="H242" i="27"/>
  <c r="G242" i="27"/>
  <c r="F242" i="27"/>
  <c r="E242" i="27"/>
  <c r="D242" i="27"/>
  <c r="C242" i="27"/>
  <c r="B242" i="27"/>
  <c r="AI130" i="27"/>
  <c r="AH130" i="27"/>
  <c r="AI129" i="27"/>
  <c r="AH129" i="27"/>
  <c r="AI128" i="27"/>
  <c r="AH128" i="27"/>
  <c r="AI127" i="27"/>
  <c r="AH127" i="27"/>
  <c r="AI126" i="27"/>
  <c r="AH126" i="27"/>
  <c r="AI122" i="27"/>
  <c r="AH122" i="27"/>
  <c r="AI121" i="27"/>
  <c r="AH121" i="27"/>
  <c r="AI120" i="27"/>
  <c r="AH120" i="27"/>
  <c r="AI119" i="27"/>
  <c r="AH119" i="27"/>
  <c r="AI117" i="27"/>
  <c r="AH117" i="27"/>
  <c r="AI116" i="27"/>
  <c r="AH116" i="27"/>
  <c r="AI115" i="27"/>
  <c r="AH115" i="27"/>
  <c r="AI114" i="27"/>
  <c r="AH114" i="27"/>
  <c r="AI113" i="27"/>
  <c r="AH113" i="27"/>
  <c r="AI112" i="27"/>
  <c r="AH112" i="27"/>
  <c r="AI111" i="27"/>
  <c r="AH111" i="27"/>
  <c r="AI110" i="27"/>
  <c r="AH110" i="27"/>
  <c r="AI109" i="27"/>
  <c r="AH109" i="27"/>
  <c r="AI106" i="27"/>
  <c r="AH106" i="27"/>
  <c r="AF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P107" i="27" s="1"/>
  <c r="O105" i="27"/>
  <c r="N105" i="27"/>
  <c r="M105" i="27"/>
  <c r="AF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AF103" i="27"/>
  <c r="AD103" i="27"/>
  <c r="AC103" i="27"/>
  <c r="AB103" i="27"/>
  <c r="AA103" i="27"/>
  <c r="Z103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AF102" i="27"/>
  <c r="AD102" i="27"/>
  <c r="AC102" i="27"/>
  <c r="AB102" i="27"/>
  <c r="AA102" i="27"/>
  <c r="Z102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AF101" i="27"/>
  <c r="AD101" i="27"/>
  <c r="AC101" i="27"/>
  <c r="AB101" i="27"/>
  <c r="AA101" i="27"/>
  <c r="Z101" i="27"/>
  <c r="Y101" i="27"/>
  <c r="X101" i="27"/>
  <c r="W101" i="27"/>
  <c r="V101" i="27"/>
  <c r="U101" i="27"/>
  <c r="T101" i="27"/>
  <c r="T107" i="27" s="1"/>
  <c r="S101" i="27"/>
  <c r="R101" i="27"/>
  <c r="R107" i="27" s="1"/>
  <c r="Q101" i="27"/>
  <c r="P101" i="27"/>
  <c r="O101" i="27"/>
  <c r="N101" i="27"/>
  <c r="M101" i="27"/>
  <c r="M107" i="27" s="1"/>
  <c r="AI98" i="27"/>
  <c r="AH98" i="27"/>
  <c r="AI96" i="27"/>
  <c r="AH96" i="27"/>
  <c r="AG96" i="27"/>
  <c r="AG99" i="27" s="1"/>
  <c r="AI95" i="27"/>
  <c r="AH95" i="27"/>
  <c r="AI94" i="27"/>
  <c r="AH94" i="27"/>
  <c r="AI93" i="27"/>
  <c r="AH93" i="27"/>
  <c r="AG92" i="27"/>
  <c r="AF92" i="27"/>
  <c r="AE5" i="27" s="1"/>
  <c r="AD92" i="27"/>
  <c r="AC5" i="27" s="1"/>
  <c r="AC92" i="27"/>
  <c r="AB5" i="27" s="1"/>
  <c r="AB92" i="27"/>
  <c r="AA92" i="27"/>
  <c r="Z5" i="27" s="1"/>
  <c r="Z92" i="27"/>
  <c r="Y5" i="27" s="1"/>
  <c r="Y92" i="27"/>
  <c r="X5" i="27" s="1"/>
  <c r="X92" i="27"/>
  <c r="W92" i="27"/>
  <c r="V5" i="27" s="1"/>
  <c r="V92" i="27"/>
  <c r="U5" i="27" s="1"/>
  <c r="U92" i="27"/>
  <c r="T5" i="27" s="1"/>
  <c r="T92" i="27"/>
  <c r="T108" i="27" s="1"/>
  <c r="S92" i="27"/>
  <c r="R92" i="27"/>
  <c r="R108" i="27" s="1"/>
  <c r="Q92" i="27"/>
  <c r="P5" i="27" s="1"/>
  <c r="P92" i="27"/>
  <c r="O5" i="27" s="1"/>
  <c r="O92" i="27"/>
  <c r="N5" i="27" s="1"/>
  <c r="N92" i="27"/>
  <c r="M5" i="27" s="1"/>
  <c r="M92" i="27"/>
  <c r="L5" i="27" s="1"/>
  <c r="H5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I83" i="27"/>
  <c r="AH83" i="27"/>
  <c r="AI82" i="27"/>
  <c r="AH82" i="27"/>
  <c r="AI81" i="27"/>
  <c r="AH81" i="27"/>
  <c r="AG80" i="27"/>
  <c r="AG4" i="27" s="1"/>
  <c r="AF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AI79" i="27"/>
  <c r="AH79" i="27"/>
  <c r="AI78" i="27"/>
  <c r="AH78" i="27"/>
  <c r="AI77" i="27"/>
  <c r="AH77" i="27"/>
  <c r="AG76" i="27"/>
  <c r="AG3" i="27" s="1"/>
  <c r="AF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AI75" i="27"/>
  <c r="AH75" i="27"/>
  <c r="AG75" i="27"/>
  <c r="AI74" i="27"/>
  <c r="AH74" i="27"/>
  <c r="AI73" i="27"/>
  <c r="AH73" i="27"/>
  <c r="AI72" i="27"/>
  <c r="AH72" i="27"/>
  <c r="AI71" i="27"/>
  <c r="AH71" i="27"/>
  <c r="AI70" i="27"/>
  <c r="AH70" i="27"/>
  <c r="AI69" i="27"/>
  <c r="AH69" i="27"/>
  <c r="AI68" i="27"/>
  <c r="AH68" i="27"/>
  <c r="AI67" i="27"/>
  <c r="AH67" i="27"/>
  <c r="AI66" i="27"/>
  <c r="AH66" i="27"/>
  <c r="AI65" i="27"/>
  <c r="AH65" i="27"/>
  <c r="AI64" i="27"/>
  <c r="AH64" i="27"/>
  <c r="AI63" i="27"/>
  <c r="AH63" i="27"/>
  <c r="AG62" i="27"/>
  <c r="AF62" i="27"/>
  <c r="AD62" i="27"/>
  <c r="AC62" i="27"/>
  <c r="AB62" i="27"/>
  <c r="AA62" i="27"/>
  <c r="Z62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AI61" i="27"/>
  <c r="AH61" i="27"/>
  <c r="AI60" i="27"/>
  <c r="AH60" i="27"/>
  <c r="AI59" i="27"/>
  <c r="AH59" i="27"/>
  <c r="AG58" i="27"/>
  <c r="AG97" i="27" s="1"/>
  <c r="AF58" i="27"/>
  <c r="AD58" i="27"/>
  <c r="AC58" i="27"/>
  <c r="AB58" i="27"/>
  <c r="AA58" i="27"/>
  <c r="Z58" i="27"/>
  <c r="Y58" i="27"/>
  <c r="X58" i="27"/>
  <c r="W58" i="27"/>
  <c r="V58" i="27"/>
  <c r="U58" i="27"/>
  <c r="T58" i="27"/>
  <c r="S58" i="27"/>
  <c r="S97" i="27" s="1"/>
  <c r="S99" i="27" s="1"/>
  <c r="R58" i="27"/>
  <c r="Q58" i="27"/>
  <c r="P58" i="27"/>
  <c r="O58" i="27"/>
  <c r="N58" i="27"/>
  <c r="M58" i="27"/>
  <c r="AI57" i="27"/>
  <c r="AH57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D5" i="27"/>
  <c r="K5" i="27"/>
  <c r="G5" i="27"/>
  <c r="C5" i="27"/>
  <c r="K4" i="27"/>
  <c r="E4" i="27"/>
  <c r="H4" i="27" s="1"/>
  <c r="B4" i="27"/>
  <c r="D256" i="27" s="1"/>
  <c r="AG2" i="27"/>
  <c r="AF58" i="26"/>
  <c r="AF62" i="26"/>
  <c r="AF76" i="26"/>
  <c r="AF80" i="26"/>
  <c r="AF92" i="26"/>
  <c r="AF101" i="26"/>
  <c r="AF102" i="26"/>
  <c r="AF103" i="26"/>
  <c r="AF104" i="26"/>
  <c r="AF105" i="26"/>
  <c r="AF118" i="26"/>
  <c r="AE58" i="26"/>
  <c r="AE62" i="26"/>
  <c r="AE76" i="26"/>
  <c r="AE80" i="26"/>
  <c r="AE92" i="26"/>
  <c r="AE101" i="26"/>
  <c r="AE107" i="26" s="1"/>
  <c r="AE102" i="26"/>
  <c r="AE103" i="26"/>
  <c r="AE104" i="26"/>
  <c r="AE105" i="26"/>
  <c r="AE118" i="26"/>
  <c r="AD58" i="26"/>
  <c r="AD62" i="26"/>
  <c r="AD76" i="26"/>
  <c r="AD80" i="26"/>
  <c r="AD92" i="26"/>
  <c r="AD101" i="26"/>
  <c r="AD102" i="26"/>
  <c r="AD103" i="26"/>
  <c r="AD104" i="26"/>
  <c r="AD105" i="26"/>
  <c r="AD118" i="26"/>
  <c r="AC58" i="26"/>
  <c r="AC62" i="26"/>
  <c r="AC76" i="26"/>
  <c r="AC80" i="26"/>
  <c r="AC92" i="26"/>
  <c r="AC101" i="26"/>
  <c r="AC102" i="26"/>
  <c r="AC103" i="26"/>
  <c r="AC104" i="26"/>
  <c r="AC105" i="26"/>
  <c r="AC107" i="26" s="1"/>
  <c r="AC118" i="26"/>
  <c r="AB58" i="26"/>
  <c r="AB62" i="26"/>
  <c r="AB76" i="26"/>
  <c r="AB80" i="26"/>
  <c r="AB92" i="26"/>
  <c r="AB101" i="26"/>
  <c r="AB102" i="26"/>
  <c r="AB103" i="26"/>
  <c r="AB104" i="26"/>
  <c r="AB105" i="26"/>
  <c r="AB118" i="26"/>
  <c r="AA123" i="26"/>
  <c r="Z123" i="26"/>
  <c r="L244" i="28" l="1"/>
  <c r="H280" i="28"/>
  <c r="J249" i="28"/>
  <c r="I118" i="28"/>
  <c r="I250" i="28"/>
  <c r="AF107" i="27"/>
  <c r="AF108" i="27"/>
  <c r="AF97" i="27"/>
  <c r="AF99" i="27" s="1"/>
  <c r="AD107" i="27"/>
  <c r="AD97" i="27"/>
  <c r="AD99" i="27" s="1"/>
  <c r="AD100" i="27" s="1"/>
  <c r="AD7" i="27" s="1"/>
  <c r="AC107" i="27"/>
  <c r="AC97" i="27"/>
  <c r="AC99" i="27" s="1"/>
  <c r="AC100" i="27" s="1"/>
  <c r="AC7" i="27" s="1"/>
  <c r="AB107" i="27"/>
  <c r="AB108" i="27" s="1"/>
  <c r="AA5" i="27"/>
  <c r="AB97" i="27"/>
  <c r="AB99" i="27" s="1"/>
  <c r="AA107" i="27"/>
  <c r="AA108" i="27" s="1"/>
  <c r="AA97" i="27"/>
  <c r="AA99" i="27" s="1"/>
  <c r="AS259" i="27" s="1"/>
  <c r="Z107" i="27"/>
  <c r="Z108" i="27" s="1"/>
  <c r="Z97" i="27"/>
  <c r="Z99" i="27" s="1"/>
  <c r="AR259" i="27" s="1"/>
  <c r="Y107" i="27"/>
  <c r="Y97" i="27"/>
  <c r="Y99" i="27" s="1"/>
  <c r="X107" i="27"/>
  <c r="X108" i="27"/>
  <c r="W5" i="27"/>
  <c r="X97" i="27"/>
  <c r="X99" i="27" s="1"/>
  <c r="X100" i="27" s="1"/>
  <c r="X7" i="27" s="1"/>
  <c r="W107" i="27"/>
  <c r="W108" i="27" s="1"/>
  <c r="W97" i="27"/>
  <c r="W99" i="27" s="1"/>
  <c r="V107" i="27"/>
  <c r="V97" i="27"/>
  <c r="V99" i="27" s="1"/>
  <c r="S5" i="27"/>
  <c r="U107" i="27"/>
  <c r="U97" i="27"/>
  <c r="U99" i="27" s="1"/>
  <c r="T97" i="27"/>
  <c r="T99" i="27" s="1"/>
  <c r="AL259" i="27" s="1"/>
  <c r="S107" i="27"/>
  <c r="S108" i="27" s="1"/>
  <c r="R5" i="27"/>
  <c r="Q5" i="27"/>
  <c r="R97" i="27"/>
  <c r="R99" i="27" s="1"/>
  <c r="Q107" i="27"/>
  <c r="Q97" i="27"/>
  <c r="Q99" i="27" s="1"/>
  <c r="P108" i="27"/>
  <c r="P97" i="27"/>
  <c r="P99" i="27" s="1"/>
  <c r="O107" i="27"/>
  <c r="O108" i="27"/>
  <c r="O97" i="27"/>
  <c r="O99" i="27" s="1"/>
  <c r="N107" i="27"/>
  <c r="N97" i="27"/>
  <c r="N99" i="27" s="1"/>
  <c r="M97" i="27"/>
  <c r="M99" i="27" s="1"/>
  <c r="C254" i="27" s="1"/>
  <c r="L97" i="27"/>
  <c r="L99" i="27" s="1"/>
  <c r="L100" i="27" s="1"/>
  <c r="K97" i="27"/>
  <c r="K99" i="27" s="1"/>
  <c r="K100" i="27" s="1"/>
  <c r="J97" i="27"/>
  <c r="J99" i="27" s="1"/>
  <c r="J100" i="27" s="1"/>
  <c r="J108" i="27"/>
  <c r="I97" i="27"/>
  <c r="I99" i="27" s="1"/>
  <c r="I100" i="27" s="1"/>
  <c r="I108" i="27"/>
  <c r="AI58" i="27"/>
  <c r="AH123" i="27"/>
  <c r="H97" i="27"/>
  <c r="H99" i="27" s="1"/>
  <c r="H100" i="27" s="1"/>
  <c r="G107" i="27"/>
  <c r="G97" i="27"/>
  <c r="G99" i="27" s="1"/>
  <c r="G100" i="27" s="1"/>
  <c r="G7" i="27" s="1"/>
  <c r="G108" i="27"/>
  <c r="G118" i="27"/>
  <c r="AI123" i="27"/>
  <c r="F108" i="27"/>
  <c r="F97" i="27"/>
  <c r="F99" i="27" s="1"/>
  <c r="F100" i="27" s="1"/>
  <c r="AI80" i="27"/>
  <c r="E118" i="27"/>
  <c r="E97" i="27"/>
  <c r="E99" i="27" s="1"/>
  <c r="E100" i="27" s="1"/>
  <c r="E7" i="27" s="1"/>
  <c r="E108" i="27"/>
  <c r="AI104" i="27"/>
  <c r="AI62" i="27"/>
  <c r="D107" i="27"/>
  <c r="D108" i="27" s="1"/>
  <c r="D97" i="27"/>
  <c r="D99" i="27" s="1"/>
  <c r="D100" i="27" s="1"/>
  <c r="AI103" i="27"/>
  <c r="AI105" i="27"/>
  <c r="AI76" i="27"/>
  <c r="C107" i="27"/>
  <c r="C97" i="27"/>
  <c r="C99" i="27" s="1"/>
  <c r="C100" i="27" s="1"/>
  <c r="C7" i="27" s="1"/>
  <c r="C108" i="27"/>
  <c r="AH102" i="27"/>
  <c r="AI102" i="27"/>
  <c r="AF5" i="27"/>
  <c r="AI101" i="27"/>
  <c r="B97" i="27"/>
  <c r="B99" i="27" s="1"/>
  <c r="B100" i="27" s="1"/>
  <c r="AM259" i="27"/>
  <c r="U100" i="27"/>
  <c r="U7" i="27" s="1"/>
  <c r="AN259" i="27"/>
  <c r="V100" i="27"/>
  <c r="V7" i="27" s="1"/>
  <c r="Y259" i="27"/>
  <c r="AG259" i="27"/>
  <c r="O100" i="27"/>
  <c r="O7" i="27" s="1"/>
  <c r="AO259" i="27"/>
  <c r="W100" i="27"/>
  <c r="W7" i="27" s="1"/>
  <c r="AW259" i="27"/>
  <c r="AE7" i="27"/>
  <c r="AF259" i="27"/>
  <c r="N100" i="27"/>
  <c r="N7" i="27" s="1"/>
  <c r="H7" i="27"/>
  <c r="Z259" i="27"/>
  <c r="AX259" i="27"/>
  <c r="AF100" i="27"/>
  <c r="AF7" i="27" s="1"/>
  <c r="X259" i="27"/>
  <c r="F7" i="27"/>
  <c r="AA259" i="27"/>
  <c r="I7" i="27"/>
  <c r="AI259" i="27"/>
  <c r="Q100" i="27"/>
  <c r="Q7" i="27" s="1"/>
  <c r="AQ259" i="27"/>
  <c r="Y100" i="27"/>
  <c r="Y7" i="27" s="1"/>
  <c r="W259" i="27"/>
  <c r="AH259" i="27"/>
  <c r="P100" i="27"/>
  <c r="P7" i="27" s="1"/>
  <c r="J7" i="27"/>
  <c r="AJ259" i="27"/>
  <c r="R100" i="27"/>
  <c r="R7" i="27" s="1"/>
  <c r="M108" i="27"/>
  <c r="U108" i="27"/>
  <c r="AC108" i="27"/>
  <c r="AK259" i="27"/>
  <c r="S100" i="27"/>
  <c r="S7" i="27" s="1"/>
  <c r="N108" i="27"/>
  <c r="AD108" i="27"/>
  <c r="AV259" i="27"/>
  <c r="U259" i="27"/>
  <c r="AC259" i="27"/>
  <c r="K7" i="27"/>
  <c r="AA100" i="27"/>
  <c r="AA7" i="27" s="1"/>
  <c r="V108" i="27"/>
  <c r="AG6" i="27"/>
  <c r="V259" i="27"/>
  <c r="D7" i="27"/>
  <c r="AD259" i="27"/>
  <c r="L7" i="27"/>
  <c r="AT259" i="27"/>
  <c r="AB100" i="27"/>
  <c r="AB7" i="27" s="1"/>
  <c r="G244" i="27"/>
  <c r="AH76" i="27"/>
  <c r="AH80" i="27"/>
  <c r="AH92" i="27"/>
  <c r="E245" i="27"/>
  <c r="E249" i="27"/>
  <c r="S256" i="27"/>
  <c r="AI92" i="27"/>
  <c r="AH101" i="27"/>
  <c r="Q108" i="27"/>
  <c r="Y108" i="27"/>
  <c r="AH58" i="27"/>
  <c r="AH62" i="27"/>
  <c r="AH103" i="27"/>
  <c r="AH104" i="27"/>
  <c r="AH105" i="27"/>
  <c r="AF107" i="26"/>
  <c r="AF97" i="26"/>
  <c r="AF99" i="26" s="1"/>
  <c r="AF100" i="26" s="1"/>
  <c r="AF108" i="26"/>
  <c r="AE97" i="26"/>
  <c r="AE99" i="26" s="1"/>
  <c r="AE100" i="26" s="1"/>
  <c r="AE108" i="26"/>
  <c r="AD107" i="26"/>
  <c r="AD97" i="26"/>
  <c r="AD99" i="26" s="1"/>
  <c r="AD100" i="26" s="1"/>
  <c r="AD108" i="26"/>
  <c r="AC108" i="26"/>
  <c r="AC97" i="26"/>
  <c r="AC99" i="26" s="1"/>
  <c r="AC100" i="26" s="1"/>
  <c r="AB107" i="26"/>
  <c r="AB108" i="26"/>
  <c r="AB97" i="26"/>
  <c r="AB99" i="26" s="1"/>
  <c r="AB100" i="26" s="1"/>
  <c r="Y123" i="26"/>
  <c r="X123" i="26"/>
  <c r="W123" i="26"/>
  <c r="W57" i="26"/>
  <c r="V123" i="26"/>
  <c r="V121" i="26"/>
  <c r="V57" i="26"/>
  <c r="U123" i="26"/>
  <c r="K249" i="28" l="1"/>
  <c r="I280" i="28"/>
  <c r="J118" i="28"/>
  <c r="J250" i="28"/>
  <c r="M244" i="28"/>
  <c r="AU259" i="27"/>
  <c r="Z100" i="27"/>
  <c r="Z7" i="27" s="1"/>
  <c r="AP259" i="27"/>
  <c r="T100" i="27"/>
  <c r="T7" i="27" s="1"/>
  <c r="M100" i="27"/>
  <c r="M7" i="27" s="1"/>
  <c r="AE259" i="27"/>
  <c r="AB259" i="27"/>
  <c r="B254" i="27"/>
  <c r="K6" i="27" s="1"/>
  <c r="E250" i="27"/>
  <c r="F245" i="27"/>
  <c r="AI108" i="27"/>
  <c r="AH108" i="27"/>
  <c r="AI107" i="27"/>
  <c r="AH107" i="27"/>
  <c r="AI97" i="27"/>
  <c r="AH97" i="27"/>
  <c r="D280" i="27"/>
  <c r="F249" i="27"/>
  <c r="H244" i="27"/>
  <c r="T123" i="26"/>
  <c r="N244" i="28" l="1"/>
  <c r="J280" i="28"/>
  <c r="L249" i="28"/>
  <c r="K118" i="28"/>
  <c r="K250" i="28"/>
  <c r="I244" i="27"/>
  <c r="E280" i="27"/>
  <c r="G249" i="27"/>
  <c r="G245" i="27"/>
  <c r="F250" i="27"/>
  <c r="AH99" i="27"/>
  <c r="T259" i="27"/>
  <c r="AI99" i="27"/>
  <c r="S123" i="26"/>
  <c r="S57" i="26"/>
  <c r="R123" i="26"/>
  <c r="R121" i="26"/>
  <c r="R57" i="26"/>
  <c r="Q123" i="26"/>
  <c r="Q121" i="26"/>
  <c r="Q57" i="26"/>
  <c r="P123" i="26"/>
  <c r="P121" i="26"/>
  <c r="P57" i="26"/>
  <c r="O123" i="26"/>
  <c r="O57" i="26"/>
  <c r="N123" i="26"/>
  <c r="N121" i="26"/>
  <c r="N57" i="26"/>
  <c r="M123" i="26"/>
  <c r="M121" i="26"/>
  <c r="M57" i="26"/>
  <c r="M58" i="26"/>
  <c r="M62" i="26"/>
  <c r="M76" i="26"/>
  <c r="M80" i="26"/>
  <c r="M92" i="26"/>
  <c r="M101" i="26"/>
  <c r="M107" i="26" s="1"/>
  <c r="M102" i="26"/>
  <c r="M103" i="26"/>
  <c r="M104" i="26"/>
  <c r="M105" i="26"/>
  <c r="M118" i="26"/>
  <c r="L123" i="26"/>
  <c r="L122" i="26"/>
  <c r="L119" i="26"/>
  <c r="K123" i="26"/>
  <c r="K119" i="26"/>
  <c r="K58" i="26"/>
  <c r="K62" i="26"/>
  <c r="J123" i="26"/>
  <c r="I123" i="26"/>
  <c r="F58" i="26"/>
  <c r="F62" i="26"/>
  <c r="AH125" i="26"/>
  <c r="AI125" i="26"/>
  <c r="AH124" i="26"/>
  <c r="AI124" i="26"/>
  <c r="K280" i="28" l="1"/>
  <c r="M249" i="28"/>
  <c r="L250" i="28"/>
  <c r="L118" i="28"/>
  <c r="O244" i="28"/>
  <c r="H245" i="27"/>
  <c r="G250" i="27"/>
  <c r="F280" i="27"/>
  <c r="H249" i="27"/>
  <c r="B7" i="27"/>
  <c r="A7" i="27" s="1"/>
  <c r="AI100" i="27"/>
  <c r="AH100" i="27"/>
  <c r="J244" i="27"/>
  <c r="M97" i="26"/>
  <c r="M99" i="26" s="1"/>
  <c r="M100" i="26" s="1"/>
  <c r="M108" i="26"/>
  <c r="AF284" i="26"/>
  <c r="AE284" i="26"/>
  <c r="AD284" i="26"/>
  <c r="AC284" i="26"/>
  <c r="AB284" i="26"/>
  <c r="AA284" i="26"/>
  <c r="Z284" i="26"/>
  <c r="Y284" i="26"/>
  <c r="X284" i="26"/>
  <c r="W284" i="26"/>
  <c r="V284" i="26"/>
  <c r="U284" i="26"/>
  <c r="T284" i="26"/>
  <c r="S284" i="26"/>
  <c r="R284" i="26"/>
  <c r="Q284" i="26"/>
  <c r="P284" i="26"/>
  <c r="O284" i="26"/>
  <c r="N284" i="26"/>
  <c r="M284" i="26"/>
  <c r="L284" i="26"/>
  <c r="K284" i="26"/>
  <c r="J284" i="26"/>
  <c r="I284" i="26"/>
  <c r="H284" i="26"/>
  <c r="G284" i="26"/>
  <c r="F284" i="26"/>
  <c r="E284" i="26"/>
  <c r="D284" i="26"/>
  <c r="C284" i="26"/>
  <c r="B284" i="26"/>
  <c r="A284" i="26"/>
  <c r="AF283" i="26"/>
  <c r="AE283" i="26"/>
  <c r="AD283" i="26"/>
  <c r="AC283" i="26"/>
  <c r="AB283" i="26"/>
  <c r="AA283" i="26"/>
  <c r="Z283" i="26"/>
  <c r="Y283" i="26"/>
  <c r="X283" i="26"/>
  <c r="W283" i="26"/>
  <c r="V283" i="26"/>
  <c r="U283" i="26"/>
  <c r="T283" i="26"/>
  <c r="S283" i="26"/>
  <c r="R283" i="26"/>
  <c r="Q283" i="26"/>
  <c r="P283" i="26"/>
  <c r="O283" i="26"/>
  <c r="N283" i="26"/>
  <c r="M283" i="26"/>
  <c r="L283" i="26"/>
  <c r="K283" i="26"/>
  <c r="J283" i="26"/>
  <c r="I283" i="26"/>
  <c r="H283" i="26"/>
  <c r="G283" i="26"/>
  <c r="F283" i="26"/>
  <c r="E283" i="26"/>
  <c r="D283" i="26"/>
  <c r="C283" i="26"/>
  <c r="B283" i="26"/>
  <c r="A283" i="26"/>
  <c r="AF282" i="26"/>
  <c r="AE282" i="26"/>
  <c r="AD282" i="26"/>
  <c r="AC282" i="26"/>
  <c r="AB282" i="26"/>
  <c r="AA282" i="26"/>
  <c r="Z282" i="26"/>
  <c r="Y282" i="26"/>
  <c r="X282" i="26"/>
  <c r="W282" i="26"/>
  <c r="V282" i="26"/>
  <c r="U282" i="26"/>
  <c r="T282" i="26"/>
  <c r="S282" i="26"/>
  <c r="R282" i="26"/>
  <c r="Q282" i="26"/>
  <c r="P282" i="26"/>
  <c r="O282" i="26"/>
  <c r="N282" i="26"/>
  <c r="M282" i="26"/>
  <c r="L282" i="26"/>
  <c r="K282" i="26"/>
  <c r="J282" i="26"/>
  <c r="I282" i="26"/>
  <c r="H282" i="26"/>
  <c r="G282" i="26"/>
  <c r="F282" i="26"/>
  <c r="E282" i="26"/>
  <c r="D282" i="26"/>
  <c r="C282" i="26"/>
  <c r="B282" i="26"/>
  <c r="A282" i="26"/>
  <c r="AF281" i="26"/>
  <c r="AE281" i="26"/>
  <c r="AD281" i="26"/>
  <c r="AC281" i="26"/>
  <c r="AB281" i="26"/>
  <c r="AA281" i="26"/>
  <c r="Z281" i="26"/>
  <c r="Y281" i="26"/>
  <c r="X281" i="26"/>
  <c r="W281" i="26"/>
  <c r="V281" i="26"/>
  <c r="U281" i="26"/>
  <c r="T281" i="26"/>
  <c r="S281" i="26"/>
  <c r="R281" i="26"/>
  <c r="Q281" i="26"/>
  <c r="P281" i="26"/>
  <c r="O281" i="26"/>
  <c r="N281" i="26"/>
  <c r="M281" i="26"/>
  <c r="L281" i="26"/>
  <c r="K281" i="26"/>
  <c r="J281" i="26"/>
  <c r="I281" i="26"/>
  <c r="H281" i="26"/>
  <c r="G281" i="26"/>
  <c r="F281" i="26"/>
  <c r="E281" i="26"/>
  <c r="D281" i="26"/>
  <c r="C281" i="26"/>
  <c r="B281" i="26"/>
  <c r="A281" i="26"/>
  <c r="B280" i="26"/>
  <c r="S255" i="26"/>
  <c r="AG250" i="26"/>
  <c r="C250" i="26"/>
  <c r="D249" i="26"/>
  <c r="C280" i="26" s="1"/>
  <c r="E248" i="26"/>
  <c r="F248" i="26" s="1"/>
  <c r="G248" i="26" s="1"/>
  <c r="H248" i="26" s="1"/>
  <c r="I248" i="26" s="1"/>
  <c r="J248" i="26" s="1"/>
  <c r="K248" i="26" s="1"/>
  <c r="L248" i="26" s="1"/>
  <c r="M248" i="26" s="1"/>
  <c r="N248" i="26" s="1"/>
  <c r="O248" i="26" s="1"/>
  <c r="P248" i="26" s="1"/>
  <c r="Q248" i="26" s="1"/>
  <c r="R248" i="26" s="1"/>
  <c r="S248" i="26" s="1"/>
  <c r="T248" i="26" s="1"/>
  <c r="U248" i="26" s="1"/>
  <c r="V248" i="26" s="1"/>
  <c r="W248" i="26" s="1"/>
  <c r="X248" i="26" s="1"/>
  <c r="Y248" i="26" s="1"/>
  <c r="Z248" i="26" s="1"/>
  <c r="AA248" i="26" s="1"/>
  <c r="AB248" i="26" s="1"/>
  <c r="AC248" i="26" s="1"/>
  <c r="AD248" i="26" s="1"/>
  <c r="AE248" i="26" s="1"/>
  <c r="AF248" i="26" s="1"/>
  <c r="B248" i="26" s="1"/>
  <c r="D248" i="26"/>
  <c r="D247" i="26"/>
  <c r="E247" i="26" s="1"/>
  <c r="F247" i="26" s="1"/>
  <c r="G247" i="26" s="1"/>
  <c r="H247" i="26" s="1"/>
  <c r="I247" i="26" s="1"/>
  <c r="J247" i="26" s="1"/>
  <c r="K247" i="26" s="1"/>
  <c r="L247" i="26" s="1"/>
  <c r="M247" i="26" s="1"/>
  <c r="N247" i="26" s="1"/>
  <c r="O247" i="26" s="1"/>
  <c r="P247" i="26" s="1"/>
  <c r="Q247" i="26" s="1"/>
  <c r="R247" i="26" s="1"/>
  <c r="S247" i="26" s="1"/>
  <c r="T247" i="26" s="1"/>
  <c r="U247" i="26" s="1"/>
  <c r="V247" i="26" s="1"/>
  <c r="W247" i="26" s="1"/>
  <c r="X247" i="26" s="1"/>
  <c r="Y247" i="26" s="1"/>
  <c r="Z247" i="26" s="1"/>
  <c r="AA247" i="26" s="1"/>
  <c r="AB247" i="26" s="1"/>
  <c r="AC247" i="26" s="1"/>
  <c r="AD247" i="26" s="1"/>
  <c r="AE247" i="26" s="1"/>
  <c r="AF247" i="26" s="1"/>
  <c r="B247" i="26" s="1"/>
  <c r="F246" i="26"/>
  <c r="G246" i="26" s="1"/>
  <c r="H246" i="26" s="1"/>
  <c r="I246" i="26" s="1"/>
  <c r="J246" i="26" s="1"/>
  <c r="K246" i="26" s="1"/>
  <c r="L246" i="26" s="1"/>
  <c r="M246" i="26" s="1"/>
  <c r="N246" i="26" s="1"/>
  <c r="O246" i="26" s="1"/>
  <c r="P246" i="26" s="1"/>
  <c r="Q246" i="26" s="1"/>
  <c r="R246" i="26" s="1"/>
  <c r="S246" i="26" s="1"/>
  <c r="T246" i="26" s="1"/>
  <c r="U246" i="26" s="1"/>
  <c r="V246" i="26" s="1"/>
  <c r="W246" i="26" s="1"/>
  <c r="X246" i="26" s="1"/>
  <c r="Y246" i="26" s="1"/>
  <c r="Z246" i="26" s="1"/>
  <c r="AA246" i="26" s="1"/>
  <c r="AB246" i="26" s="1"/>
  <c r="AC246" i="26" s="1"/>
  <c r="AD246" i="26" s="1"/>
  <c r="AE246" i="26" s="1"/>
  <c r="AF246" i="26" s="1"/>
  <c r="B246" i="26" s="1"/>
  <c r="E246" i="26"/>
  <c r="D246" i="26"/>
  <c r="D245" i="26"/>
  <c r="D250" i="26" s="1"/>
  <c r="E244" i="26"/>
  <c r="F244" i="26" s="1"/>
  <c r="D244" i="26"/>
  <c r="AG242" i="26"/>
  <c r="AF242" i="26"/>
  <c r="AE242" i="26"/>
  <c r="AD242" i="26"/>
  <c r="AC242" i="26"/>
  <c r="AB242" i="26"/>
  <c r="AA242" i="26"/>
  <c r="Z242" i="26"/>
  <c r="Y242" i="26"/>
  <c r="X242" i="26"/>
  <c r="W242" i="26"/>
  <c r="V242" i="26"/>
  <c r="U242" i="26"/>
  <c r="T242" i="26"/>
  <c r="S242" i="26"/>
  <c r="R242" i="26"/>
  <c r="Q242" i="26"/>
  <c r="P242" i="26"/>
  <c r="O242" i="26"/>
  <c r="N242" i="26"/>
  <c r="M242" i="26"/>
  <c r="L242" i="26"/>
  <c r="K242" i="26"/>
  <c r="J242" i="26"/>
  <c r="I242" i="26"/>
  <c r="H242" i="26"/>
  <c r="G242" i="26"/>
  <c r="F242" i="26"/>
  <c r="E242" i="26"/>
  <c r="D242" i="26"/>
  <c r="C242" i="26"/>
  <c r="B242" i="26"/>
  <c r="AI130" i="26"/>
  <c r="AH130" i="26"/>
  <c r="AI129" i="26"/>
  <c r="AH129" i="26"/>
  <c r="AI128" i="26"/>
  <c r="AH128" i="26"/>
  <c r="AI127" i="26"/>
  <c r="AH127" i="26"/>
  <c r="AI126" i="26"/>
  <c r="AH126" i="26"/>
  <c r="AI123" i="26"/>
  <c r="AH123" i="26"/>
  <c r="AI122" i="26"/>
  <c r="AH122" i="26"/>
  <c r="AI121" i="26"/>
  <c r="AH121" i="26"/>
  <c r="AI120" i="26"/>
  <c r="AH120" i="26"/>
  <c r="AI119" i="26"/>
  <c r="AH119" i="26"/>
  <c r="D118" i="26"/>
  <c r="C118" i="26"/>
  <c r="AI117" i="26"/>
  <c r="AH117" i="26"/>
  <c r="AI116" i="26"/>
  <c r="AH116" i="26"/>
  <c r="AI115" i="26"/>
  <c r="AH115" i="26"/>
  <c r="AI114" i="26"/>
  <c r="AH114" i="26"/>
  <c r="AI113" i="26"/>
  <c r="AH113" i="26"/>
  <c r="AI112" i="26"/>
  <c r="AH112" i="26"/>
  <c r="AI111" i="26"/>
  <c r="AH111" i="26"/>
  <c r="AI110" i="26"/>
  <c r="AH110" i="26"/>
  <c r="AI109" i="26"/>
  <c r="AH109" i="26"/>
  <c r="P107" i="26"/>
  <c r="AI106" i="26"/>
  <c r="AH106" i="26"/>
  <c r="AA105" i="26"/>
  <c r="AA107" i="26" s="1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L105" i="26"/>
  <c r="K105" i="26"/>
  <c r="J105" i="26"/>
  <c r="I105" i="26"/>
  <c r="H105" i="26"/>
  <c r="G105" i="26"/>
  <c r="F105" i="26"/>
  <c r="E105" i="26"/>
  <c r="D105" i="26"/>
  <c r="C105" i="26"/>
  <c r="B105" i="26"/>
  <c r="AA104" i="26"/>
  <c r="Z104" i="26"/>
  <c r="Y104" i="26"/>
  <c r="X104" i="26"/>
  <c r="W104" i="26"/>
  <c r="V104" i="26"/>
  <c r="U104" i="26"/>
  <c r="T104" i="26"/>
  <c r="T107" i="26" s="1"/>
  <c r="S104" i="26"/>
  <c r="S107" i="26" s="1"/>
  <c r="R104" i="26"/>
  <c r="Q104" i="26"/>
  <c r="P104" i="26"/>
  <c r="O104" i="26"/>
  <c r="N104" i="26"/>
  <c r="L104" i="26"/>
  <c r="K104" i="26"/>
  <c r="J104" i="26"/>
  <c r="I104" i="26"/>
  <c r="H104" i="26"/>
  <c r="G104" i="26"/>
  <c r="F104" i="26"/>
  <c r="E104" i="26"/>
  <c r="D104" i="26"/>
  <c r="C104" i="26"/>
  <c r="B104" i="26"/>
  <c r="AA103" i="26"/>
  <c r="Z103" i="26"/>
  <c r="Y103" i="26"/>
  <c r="X103" i="26"/>
  <c r="X107" i="26" s="1"/>
  <c r="W103" i="26"/>
  <c r="V103" i="26"/>
  <c r="U103" i="26"/>
  <c r="T103" i="26"/>
  <c r="S103" i="26"/>
  <c r="R103" i="26"/>
  <c r="Q103" i="26"/>
  <c r="P103" i="26"/>
  <c r="O103" i="26"/>
  <c r="N103" i="26"/>
  <c r="L103" i="26"/>
  <c r="K103" i="26"/>
  <c r="J103" i="26"/>
  <c r="I103" i="26"/>
  <c r="H103" i="26"/>
  <c r="H107" i="26" s="1"/>
  <c r="G103" i="26"/>
  <c r="F103" i="26"/>
  <c r="E103" i="26"/>
  <c r="AH103" i="26" s="1"/>
  <c r="D103" i="26"/>
  <c r="C103" i="26"/>
  <c r="B103" i="26"/>
  <c r="AA102" i="26"/>
  <c r="Z102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L102" i="26"/>
  <c r="K102" i="26"/>
  <c r="J102" i="26"/>
  <c r="I102" i="26"/>
  <c r="H102" i="26"/>
  <c r="G102" i="26"/>
  <c r="F102" i="26"/>
  <c r="E102" i="26"/>
  <c r="D102" i="26"/>
  <c r="C102" i="26"/>
  <c r="B102" i="26"/>
  <c r="AI101" i="26"/>
  <c r="AA101" i="26"/>
  <c r="Z101" i="26"/>
  <c r="Y101" i="26"/>
  <c r="X101" i="26"/>
  <c r="W101" i="26"/>
  <c r="V101" i="26"/>
  <c r="U101" i="26"/>
  <c r="U107" i="26" s="1"/>
  <c r="T101" i="26"/>
  <c r="S101" i="26"/>
  <c r="R101" i="26"/>
  <c r="Q101" i="26"/>
  <c r="P101" i="26"/>
  <c r="O101" i="26"/>
  <c r="O107" i="26" s="1"/>
  <c r="N101" i="26"/>
  <c r="L101" i="26"/>
  <c r="K101" i="26"/>
  <c r="J101" i="26"/>
  <c r="J107" i="26" s="1"/>
  <c r="I101" i="26"/>
  <c r="I107" i="26" s="1"/>
  <c r="H101" i="26"/>
  <c r="G101" i="26"/>
  <c r="F101" i="26"/>
  <c r="E101" i="26"/>
  <c r="E107" i="26" s="1"/>
  <c r="D101" i="26"/>
  <c r="C101" i="26"/>
  <c r="B101" i="26"/>
  <c r="AI98" i="26"/>
  <c r="AH98" i="26"/>
  <c r="AI96" i="26"/>
  <c r="AH96" i="26"/>
  <c r="AG96" i="26"/>
  <c r="AI95" i="26"/>
  <c r="AH95" i="26"/>
  <c r="AI94" i="26"/>
  <c r="AH94" i="26"/>
  <c r="AI93" i="26"/>
  <c r="AH93" i="26"/>
  <c r="AG92" i="26"/>
  <c r="AG99" i="26" s="1"/>
  <c r="AA92" i="26"/>
  <c r="Z5" i="26" s="1"/>
  <c r="Z92" i="26"/>
  <c r="Y5" i="26" s="1"/>
  <c r="Y92" i="26"/>
  <c r="X92" i="26"/>
  <c r="W5" i="26" s="1"/>
  <c r="W92" i="26"/>
  <c r="V5" i="26" s="1"/>
  <c r="V92" i="26"/>
  <c r="U5" i="26" s="1"/>
  <c r="U92" i="26"/>
  <c r="T5" i="26" s="1"/>
  <c r="T92" i="26"/>
  <c r="S92" i="26"/>
  <c r="R5" i="26" s="1"/>
  <c r="R92" i="26"/>
  <c r="Q5" i="26" s="1"/>
  <c r="Q92" i="26"/>
  <c r="P92" i="26"/>
  <c r="P108" i="26" s="1"/>
  <c r="O92" i="26"/>
  <c r="O108" i="26" s="1"/>
  <c r="N92" i="26"/>
  <c r="M5" i="26" s="1"/>
  <c r="L92" i="26"/>
  <c r="K92" i="26"/>
  <c r="J5" i="26" s="1"/>
  <c r="J92" i="26"/>
  <c r="I5" i="26" s="1"/>
  <c r="I92" i="26"/>
  <c r="I108" i="26" s="1"/>
  <c r="H92" i="26"/>
  <c r="G5" i="26" s="1"/>
  <c r="G92" i="26"/>
  <c r="F5" i="26" s="1"/>
  <c r="F92" i="26"/>
  <c r="E5" i="26" s="1"/>
  <c r="E92" i="26"/>
  <c r="D5" i="26" s="1"/>
  <c r="D92" i="26"/>
  <c r="C92" i="26"/>
  <c r="B5" i="26" s="1"/>
  <c r="B92" i="26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I83" i="26"/>
  <c r="AH83" i="26"/>
  <c r="AI82" i="26"/>
  <c r="AH82" i="26"/>
  <c r="AI81" i="26"/>
  <c r="AH81" i="26"/>
  <c r="AG80" i="26"/>
  <c r="AG4" i="26" s="1"/>
  <c r="AA80" i="26"/>
  <c r="Z80" i="26"/>
  <c r="Y80" i="26"/>
  <c r="X80" i="26"/>
  <c r="W80" i="26"/>
  <c r="V80" i="26"/>
  <c r="U80" i="26"/>
  <c r="T80" i="26"/>
  <c r="S80" i="26"/>
  <c r="R80" i="26"/>
  <c r="Q80" i="26"/>
  <c r="P80" i="26"/>
  <c r="O80" i="26"/>
  <c r="N80" i="26"/>
  <c r="L80" i="26"/>
  <c r="K80" i="26"/>
  <c r="J80" i="26"/>
  <c r="I80" i="26"/>
  <c r="H80" i="26"/>
  <c r="G80" i="26"/>
  <c r="F80" i="26"/>
  <c r="E80" i="26"/>
  <c r="D80" i="26"/>
  <c r="C80" i="26"/>
  <c r="B80" i="26"/>
  <c r="AI79" i="26"/>
  <c r="AH79" i="26"/>
  <c r="AI78" i="26"/>
  <c r="AH78" i="26"/>
  <c r="AI77" i="26"/>
  <c r="AH77" i="26"/>
  <c r="AG76" i="26"/>
  <c r="AG3" i="26" s="1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L76" i="26"/>
  <c r="K76" i="26"/>
  <c r="J76" i="26"/>
  <c r="I76" i="26"/>
  <c r="H76" i="26"/>
  <c r="G76" i="26"/>
  <c r="F76" i="26"/>
  <c r="E76" i="26"/>
  <c r="D76" i="26"/>
  <c r="C76" i="26"/>
  <c r="B76" i="26"/>
  <c r="AI75" i="26"/>
  <c r="AH75" i="26"/>
  <c r="AG75" i="26"/>
  <c r="AI74" i="26"/>
  <c r="AH74" i="26"/>
  <c r="AI73" i="26"/>
  <c r="AH73" i="26"/>
  <c r="AI72" i="26"/>
  <c r="AH72" i="26"/>
  <c r="AI71" i="26"/>
  <c r="AH71" i="26"/>
  <c r="AI70" i="26"/>
  <c r="AH70" i="26"/>
  <c r="AI69" i="26"/>
  <c r="AH69" i="26"/>
  <c r="AI68" i="26"/>
  <c r="AH68" i="26"/>
  <c r="AI67" i="26"/>
  <c r="AH67" i="26"/>
  <c r="AI66" i="26"/>
  <c r="AH66" i="26"/>
  <c r="AI65" i="26"/>
  <c r="AH65" i="26"/>
  <c r="AI64" i="26"/>
  <c r="AH64" i="26"/>
  <c r="AI63" i="26"/>
  <c r="AH63" i="26"/>
  <c r="AG62" i="26"/>
  <c r="AA62" i="26"/>
  <c r="Z62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L62" i="26"/>
  <c r="J62" i="26"/>
  <c r="I62" i="26"/>
  <c r="H62" i="26"/>
  <c r="G62" i="26"/>
  <c r="E62" i="26"/>
  <c r="D62" i="26"/>
  <c r="C62" i="26"/>
  <c r="B62" i="26"/>
  <c r="AI61" i="26"/>
  <c r="AH61" i="26"/>
  <c r="AI60" i="26"/>
  <c r="AH60" i="26"/>
  <c r="AI59" i="26"/>
  <c r="AH59" i="26"/>
  <c r="AG58" i="26"/>
  <c r="AG2" i="26" s="1"/>
  <c r="AX259" i="26"/>
  <c r="AA58" i="26"/>
  <c r="Z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L58" i="26"/>
  <c r="J58" i="26"/>
  <c r="I58" i="26"/>
  <c r="H58" i="26"/>
  <c r="G58" i="26"/>
  <c r="E58" i="26"/>
  <c r="D58" i="26"/>
  <c r="C58" i="26"/>
  <c r="B58" i="26"/>
  <c r="AI57" i="26"/>
  <c r="AH57" i="26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F5" i="26"/>
  <c r="AE5" i="26"/>
  <c r="AD5" i="26"/>
  <c r="AC5" i="26"/>
  <c r="AB5" i="26"/>
  <c r="L5" i="26"/>
  <c r="K4" i="26"/>
  <c r="E4" i="26"/>
  <c r="H4" i="26" s="1"/>
  <c r="B4" i="26"/>
  <c r="AF57" i="25"/>
  <c r="AE57" i="25"/>
  <c r="AC57" i="25"/>
  <c r="AD57" i="25"/>
  <c r="P244" i="28" l="1"/>
  <c r="N249" i="28"/>
  <c r="L280" i="28"/>
  <c r="M250" i="28"/>
  <c r="M118" i="28"/>
  <c r="G280" i="27"/>
  <c r="I249" i="27"/>
  <c r="K244" i="27"/>
  <c r="I245" i="27"/>
  <c r="H250" i="27"/>
  <c r="AA97" i="26"/>
  <c r="AA99" i="26" s="1"/>
  <c r="AS259" i="26" s="1"/>
  <c r="Z107" i="26"/>
  <c r="Z108" i="26"/>
  <c r="Z97" i="26"/>
  <c r="Z99" i="26" s="1"/>
  <c r="Y107" i="26"/>
  <c r="Y108" i="26" s="1"/>
  <c r="Y97" i="26"/>
  <c r="Y99" i="26" s="1"/>
  <c r="X97" i="26"/>
  <c r="X99" i="26" s="1"/>
  <c r="AP259" i="26" s="1"/>
  <c r="W107" i="26"/>
  <c r="W108" i="26" s="1"/>
  <c r="W97" i="26"/>
  <c r="W99" i="26" s="1"/>
  <c r="V97" i="26"/>
  <c r="V99" i="26" s="1"/>
  <c r="AN259" i="26" s="1"/>
  <c r="U97" i="26"/>
  <c r="U99" i="26" s="1"/>
  <c r="S97" i="26"/>
  <c r="S99" i="26" s="1"/>
  <c r="AK259" i="26" s="1"/>
  <c r="R107" i="26"/>
  <c r="R108" i="26"/>
  <c r="R97" i="26"/>
  <c r="R99" i="26" s="1"/>
  <c r="Q107" i="26"/>
  <c r="Q108" i="26" s="1"/>
  <c r="P5" i="26"/>
  <c r="Q97" i="26"/>
  <c r="Q99" i="26" s="1"/>
  <c r="O5" i="26"/>
  <c r="P97" i="26"/>
  <c r="P99" i="26" s="1"/>
  <c r="AH259" i="26" s="1"/>
  <c r="N5" i="26"/>
  <c r="O97" i="26"/>
  <c r="O99" i="26" s="1"/>
  <c r="N97" i="26"/>
  <c r="N99" i="26" s="1"/>
  <c r="L107" i="26"/>
  <c r="L108" i="26" s="1"/>
  <c r="K107" i="26"/>
  <c r="K97" i="26"/>
  <c r="K99" i="26" s="1"/>
  <c r="AC259" i="26" s="1"/>
  <c r="J108" i="26"/>
  <c r="J97" i="26"/>
  <c r="J99" i="26" s="1"/>
  <c r="AB259" i="26" s="1"/>
  <c r="H5" i="26"/>
  <c r="I97" i="26"/>
  <c r="I99" i="26" s="1"/>
  <c r="AI80" i="26"/>
  <c r="H97" i="26"/>
  <c r="H99" i="26" s="1"/>
  <c r="Z259" i="26" s="1"/>
  <c r="G107" i="26"/>
  <c r="G108" i="26" s="1"/>
  <c r="AH62" i="26"/>
  <c r="G97" i="26"/>
  <c r="G99" i="26" s="1"/>
  <c r="Y259" i="26" s="1"/>
  <c r="F97" i="26"/>
  <c r="F99" i="26" s="1"/>
  <c r="AI104" i="26"/>
  <c r="C107" i="26"/>
  <c r="AH102" i="26"/>
  <c r="C97" i="26"/>
  <c r="C99" i="26" s="1"/>
  <c r="U259" i="26" s="1"/>
  <c r="D107" i="26"/>
  <c r="D108" i="26" s="1"/>
  <c r="E97" i="26"/>
  <c r="E99" i="26" s="1"/>
  <c r="W259" i="26" s="1"/>
  <c r="AI62" i="26"/>
  <c r="AF259" i="26"/>
  <c r="AM259" i="26"/>
  <c r="U100" i="26"/>
  <c r="U7" i="26" s="1"/>
  <c r="AE259" i="26"/>
  <c r="M7" i="26"/>
  <c r="AA259" i="26"/>
  <c r="I100" i="26"/>
  <c r="I7" i="26" s="1"/>
  <c r="AI259" i="26"/>
  <c r="Q100" i="26"/>
  <c r="Q7" i="26" s="1"/>
  <c r="AR259" i="26"/>
  <c r="Z100" i="26"/>
  <c r="Z7" i="26" s="1"/>
  <c r="X259" i="26"/>
  <c r="AU259" i="26"/>
  <c r="AC7" i="26"/>
  <c r="AV259" i="26"/>
  <c r="AD7" i="26"/>
  <c r="D256" i="26"/>
  <c r="S256" i="26"/>
  <c r="AG259" i="26"/>
  <c r="O100" i="26"/>
  <c r="O7" i="26" s="1"/>
  <c r="AO259" i="26"/>
  <c r="W100" i="26"/>
  <c r="W7" i="26" s="1"/>
  <c r="AW259" i="26"/>
  <c r="AE7" i="26"/>
  <c r="AI92" i="26"/>
  <c r="AG97" i="26"/>
  <c r="S100" i="26"/>
  <c r="S7" i="26" s="1"/>
  <c r="F107" i="26"/>
  <c r="F108" i="26" s="1"/>
  <c r="N107" i="26"/>
  <c r="N100" i="26" s="1"/>
  <c r="N7" i="26" s="1"/>
  <c r="V107" i="26"/>
  <c r="G244" i="26"/>
  <c r="AJ259" i="26"/>
  <c r="R100" i="26"/>
  <c r="R7" i="26" s="1"/>
  <c r="C108" i="26"/>
  <c r="K108" i="26"/>
  <c r="S108" i="26"/>
  <c r="AA108" i="26"/>
  <c r="X100" i="26"/>
  <c r="X7" i="26" s="1"/>
  <c r="AG6" i="26"/>
  <c r="C5" i="26"/>
  <c r="K5" i="26"/>
  <c r="S5" i="26"/>
  <c r="T108" i="26"/>
  <c r="AA5" i="26"/>
  <c r="AA100" i="26"/>
  <c r="AA7" i="26" s="1"/>
  <c r="AI105" i="26"/>
  <c r="AQ259" i="26"/>
  <c r="Y100" i="26"/>
  <c r="Y7" i="26" s="1"/>
  <c r="E108" i="26"/>
  <c r="AF7" i="26"/>
  <c r="X108" i="26"/>
  <c r="U108" i="26"/>
  <c r="AI76" i="26"/>
  <c r="N108" i="26"/>
  <c r="V108" i="26"/>
  <c r="B107" i="26"/>
  <c r="AH101" i="26"/>
  <c r="AI102" i="26"/>
  <c r="AI103" i="26"/>
  <c r="AH104" i="26"/>
  <c r="H108" i="26"/>
  <c r="AI58" i="26"/>
  <c r="X5" i="26"/>
  <c r="D97" i="26"/>
  <c r="D99" i="26" s="1"/>
  <c r="L97" i="26"/>
  <c r="L99" i="26" s="1"/>
  <c r="T97" i="26"/>
  <c r="T99" i="26" s="1"/>
  <c r="AH76" i="26"/>
  <c r="AH80" i="26"/>
  <c r="AH92" i="26"/>
  <c r="E118" i="26"/>
  <c r="E245" i="26"/>
  <c r="E249" i="26"/>
  <c r="AH58" i="26"/>
  <c r="B97" i="26"/>
  <c r="AH105" i="26"/>
  <c r="AB57" i="25"/>
  <c r="AA123" i="25"/>
  <c r="AA57" i="25"/>
  <c r="AA58" i="25"/>
  <c r="AA62" i="25"/>
  <c r="AA76" i="25"/>
  <c r="AA80" i="25"/>
  <c r="AA97" i="25" s="1"/>
  <c r="AA99" i="25" s="1"/>
  <c r="AA100" i="25" s="1"/>
  <c r="AA92" i="25"/>
  <c r="AA101" i="25"/>
  <c r="AA102" i="25"/>
  <c r="AA103" i="25"/>
  <c r="AA107" i="25" s="1"/>
  <c r="AA104" i="25"/>
  <c r="AA105" i="25"/>
  <c r="AA118" i="25"/>
  <c r="Z123" i="25"/>
  <c r="Z57" i="25"/>
  <c r="Z58" i="25"/>
  <c r="Z62" i="25"/>
  <c r="Z76" i="25"/>
  <c r="Z80" i="25"/>
  <c r="Z92" i="25"/>
  <c r="Z101" i="25"/>
  <c r="Z102" i="25"/>
  <c r="Z103" i="25"/>
  <c r="Z104" i="25"/>
  <c r="Z105" i="25"/>
  <c r="Z118" i="25"/>
  <c r="M280" i="28" l="1"/>
  <c r="O249" i="28"/>
  <c r="N250" i="28"/>
  <c r="N118" i="28"/>
  <c r="Q244" i="28"/>
  <c r="J245" i="27"/>
  <c r="I250" i="27"/>
  <c r="L244" i="27"/>
  <c r="H280" i="27"/>
  <c r="J249" i="27"/>
  <c r="V100" i="26"/>
  <c r="V7" i="26" s="1"/>
  <c r="P100" i="26"/>
  <c r="P7" i="26" s="1"/>
  <c r="K100" i="26"/>
  <c r="K7" i="26" s="1"/>
  <c r="J100" i="26"/>
  <c r="J7" i="26" s="1"/>
  <c r="C254" i="26"/>
  <c r="H100" i="26"/>
  <c r="H7" i="26" s="1"/>
  <c r="G100" i="26"/>
  <c r="G7" i="26" s="1"/>
  <c r="C100" i="26"/>
  <c r="C7" i="26" s="1"/>
  <c r="E100" i="26"/>
  <c r="E7" i="26" s="1"/>
  <c r="B254" i="26"/>
  <c r="AI107" i="26"/>
  <c r="AH107" i="26"/>
  <c r="B108" i="26"/>
  <c r="V259" i="26"/>
  <c r="D100" i="26"/>
  <c r="D7" i="26" s="1"/>
  <c r="AI97" i="26"/>
  <c r="AH97" i="26"/>
  <c r="B99" i="26"/>
  <c r="H244" i="26"/>
  <c r="F100" i="26"/>
  <c r="F7" i="26" s="1"/>
  <c r="AT259" i="26"/>
  <c r="AB7" i="26"/>
  <c r="D280" i="26"/>
  <c r="F249" i="26"/>
  <c r="AL259" i="26"/>
  <c r="T100" i="26"/>
  <c r="T7" i="26" s="1"/>
  <c r="F245" i="26"/>
  <c r="E250" i="26"/>
  <c r="AD259" i="26"/>
  <c r="L100" i="26"/>
  <c r="L7" i="26" s="1"/>
  <c r="AA108" i="25"/>
  <c r="Z97" i="25"/>
  <c r="Z99" i="25" s="1"/>
  <c r="Z107" i="25"/>
  <c r="Z108" i="25" s="1"/>
  <c r="N280" i="28" l="1"/>
  <c r="P249" i="28"/>
  <c r="O250" i="28"/>
  <c r="R244" i="28"/>
  <c r="K249" i="27"/>
  <c r="I280" i="27"/>
  <c r="M244" i="27"/>
  <c r="K245" i="27"/>
  <c r="J250" i="27"/>
  <c r="K6" i="26"/>
  <c r="G245" i="26"/>
  <c r="F250" i="26"/>
  <c r="AH108" i="26"/>
  <c r="AI108" i="26"/>
  <c r="I244" i="26"/>
  <c r="E280" i="26"/>
  <c r="G249" i="26"/>
  <c r="F118" i="26"/>
  <c r="T259" i="26"/>
  <c r="B100" i="26"/>
  <c r="AI99" i="26"/>
  <c r="AH99" i="26"/>
  <c r="Z100" i="25"/>
  <c r="S244" i="28" l="1"/>
  <c r="O280" i="28"/>
  <c r="Q249" i="28"/>
  <c r="P250" i="28"/>
  <c r="L245" i="27"/>
  <c r="K250" i="27"/>
  <c r="N244" i="27"/>
  <c r="L249" i="27"/>
  <c r="J280" i="27"/>
  <c r="J244" i="26"/>
  <c r="B7" i="26"/>
  <c r="A7" i="26" s="1"/>
  <c r="AI100" i="26"/>
  <c r="AH100" i="26"/>
  <c r="F280" i="26"/>
  <c r="H249" i="26"/>
  <c r="G118" i="26"/>
  <c r="H245" i="26"/>
  <c r="G250" i="26"/>
  <c r="P280" i="28" l="1"/>
  <c r="R249" i="28"/>
  <c r="Q250" i="28"/>
  <c r="T244" i="28"/>
  <c r="K280" i="27"/>
  <c r="M249" i="27"/>
  <c r="O244" i="27"/>
  <c r="M245" i="27"/>
  <c r="L250" i="27"/>
  <c r="G280" i="26"/>
  <c r="I249" i="26"/>
  <c r="H118" i="26"/>
  <c r="K244" i="26"/>
  <c r="I245" i="26"/>
  <c r="H250" i="26"/>
  <c r="S249" i="28" l="1"/>
  <c r="Q280" i="28"/>
  <c r="R118" i="28"/>
  <c r="R250" i="28"/>
  <c r="U244" i="28"/>
  <c r="N245" i="27"/>
  <c r="M250" i="27"/>
  <c r="P244" i="27"/>
  <c r="L280" i="27"/>
  <c r="N249" i="27"/>
  <c r="M118" i="27"/>
  <c r="H280" i="26"/>
  <c r="J249" i="26"/>
  <c r="I118" i="26"/>
  <c r="J245" i="26"/>
  <c r="I250" i="26"/>
  <c r="L244" i="26"/>
  <c r="V244" i="28" l="1"/>
  <c r="R280" i="28"/>
  <c r="T249" i="28"/>
  <c r="S250" i="28"/>
  <c r="S118" i="28"/>
  <c r="M280" i="27"/>
  <c r="O249" i="27"/>
  <c r="N118" i="27"/>
  <c r="Q244" i="27"/>
  <c r="O245" i="27"/>
  <c r="N250" i="27"/>
  <c r="M244" i="26"/>
  <c r="K245" i="26"/>
  <c r="J250" i="26"/>
  <c r="K249" i="26"/>
  <c r="I280" i="26"/>
  <c r="J118" i="26"/>
  <c r="S280" i="28" l="1"/>
  <c r="U249" i="28"/>
  <c r="T250" i="28"/>
  <c r="T118" i="28"/>
  <c r="W244" i="28"/>
  <c r="P245" i="27"/>
  <c r="O250" i="27"/>
  <c r="N280" i="27"/>
  <c r="P249" i="27"/>
  <c r="O118" i="27"/>
  <c r="R244" i="27"/>
  <c r="L249" i="26"/>
  <c r="J280" i="26"/>
  <c r="K118" i="26"/>
  <c r="N244" i="26"/>
  <c r="L245" i="26"/>
  <c r="K250" i="26"/>
  <c r="X244" i="28" l="1"/>
  <c r="V249" i="28"/>
  <c r="T280" i="28"/>
  <c r="U118" i="28"/>
  <c r="U250" i="28"/>
  <c r="S244" i="27"/>
  <c r="O280" i="27"/>
  <c r="Q249" i="27"/>
  <c r="Q245" i="27"/>
  <c r="P250" i="27"/>
  <c r="O244" i="26"/>
  <c r="M245" i="26"/>
  <c r="L250" i="26"/>
  <c r="K280" i="26"/>
  <c r="M249" i="26"/>
  <c r="L118" i="26"/>
  <c r="U280" i="28" l="1"/>
  <c r="W249" i="28"/>
  <c r="V250" i="28"/>
  <c r="V118" i="28"/>
  <c r="Y244" i="28"/>
  <c r="R245" i="27"/>
  <c r="Q250" i="27"/>
  <c r="T244" i="27"/>
  <c r="P280" i="27"/>
  <c r="R249" i="27"/>
  <c r="Q118" i="27"/>
  <c r="L280" i="26"/>
  <c r="N249" i="26"/>
  <c r="N245" i="26"/>
  <c r="M250" i="26"/>
  <c r="P244" i="26"/>
  <c r="V280" i="28" l="1"/>
  <c r="X249" i="28"/>
  <c r="W250" i="28"/>
  <c r="W118" i="28"/>
  <c r="Z244" i="28"/>
  <c r="S249" i="27"/>
  <c r="Q280" i="27"/>
  <c r="R118" i="27"/>
  <c r="U244" i="27"/>
  <c r="S245" i="27"/>
  <c r="R250" i="27"/>
  <c r="Q244" i="26"/>
  <c r="O249" i="26"/>
  <c r="M280" i="26"/>
  <c r="N118" i="26"/>
  <c r="O245" i="26"/>
  <c r="N250" i="26"/>
  <c r="AA244" i="28" l="1"/>
  <c r="W280" i="28"/>
  <c r="Y249" i="28"/>
  <c r="X250" i="28"/>
  <c r="X118" i="28"/>
  <c r="T245" i="27"/>
  <c r="S250" i="27"/>
  <c r="V244" i="27"/>
  <c r="T249" i="27"/>
  <c r="R280" i="27"/>
  <c r="S118" i="27"/>
  <c r="P245" i="26"/>
  <c r="O250" i="26"/>
  <c r="N280" i="26"/>
  <c r="P249" i="26"/>
  <c r="O118" i="26"/>
  <c r="R244" i="26"/>
  <c r="X280" i="28" l="1"/>
  <c r="Z249" i="28"/>
  <c r="Y250" i="28"/>
  <c r="Y118" i="28"/>
  <c r="AB244" i="28"/>
  <c r="S280" i="27"/>
  <c r="U249" i="27"/>
  <c r="T118" i="27"/>
  <c r="W244" i="27"/>
  <c r="U245" i="27"/>
  <c r="T250" i="27"/>
  <c r="S244" i="26"/>
  <c r="O280" i="26"/>
  <c r="Q249" i="26"/>
  <c r="Q245" i="26"/>
  <c r="P250" i="26"/>
  <c r="AA249" i="28" l="1"/>
  <c r="Y280" i="28"/>
  <c r="Z250" i="28"/>
  <c r="Z118" i="28"/>
  <c r="AC244" i="28"/>
  <c r="V245" i="27"/>
  <c r="U250" i="27"/>
  <c r="X244" i="27"/>
  <c r="T280" i="27"/>
  <c r="V249" i="27"/>
  <c r="U118" i="27"/>
  <c r="R245" i="26"/>
  <c r="Q250" i="26"/>
  <c r="P280" i="26"/>
  <c r="R249" i="26"/>
  <c r="Q118" i="26"/>
  <c r="T244" i="26"/>
  <c r="AD244" i="28" l="1"/>
  <c r="Z280" i="28"/>
  <c r="AB249" i="28"/>
  <c r="AA250" i="28"/>
  <c r="AA118" i="28"/>
  <c r="U280" i="27"/>
  <c r="W249" i="27"/>
  <c r="V118" i="27"/>
  <c r="Y244" i="27"/>
  <c r="W245" i="27"/>
  <c r="V250" i="27"/>
  <c r="U244" i="26"/>
  <c r="S249" i="26"/>
  <c r="Q280" i="26"/>
  <c r="R118" i="26"/>
  <c r="S245" i="26"/>
  <c r="R250" i="26"/>
  <c r="AA280" i="28" l="1"/>
  <c r="AC249" i="28"/>
  <c r="AB250" i="28"/>
  <c r="AB118" i="28"/>
  <c r="AE244" i="28"/>
  <c r="Z244" i="27"/>
  <c r="V280" i="27"/>
  <c r="X249" i="27"/>
  <c r="W118" i="27"/>
  <c r="X245" i="27"/>
  <c r="W250" i="27"/>
  <c r="T245" i="26"/>
  <c r="S250" i="26"/>
  <c r="R280" i="26"/>
  <c r="T249" i="26"/>
  <c r="S118" i="26"/>
  <c r="V244" i="26"/>
  <c r="AF244" i="28" l="1"/>
  <c r="AD249" i="28"/>
  <c r="AB280" i="28"/>
  <c r="AC250" i="28"/>
  <c r="AC118" i="28"/>
  <c r="Y245" i="27"/>
  <c r="X250" i="27"/>
  <c r="W280" i="27"/>
  <c r="Y249" i="27"/>
  <c r="X118" i="27"/>
  <c r="AA244" i="27"/>
  <c r="W244" i="26"/>
  <c r="S280" i="26"/>
  <c r="U249" i="26"/>
  <c r="T118" i="26"/>
  <c r="U245" i="26"/>
  <c r="T250" i="26"/>
  <c r="AC280" i="28" l="1"/>
  <c r="AE249" i="28"/>
  <c r="AD250" i="28"/>
  <c r="B244" i="28"/>
  <c r="AB244" i="27"/>
  <c r="X280" i="27"/>
  <c r="Z249" i="27"/>
  <c r="Y118" i="27"/>
  <c r="Z245" i="27"/>
  <c r="Y250" i="27"/>
  <c r="V245" i="26"/>
  <c r="U250" i="26"/>
  <c r="T280" i="26"/>
  <c r="V249" i="26"/>
  <c r="U118" i="26"/>
  <c r="X244" i="26"/>
  <c r="AD280" i="28" l="1"/>
  <c r="AF249" i="28"/>
  <c r="AE118" i="28"/>
  <c r="AE250" i="28"/>
  <c r="AA245" i="27"/>
  <c r="Z250" i="27"/>
  <c r="AA249" i="27"/>
  <c r="Y280" i="27"/>
  <c r="Z118" i="27"/>
  <c r="AC244" i="27"/>
  <c r="Y244" i="26"/>
  <c r="W249" i="26"/>
  <c r="U280" i="26"/>
  <c r="V118" i="26"/>
  <c r="W245" i="26"/>
  <c r="V250" i="26"/>
  <c r="B249" i="28" l="1"/>
  <c r="AE280" i="28"/>
  <c r="AF250" i="28"/>
  <c r="AF118" i="28"/>
  <c r="AD244" i="27"/>
  <c r="AB249" i="27"/>
  <c r="Z280" i="27"/>
  <c r="AA118" i="27"/>
  <c r="AB245" i="27"/>
  <c r="AA250" i="27"/>
  <c r="X245" i="26"/>
  <c r="W250" i="26"/>
  <c r="V280" i="26"/>
  <c r="X249" i="26"/>
  <c r="W118" i="26"/>
  <c r="Z244" i="26"/>
  <c r="AF280" i="28" l="1"/>
  <c r="B250" i="28"/>
  <c r="AC245" i="27"/>
  <c r="AB250" i="27"/>
  <c r="AA280" i="27"/>
  <c r="AC249" i="27"/>
  <c r="AB118" i="27"/>
  <c r="AE244" i="27"/>
  <c r="AA244" i="26"/>
  <c r="W280" i="26"/>
  <c r="Y249" i="26"/>
  <c r="X118" i="26"/>
  <c r="Y245" i="26"/>
  <c r="X250" i="26"/>
  <c r="AI118" i="28" l="1"/>
  <c r="AH118" i="28"/>
  <c r="AF244" i="27"/>
  <c r="AB280" i="27"/>
  <c r="AD249" i="27"/>
  <c r="AC118" i="27"/>
  <c r="AD245" i="27"/>
  <c r="AC250" i="27"/>
  <c r="Z245" i="26"/>
  <c r="Y250" i="26"/>
  <c r="X280" i="26"/>
  <c r="Z249" i="26"/>
  <c r="Y118" i="26"/>
  <c r="AB244" i="26"/>
  <c r="AC280" i="27" l="1"/>
  <c r="AE249" i="27"/>
  <c r="AE245" i="27"/>
  <c r="AD250" i="27"/>
  <c r="B244" i="27"/>
  <c r="AC244" i="26"/>
  <c r="AA249" i="26"/>
  <c r="Y280" i="26"/>
  <c r="Z118" i="26"/>
  <c r="AA245" i="26"/>
  <c r="Z250" i="26"/>
  <c r="AF245" i="27" l="1"/>
  <c r="AE250" i="27"/>
  <c r="AD280" i="27"/>
  <c r="AF249" i="27"/>
  <c r="AB245" i="26"/>
  <c r="AA250" i="26"/>
  <c r="Z280" i="26"/>
  <c r="AB249" i="26"/>
  <c r="AA118" i="26"/>
  <c r="AD244" i="26"/>
  <c r="B249" i="27" l="1"/>
  <c r="AE280" i="27"/>
  <c r="AF118" i="27"/>
  <c r="B245" i="27"/>
  <c r="B250" i="27" s="1"/>
  <c r="AF250" i="27"/>
  <c r="AE244" i="26"/>
  <c r="AA280" i="26"/>
  <c r="AC249" i="26"/>
  <c r="AC245" i="26"/>
  <c r="AB250" i="26"/>
  <c r="AF280" i="27" l="1"/>
  <c r="AD245" i="26"/>
  <c r="AC250" i="26"/>
  <c r="AB280" i="26"/>
  <c r="AD249" i="26"/>
  <c r="AF244" i="26"/>
  <c r="AI118" i="27" l="1"/>
  <c r="AH118" i="27"/>
  <c r="B244" i="26"/>
  <c r="AC280" i="26"/>
  <c r="AE249" i="26"/>
  <c r="AE245" i="26"/>
  <c r="AD250" i="26"/>
  <c r="AF245" i="26" l="1"/>
  <c r="AE250" i="26"/>
  <c r="AD280" i="26"/>
  <c r="AF249" i="26"/>
  <c r="B245" i="26" l="1"/>
  <c r="AF250" i="26"/>
  <c r="B249" i="26"/>
  <c r="AE280" i="26"/>
  <c r="AF280" i="26" l="1"/>
  <c r="B118" i="26"/>
  <c r="B250" i="26"/>
  <c r="AH118" i="26" l="1"/>
  <c r="AI118" i="26"/>
  <c r="Y123" i="25" l="1"/>
  <c r="Y57" i="25"/>
  <c r="Y58" i="25"/>
  <c r="Y62" i="25"/>
  <c r="Y76" i="25"/>
  <c r="Y80" i="25"/>
  <c r="Y92" i="25"/>
  <c r="Y97" i="25" s="1"/>
  <c r="Y99" i="25" s="1"/>
  <c r="Y101" i="25"/>
  <c r="Y102" i="25"/>
  <c r="Y103" i="25"/>
  <c r="Y104" i="25"/>
  <c r="Y105" i="25"/>
  <c r="Y107" i="25"/>
  <c r="Y118" i="25"/>
  <c r="X123" i="25"/>
  <c r="X118" i="25" s="1"/>
  <c r="X107" i="25"/>
  <c r="X105" i="25"/>
  <c r="X104" i="25"/>
  <c r="X103" i="25"/>
  <c r="X102" i="25"/>
  <c r="X101" i="25"/>
  <c r="X92" i="25"/>
  <c r="X108" i="25" s="1"/>
  <c r="X80" i="25"/>
  <c r="X76" i="25"/>
  <c r="X62" i="25"/>
  <c r="X58" i="25"/>
  <c r="X97" i="25" s="1"/>
  <c r="X99" i="25" s="1"/>
  <c r="X100" i="25" s="1"/>
  <c r="X57" i="25"/>
  <c r="W123" i="25"/>
  <c r="W57" i="25"/>
  <c r="W58" i="25"/>
  <c r="W62" i="25"/>
  <c r="W76" i="25"/>
  <c r="W80" i="25"/>
  <c r="W92" i="25"/>
  <c r="W101" i="25"/>
  <c r="W107" i="25" s="1"/>
  <c r="W102" i="25"/>
  <c r="W103" i="25"/>
  <c r="W104" i="25"/>
  <c r="W105" i="25"/>
  <c r="W118" i="25"/>
  <c r="V123" i="25"/>
  <c r="V57" i="25"/>
  <c r="V58" i="25"/>
  <c r="V62" i="25"/>
  <c r="V76" i="25"/>
  <c r="V80" i="25"/>
  <c r="V92" i="25"/>
  <c r="V108" i="25" s="1"/>
  <c r="V101" i="25"/>
  <c r="V102" i="25"/>
  <c r="V103" i="25"/>
  <c r="V104" i="25"/>
  <c r="V105" i="25"/>
  <c r="V107" i="25"/>
  <c r="V118" i="25"/>
  <c r="U123" i="25"/>
  <c r="U57" i="25"/>
  <c r="U58" i="25"/>
  <c r="U62" i="25"/>
  <c r="U76" i="25"/>
  <c r="U80" i="25"/>
  <c r="U92" i="25"/>
  <c r="U101" i="25"/>
  <c r="U102" i="25"/>
  <c r="U103" i="25"/>
  <c r="U104" i="25"/>
  <c r="U105" i="25"/>
  <c r="U118" i="25"/>
  <c r="T123" i="25"/>
  <c r="T57" i="25"/>
  <c r="T58" i="25"/>
  <c r="T62" i="25"/>
  <c r="T76" i="25"/>
  <c r="T80" i="25"/>
  <c r="T92" i="25"/>
  <c r="T101" i="25"/>
  <c r="T107" i="25" s="1"/>
  <c r="T102" i="25"/>
  <c r="T103" i="25"/>
  <c r="T104" i="25"/>
  <c r="T105" i="25"/>
  <c r="T118" i="25"/>
  <c r="S57" i="25"/>
  <c r="S58" i="25"/>
  <c r="S62" i="25"/>
  <c r="S76" i="25"/>
  <c r="S80" i="25"/>
  <c r="S92" i="25"/>
  <c r="S108" i="25" s="1"/>
  <c r="S101" i="25"/>
  <c r="S102" i="25"/>
  <c r="S103" i="25"/>
  <c r="S104" i="25"/>
  <c r="S105" i="25"/>
  <c r="S107" i="25"/>
  <c r="S118" i="25"/>
  <c r="S121" i="25"/>
  <c r="Y100" i="25" l="1"/>
  <c r="Y108" i="25"/>
  <c r="W108" i="25"/>
  <c r="W97" i="25"/>
  <c r="W99" i="25" s="1"/>
  <c r="W100" i="25" s="1"/>
  <c r="V97" i="25"/>
  <c r="V99" i="25" s="1"/>
  <c r="V100" i="25" s="1"/>
  <c r="U107" i="25"/>
  <c r="U108" i="25" s="1"/>
  <c r="U97" i="25"/>
  <c r="U99" i="25" s="1"/>
  <c r="U100" i="25" s="1"/>
  <c r="T97" i="25"/>
  <c r="T99" i="25" s="1"/>
  <c r="T100" i="25" s="1"/>
  <c r="T108" i="25"/>
  <c r="S97" i="25"/>
  <c r="S99" i="25" s="1"/>
  <c r="S100" i="25" s="1"/>
  <c r="R121" i="25" l="1"/>
  <c r="R57" i="25"/>
  <c r="Q121" i="25"/>
  <c r="Q57" i="25"/>
  <c r="P57" i="25"/>
  <c r="O121" i="25"/>
  <c r="O57" i="25"/>
  <c r="N121" i="25"/>
  <c r="M121" i="25" l="1"/>
  <c r="AF284" i="25" l="1"/>
  <c r="AE284" i="25"/>
  <c r="AD284" i="25"/>
  <c r="AC284" i="25"/>
  <c r="AB284" i="25"/>
  <c r="AA284" i="25"/>
  <c r="Z284" i="25"/>
  <c r="Y284" i="25"/>
  <c r="X284" i="25"/>
  <c r="W284" i="25"/>
  <c r="V284" i="25"/>
  <c r="U284" i="25"/>
  <c r="T284" i="25"/>
  <c r="S284" i="25"/>
  <c r="R284" i="25"/>
  <c r="Q284" i="25"/>
  <c r="P284" i="25"/>
  <c r="O284" i="25"/>
  <c r="N284" i="25"/>
  <c r="M284" i="25"/>
  <c r="L284" i="25"/>
  <c r="K284" i="25"/>
  <c r="J284" i="25"/>
  <c r="I284" i="25"/>
  <c r="H284" i="25"/>
  <c r="G284" i="25"/>
  <c r="F284" i="25"/>
  <c r="E284" i="25"/>
  <c r="D284" i="25"/>
  <c r="C284" i="25"/>
  <c r="B284" i="25"/>
  <c r="A284" i="25"/>
  <c r="AF283" i="25"/>
  <c r="AE283" i="25"/>
  <c r="AD283" i="25"/>
  <c r="AC283" i="25"/>
  <c r="AB283" i="25"/>
  <c r="AA283" i="25"/>
  <c r="Z283" i="25"/>
  <c r="Y283" i="25"/>
  <c r="X283" i="25"/>
  <c r="W283" i="25"/>
  <c r="V283" i="25"/>
  <c r="U283" i="25"/>
  <c r="T283" i="25"/>
  <c r="S283" i="25"/>
  <c r="R283" i="25"/>
  <c r="Q283" i="25"/>
  <c r="P283" i="25"/>
  <c r="O283" i="25"/>
  <c r="N283" i="25"/>
  <c r="M283" i="25"/>
  <c r="L283" i="25"/>
  <c r="K283" i="25"/>
  <c r="J283" i="25"/>
  <c r="I283" i="25"/>
  <c r="H283" i="25"/>
  <c r="G283" i="25"/>
  <c r="F283" i="25"/>
  <c r="E283" i="25"/>
  <c r="D283" i="25"/>
  <c r="C283" i="25"/>
  <c r="B283" i="25"/>
  <c r="A283" i="25"/>
  <c r="AF282" i="25"/>
  <c r="AE282" i="25"/>
  <c r="AD282" i="25"/>
  <c r="AC282" i="25"/>
  <c r="AB282" i="25"/>
  <c r="AA282" i="25"/>
  <c r="Z282" i="25"/>
  <c r="Y282" i="25"/>
  <c r="X282" i="25"/>
  <c r="W282" i="25"/>
  <c r="V282" i="25"/>
  <c r="U282" i="25"/>
  <c r="T282" i="25"/>
  <c r="S282" i="25"/>
  <c r="R282" i="25"/>
  <c r="Q282" i="25"/>
  <c r="P282" i="25"/>
  <c r="O282" i="25"/>
  <c r="N282" i="25"/>
  <c r="M282" i="25"/>
  <c r="L282" i="25"/>
  <c r="K282" i="25"/>
  <c r="J282" i="25"/>
  <c r="I282" i="25"/>
  <c r="H282" i="25"/>
  <c r="G282" i="25"/>
  <c r="F282" i="25"/>
  <c r="E282" i="25"/>
  <c r="D282" i="25"/>
  <c r="C282" i="25"/>
  <c r="B282" i="25"/>
  <c r="A282" i="25"/>
  <c r="AF281" i="25"/>
  <c r="AE281" i="25"/>
  <c r="AD281" i="25"/>
  <c r="AC281" i="25"/>
  <c r="AB281" i="25"/>
  <c r="AA281" i="25"/>
  <c r="Z281" i="25"/>
  <c r="Y281" i="25"/>
  <c r="X281" i="25"/>
  <c r="W281" i="25"/>
  <c r="V281" i="25"/>
  <c r="U281" i="25"/>
  <c r="T281" i="25"/>
  <c r="S281" i="25"/>
  <c r="R281" i="25"/>
  <c r="Q281" i="25"/>
  <c r="P281" i="25"/>
  <c r="O281" i="25"/>
  <c r="N281" i="25"/>
  <c r="M281" i="25"/>
  <c r="L281" i="25"/>
  <c r="K281" i="25"/>
  <c r="J281" i="25"/>
  <c r="I281" i="25"/>
  <c r="H281" i="25"/>
  <c r="G281" i="25"/>
  <c r="F281" i="25"/>
  <c r="E281" i="25"/>
  <c r="D281" i="25"/>
  <c r="C281" i="25"/>
  <c r="B281" i="25"/>
  <c r="A281" i="25"/>
  <c r="B280" i="25"/>
  <c r="S255" i="25"/>
  <c r="AG250" i="25"/>
  <c r="C250" i="25"/>
  <c r="E249" i="25"/>
  <c r="E118" i="25" s="1"/>
  <c r="D249" i="25"/>
  <c r="C280" i="25" s="1"/>
  <c r="E248" i="25"/>
  <c r="F248" i="25" s="1"/>
  <c r="G248" i="25" s="1"/>
  <c r="H248" i="25" s="1"/>
  <c r="I248" i="25" s="1"/>
  <c r="J248" i="25" s="1"/>
  <c r="K248" i="25" s="1"/>
  <c r="L248" i="25" s="1"/>
  <c r="M248" i="25" s="1"/>
  <c r="N248" i="25" s="1"/>
  <c r="O248" i="25" s="1"/>
  <c r="P248" i="25" s="1"/>
  <c r="Q248" i="25" s="1"/>
  <c r="R248" i="25" s="1"/>
  <c r="S248" i="25" s="1"/>
  <c r="T248" i="25" s="1"/>
  <c r="U248" i="25" s="1"/>
  <c r="V248" i="25" s="1"/>
  <c r="W248" i="25" s="1"/>
  <c r="X248" i="25" s="1"/>
  <c r="Y248" i="25" s="1"/>
  <c r="Z248" i="25" s="1"/>
  <c r="AA248" i="25" s="1"/>
  <c r="AB248" i="25" s="1"/>
  <c r="AC248" i="25" s="1"/>
  <c r="AD248" i="25" s="1"/>
  <c r="AE248" i="25" s="1"/>
  <c r="AF248" i="25" s="1"/>
  <c r="B248" i="25" s="1"/>
  <c r="D248" i="25"/>
  <c r="D247" i="25"/>
  <c r="E247" i="25" s="1"/>
  <c r="F247" i="25" s="1"/>
  <c r="G247" i="25" s="1"/>
  <c r="H247" i="25" s="1"/>
  <c r="I247" i="25" s="1"/>
  <c r="J247" i="25" s="1"/>
  <c r="K247" i="25" s="1"/>
  <c r="L247" i="25" s="1"/>
  <c r="M247" i="25" s="1"/>
  <c r="N247" i="25" s="1"/>
  <c r="O247" i="25" s="1"/>
  <c r="P247" i="25" s="1"/>
  <c r="Q247" i="25" s="1"/>
  <c r="R247" i="25" s="1"/>
  <c r="S247" i="25" s="1"/>
  <c r="T247" i="25" s="1"/>
  <c r="U247" i="25" s="1"/>
  <c r="V247" i="25" s="1"/>
  <c r="W247" i="25" s="1"/>
  <c r="X247" i="25" s="1"/>
  <c r="Y247" i="25" s="1"/>
  <c r="Z247" i="25" s="1"/>
  <c r="AA247" i="25" s="1"/>
  <c r="AB247" i="25" s="1"/>
  <c r="AC247" i="25" s="1"/>
  <c r="AD247" i="25" s="1"/>
  <c r="AE247" i="25" s="1"/>
  <c r="AF247" i="25" s="1"/>
  <c r="B247" i="25" s="1"/>
  <c r="F246" i="25"/>
  <c r="G246" i="25" s="1"/>
  <c r="H246" i="25" s="1"/>
  <c r="I246" i="25" s="1"/>
  <c r="J246" i="25" s="1"/>
  <c r="K246" i="25" s="1"/>
  <c r="L246" i="25" s="1"/>
  <c r="M246" i="25" s="1"/>
  <c r="N246" i="25" s="1"/>
  <c r="O246" i="25" s="1"/>
  <c r="P246" i="25" s="1"/>
  <c r="Q246" i="25" s="1"/>
  <c r="R246" i="25" s="1"/>
  <c r="S246" i="25" s="1"/>
  <c r="T246" i="25" s="1"/>
  <c r="U246" i="25" s="1"/>
  <c r="V246" i="25" s="1"/>
  <c r="W246" i="25" s="1"/>
  <c r="X246" i="25" s="1"/>
  <c r="Y246" i="25" s="1"/>
  <c r="Z246" i="25" s="1"/>
  <c r="AA246" i="25" s="1"/>
  <c r="AB246" i="25" s="1"/>
  <c r="AC246" i="25" s="1"/>
  <c r="AD246" i="25" s="1"/>
  <c r="AE246" i="25" s="1"/>
  <c r="AF246" i="25" s="1"/>
  <c r="B246" i="25" s="1"/>
  <c r="E246" i="25"/>
  <c r="D246" i="25"/>
  <c r="E245" i="25"/>
  <c r="F245" i="25" s="1"/>
  <c r="G245" i="25" s="1"/>
  <c r="H245" i="25" s="1"/>
  <c r="I245" i="25" s="1"/>
  <c r="J245" i="25" s="1"/>
  <c r="K245" i="25" s="1"/>
  <c r="L245" i="25" s="1"/>
  <c r="M245" i="25" s="1"/>
  <c r="N245" i="25" s="1"/>
  <c r="O245" i="25" s="1"/>
  <c r="P245" i="25" s="1"/>
  <c r="Q245" i="25" s="1"/>
  <c r="R245" i="25" s="1"/>
  <c r="S245" i="25" s="1"/>
  <c r="T245" i="25" s="1"/>
  <c r="U245" i="25" s="1"/>
  <c r="V245" i="25" s="1"/>
  <c r="W245" i="25" s="1"/>
  <c r="X245" i="25" s="1"/>
  <c r="Y245" i="25" s="1"/>
  <c r="Z245" i="25" s="1"/>
  <c r="AA245" i="25" s="1"/>
  <c r="AB245" i="25" s="1"/>
  <c r="AC245" i="25" s="1"/>
  <c r="AD245" i="25" s="1"/>
  <c r="AE245" i="25" s="1"/>
  <c r="AF245" i="25" s="1"/>
  <c r="B245" i="25" s="1"/>
  <c r="D245" i="25"/>
  <c r="E244" i="25"/>
  <c r="F244" i="25" s="1"/>
  <c r="D244" i="25"/>
  <c r="AG242" i="25"/>
  <c r="AF242" i="25"/>
  <c r="AE242" i="25"/>
  <c r="AD242" i="25"/>
  <c r="AC242" i="25"/>
  <c r="AB242" i="25"/>
  <c r="AA242" i="25"/>
  <c r="Z242" i="25"/>
  <c r="Y242" i="25"/>
  <c r="X242" i="25"/>
  <c r="W242" i="25"/>
  <c r="V242" i="25"/>
  <c r="U242" i="25"/>
  <c r="T242" i="25"/>
  <c r="S242" i="25"/>
  <c r="R242" i="25"/>
  <c r="Q242" i="25"/>
  <c r="P242" i="25"/>
  <c r="O242" i="25"/>
  <c r="N242" i="25"/>
  <c r="M242" i="25"/>
  <c r="L242" i="25"/>
  <c r="K242" i="25"/>
  <c r="J242" i="25"/>
  <c r="I242" i="25"/>
  <c r="H242" i="25"/>
  <c r="G242" i="25"/>
  <c r="F242" i="25"/>
  <c r="E242" i="25"/>
  <c r="D242" i="25"/>
  <c r="C242" i="25"/>
  <c r="B242" i="25"/>
  <c r="AI130" i="25"/>
  <c r="AH130" i="25"/>
  <c r="AI129" i="25"/>
  <c r="AH129" i="25"/>
  <c r="AI128" i="25"/>
  <c r="AH128" i="25"/>
  <c r="AI127" i="25"/>
  <c r="AH127" i="25"/>
  <c r="AI126" i="25"/>
  <c r="AH126" i="25"/>
  <c r="AI123" i="25"/>
  <c r="AH123" i="25"/>
  <c r="AI122" i="25"/>
  <c r="AH122" i="25"/>
  <c r="AI121" i="25"/>
  <c r="AH121" i="25"/>
  <c r="AI120" i="25"/>
  <c r="AH120" i="25"/>
  <c r="AI119" i="25"/>
  <c r="AH119" i="25"/>
  <c r="D118" i="25"/>
  <c r="C118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I111" i="25"/>
  <c r="AH111" i="25"/>
  <c r="AI110" i="25"/>
  <c r="AH110" i="25"/>
  <c r="AI109" i="25"/>
  <c r="AH109" i="25"/>
  <c r="P107" i="25"/>
  <c r="AI106" i="25"/>
  <c r="AH106" i="25"/>
  <c r="AF105" i="25"/>
  <c r="AE105" i="25"/>
  <c r="AD105" i="25"/>
  <c r="AC105" i="25"/>
  <c r="AB105" i="25"/>
  <c r="R105" i="25"/>
  <c r="Q105" i="25"/>
  <c r="P105" i="25"/>
  <c r="O105" i="25"/>
  <c r="N105" i="25"/>
  <c r="M105" i="25"/>
  <c r="L105" i="25"/>
  <c r="K105" i="25"/>
  <c r="J105" i="25"/>
  <c r="I105" i="25"/>
  <c r="H105" i="25"/>
  <c r="H107" i="25" s="1"/>
  <c r="G105" i="25"/>
  <c r="F105" i="25"/>
  <c r="E105" i="25"/>
  <c r="D105" i="25"/>
  <c r="C105" i="25"/>
  <c r="B105" i="25"/>
  <c r="AF104" i="25"/>
  <c r="AE104" i="25"/>
  <c r="AD104" i="25"/>
  <c r="AC104" i="25"/>
  <c r="AB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AF103" i="25"/>
  <c r="AE103" i="25"/>
  <c r="AD103" i="25"/>
  <c r="AC103" i="25"/>
  <c r="AB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AI103" i="25" s="1"/>
  <c r="AF102" i="25"/>
  <c r="AE102" i="25"/>
  <c r="AD102" i="25"/>
  <c r="AC102" i="25"/>
  <c r="AB102" i="25"/>
  <c r="R102" i="25"/>
  <c r="Q102" i="25"/>
  <c r="P102" i="25"/>
  <c r="O102" i="25"/>
  <c r="N102" i="25"/>
  <c r="M102" i="25"/>
  <c r="L102" i="25"/>
  <c r="K102" i="25"/>
  <c r="J102" i="25"/>
  <c r="I102" i="25"/>
  <c r="AH102" i="25" s="1"/>
  <c r="H102" i="25"/>
  <c r="G102" i="25"/>
  <c r="F102" i="25"/>
  <c r="E102" i="25"/>
  <c r="D102" i="25"/>
  <c r="C102" i="25"/>
  <c r="B102" i="25"/>
  <c r="AI101" i="25"/>
  <c r="AF101" i="25"/>
  <c r="AE101" i="25"/>
  <c r="AD101" i="25"/>
  <c r="AC101" i="25"/>
  <c r="AB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AI98" i="25"/>
  <c r="AH98" i="25"/>
  <c r="AI96" i="25"/>
  <c r="AH96" i="25"/>
  <c r="AG96" i="25"/>
  <c r="AI95" i="25"/>
  <c r="AH95" i="25"/>
  <c r="AI94" i="25"/>
  <c r="AH94" i="25"/>
  <c r="AI93" i="25"/>
  <c r="AH93" i="25"/>
  <c r="AG92" i="25"/>
  <c r="AF92" i="25"/>
  <c r="AE5" i="25" s="1"/>
  <c r="AE92" i="25"/>
  <c r="AD5" i="25" s="1"/>
  <c r="AD92" i="25"/>
  <c r="AC5" i="25" s="1"/>
  <c r="AC92" i="25"/>
  <c r="AB5" i="25" s="1"/>
  <c r="AB92" i="25"/>
  <c r="W5" i="25"/>
  <c r="R92" i="25"/>
  <c r="Q92" i="25"/>
  <c r="P5" i="25" s="1"/>
  <c r="P92" i="25"/>
  <c r="O5" i="25" s="1"/>
  <c r="O92" i="25"/>
  <c r="N5" i="25" s="1"/>
  <c r="N92" i="25"/>
  <c r="M5" i="25" s="1"/>
  <c r="M92" i="25"/>
  <c r="L5" i="25" s="1"/>
  <c r="L92" i="25"/>
  <c r="K92" i="25"/>
  <c r="J5" i="25" s="1"/>
  <c r="J92" i="25"/>
  <c r="I5" i="25" s="1"/>
  <c r="I92" i="25"/>
  <c r="H5" i="25" s="1"/>
  <c r="H92" i="25"/>
  <c r="G5" i="25" s="1"/>
  <c r="G92" i="25"/>
  <c r="F5" i="25" s="1"/>
  <c r="F92" i="25"/>
  <c r="E5" i="25" s="1"/>
  <c r="E92" i="25"/>
  <c r="D5" i="25" s="1"/>
  <c r="D92" i="25"/>
  <c r="C92" i="25"/>
  <c r="B5" i="25" s="1"/>
  <c r="B92" i="25"/>
  <c r="AF5" i="25" s="1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I83" i="25"/>
  <c r="AH83" i="25"/>
  <c r="AI82" i="25"/>
  <c r="AH82" i="25"/>
  <c r="AI81" i="25"/>
  <c r="AH81" i="25"/>
  <c r="AG80" i="25"/>
  <c r="AG4" i="25" s="1"/>
  <c r="AF80" i="25"/>
  <c r="AE80" i="25"/>
  <c r="AD80" i="25"/>
  <c r="AC80" i="25"/>
  <c r="AB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I79" i="25"/>
  <c r="AH79" i="25"/>
  <c r="AI78" i="25"/>
  <c r="AH78" i="25"/>
  <c r="AI77" i="25"/>
  <c r="AH77" i="25"/>
  <c r="AG76" i="25"/>
  <c r="AG3" i="25" s="1"/>
  <c r="AF76" i="25"/>
  <c r="AE76" i="25"/>
  <c r="AD76" i="25"/>
  <c r="AC76" i="25"/>
  <c r="AB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AI75" i="25"/>
  <c r="AH75" i="25"/>
  <c r="AG75" i="25"/>
  <c r="AI74" i="25"/>
  <c r="AH74" i="25"/>
  <c r="AI73" i="25"/>
  <c r="AH73" i="25"/>
  <c r="AI72" i="25"/>
  <c r="AH72" i="25"/>
  <c r="AI71" i="25"/>
  <c r="AH71" i="25"/>
  <c r="AI70" i="25"/>
  <c r="AH70" i="25"/>
  <c r="AI69" i="25"/>
  <c r="AH69" i="25"/>
  <c r="AI68" i="25"/>
  <c r="AH68" i="25"/>
  <c r="AI67" i="25"/>
  <c r="AH67" i="25"/>
  <c r="AI66" i="25"/>
  <c r="AH66" i="25"/>
  <c r="AI65" i="25"/>
  <c r="AH65" i="25"/>
  <c r="AI64" i="25"/>
  <c r="AH64" i="25"/>
  <c r="AI63" i="25"/>
  <c r="AH63" i="25"/>
  <c r="AG62" i="25"/>
  <c r="AF62" i="25"/>
  <c r="AE62" i="25"/>
  <c r="AD62" i="25"/>
  <c r="AC62" i="25"/>
  <c r="AB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AI61" i="25"/>
  <c r="AH61" i="25"/>
  <c r="AI60" i="25"/>
  <c r="AH60" i="25"/>
  <c r="AI59" i="25"/>
  <c r="AH59" i="25"/>
  <c r="AG58" i="25"/>
  <c r="AG2" i="25" s="1"/>
  <c r="AF58" i="25"/>
  <c r="AE58" i="25"/>
  <c r="AD58" i="25"/>
  <c r="AC58" i="25"/>
  <c r="AB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B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Z5" i="25"/>
  <c r="X5" i="25"/>
  <c r="V5" i="25"/>
  <c r="U5" i="25"/>
  <c r="T5" i="25"/>
  <c r="R5" i="25"/>
  <c r="K4" i="25"/>
  <c r="E4" i="25"/>
  <c r="H4" i="25" s="1"/>
  <c r="B4" i="25"/>
  <c r="S256" i="25" s="1"/>
  <c r="AF107" i="25" l="1"/>
  <c r="AF108" i="25" s="1"/>
  <c r="AF97" i="25"/>
  <c r="AF99" i="25" s="1"/>
  <c r="AX259" i="25" s="1"/>
  <c r="AE97" i="25"/>
  <c r="AE99" i="25" s="1"/>
  <c r="AW259" i="25" s="1"/>
  <c r="AC97" i="25"/>
  <c r="AC99" i="25" s="1"/>
  <c r="AD97" i="25"/>
  <c r="AD99" i="25" s="1"/>
  <c r="AV259" i="25" s="1"/>
  <c r="AB107" i="25"/>
  <c r="R107" i="25"/>
  <c r="R97" i="25"/>
  <c r="R99" i="25" s="1"/>
  <c r="Q107" i="25"/>
  <c r="Q97" i="25"/>
  <c r="Q99" i="25" s="1"/>
  <c r="AI259" i="25" s="1"/>
  <c r="P108" i="25"/>
  <c r="P97" i="25"/>
  <c r="P99" i="25" s="1"/>
  <c r="AH259" i="25" s="1"/>
  <c r="O97" i="25"/>
  <c r="O99" i="25" s="1"/>
  <c r="AG259" i="25" s="1"/>
  <c r="N97" i="25"/>
  <c r="N99" i="25" s="1"/>
  <c r="AF259" i="25" s="1"/>
  <c r="M97" i="25"/>
  <c r="M99" i="25" s="1"/>
  <c r="AE259" i="25" s="1"/>
  <c r="L107" i="25"/>
  <c r="K107" i="25"/>
  <c r="K97" i="25"/>
  <c r="K99" i="25" s="1"/>
  <c r="AC259" i="25" s="1"/>
  <c r="J107" i="25"/>
  <c r="H108" i="25"/>
  <c r="G97" i="25"/>
  <c r="G99" i="25" s="1"/>
  <c r="Y259" i="25" s="1"/>
  <c r="AH76" i="25"/>
  <c r="E97" i="25"/>
  <c r="E99" i="25" s="1"/>
  <c r="W259" i="25" s="1"/>
  <c r="H97" i="25"/>
  <c r="H99" i="25" s="1"/>
  <c r="H100" i="25" s="1"/>
  <c r="H7" i="25" s="1"/>
  <c r="AI80" i="25"/>
  <c r="J97" i="25"/>
  <c r="J99" i="25" s="1"/>
  <c r="AB259" i="25" s="1"/>
  <c r="F97" i="25"/>
  <c r="F99" i="25" s="1"/>
  <c r="X259" i="25" s="1"/>
  <c r="AI58" i="25"/>
  <c r="D107" i="25"/>
  <c r="AI104" i="25"/>
  <c r="C107" i="25"/>
  <c r="C97" i="25"/>
  <c r="C99" i="25" s="1"/>
  <c r="U259" i="25" s="1"/>
  <c r="AR259" i="25"/>
  <c r="Z7" i="25"/>
  <c r="AK259" i="25"/>
  <c r="S7" i="25"/>
  <c r="AS259" i="25"/>
  <c r="AA7" i="25"/>
  <c r="AQ259" i="25"/>
  <c r="Y7" i="25"/>
  <c r="AM259" i="25"/>
  <c r="AU259" i="25"/>
  <c r="B108" i="25"/>
  <c r="AN259" i="25"/>
  <c r="X7" i="25"/>
  <c r="AI76" i="25"/>
  <c r="C5" i="25"/>
  <c r="D108" i="25"/>
  <c r="K5" i="25"/>
  <c r="L108" i="25"/>
  <c r="S5" i="25"/>
  <c r="AA5" i="25"/>
  <c r="AB108" i="25"/>
  <c r="B107" i="25"/>
  <c r="AH101" i="25"/>
  <c r="AI102" i="25"/>
  <c r="E250" i="25"/>
  <c r="D97" i="25"/>
  <c r="D99" i="25" s="1"/>
  <c r="L97" i="25"/>
  <c r="L99" i="25" s="1"/>
  <c r="AB97" i="25"/>
  <c r="AB99" i="25" s="1"/>
  <c r="I107" i="25"/>
  <c r="I108" i="25" s="1"/>
  <c r="AP259" i="25"/>
  <c r="D280" i="25"/>
  <c r="F249" i="25"/>
  <c r="AG97" i="25"/>
  <c r="E107" i="25"/>
  <c r="M107" i="25"/>
  <c r="M108" i="25" s="1"/>
  <c r="U7" i="25"/>
  <c r="AC107" i="25"/>
  <c r="AC108" i="25" s="1"/>
  <c r="K108" i="25"/>
  <c r="G244" i="25"/>
  <c r="F118" i="25"/>
  <c r="F250" i="25"/>
  <c r="I97" i="25"/>
  <c r="I99" i="25" s="1"/>
  <c r="F107" i="25"/>
  <c r="F108" i="25" s="1"/>
  <c r="N107" i="25"/>
  <c r="N108" i="25" s="1"/>
  <c r="V7" i="25"/>
  <c r="AD107" i="25"/>
  <c r="AD108" i="25" s="1"/>
  <c r="AH80" i="25"/>
  <c r="AO259" i="25"/>
  <c r="AI62" i="25"/>
  <c r="Q108" i="25"/>
  <c r="AG99" i="25"/>
  <c r="G107" i="25"/>
  <c r="G108" i="25" s="1"/>
  <c r="O107" i="25"/>
  <c r="O108" i="25" s="1"/>
  <c r="AE107" i="25"/>
  <c r="AE108" i="25" s="1"/>
  <c r="C108" i="25"/>
  <c r="AG6" i="25"/>
  <c r="AI92" i="25"/>
  <c r="Q5" i="25"/>
  <c r="R108" i="25"/>
  <c r="Y5" i="25"/>
  <c r="AH92" i="25"/>
  <c r="AI105" i="25"/>
  <c r="J108" i="25"/>
  <c r="D250" i="25"/>
  <c r="D256" i="25"/>
  <c r="AH58" i="25"/>
  <c r="AH62" i="25"/>
  <c r="B97" i="25"/>
  <c r="AH103" i="25"/>
  <c r="AH104" i="25"/>
  <c r="AH105" i="25"/>
  <c r="AF100" i="25" l="1"/>
  <c r="AF7" i="25" s="1"/>
  <c r="AD100" i="25"/>
  <c r="AD7" i="25" s="1"/>
  <c r="R100" i="25"/>
  <c r="R7" i="25" s="1"/>
  <c r="AJ259" i="25"/>
  <c r="Q100" i="25"/>
  <c r="Q7" i="25" s="1"/>
  <c r="P100" i="25"/>
  <c r="P7" i="25" s="1"/>
  <c r="M100" i="25"/>
  <c r="M7" i="25" s="1"/>
  <c r="K100" i="25"/>
  <c r="K7" i="25" s="1"/>
  <c r="J100" i="25"/>
  <c r="J7" i="25" s="1"/>
  <c r="B254" i="25"/>
  <c r="Z259" i="25"/>
  <c r="E100" i="25"/>
  <c r="E7" i="25" s="1"/>
  <c r="E108" i="25"/>
  <c r="F100" i="25"/>
  <c r="F7" i="25" s="1"/>
  <c r="C254" i="25"/>
  <c r="C100" i="25"/>
  <c r="C7" i="25" s="1"/>
  <c r="G249" i="25"/>
  <c r="E280" i="25"/>
  <c r="AE100" i="25"/>
  <c r="AE7" i="25" s="1"/>
  <c r="H244" i="25"/>
  <c r="G118" i="25"/>
  <c r="G250" i="25"/>
  <c r="AI107" i="25"/>
  <c r="AH107" i="25"/>
  <c r="O100" i="25"/>
  <c r="O7" i="25" s="1"/>
  <c r="N100" i="25"/>
  <c r="N7" i="25" s="1"/>
  <c r="AI97" i="25"/>
  <c r="AH97" i="25"/>
  <c r="B99" i="25"/>
  <c r="AI108" i="25"/>
  <c r="AL259" i="25"/>
  <c r="T7" i="25"/>
  <c r="AC100" i="25"/>
  <c r="AC7" i="25" s="1"/>
  <c r="AD259" i="25"/>
  <c r="L100" i="25"/>
  <c r="L7" i="25" s="1"/>
  <c r="AT259" i="25"/>
  <c r="AB100" i="25"/>
  <c r="AB7" i="25" s="1"/>
  <c r="W7" i="25"/>
  <c r="V259" i="25"/>
  <c r="D100" i="25"/>
  <c r="D7" i="25" s="1"/>
  <c r="G100" i="25"/>
  <c r="G7" i="25" s="1"/>
  <c r="AA259" i="25"/>
  <c r="I100" i="25"/>
  <c r="I7" i="25" s="1"/>
  <c r="K6" i="25" l="1"/>
  <c r="I244" i="25"/>
  <c r="H118" i="25"/>
  <c r="H250" i="25"/>
  <c r="AH108" i="25"/>
  <c r="T259" i="25"/>
  <c r="B100" i="25"/>
  <c r="AH99" i="25"/>
  <c r="AI99" i="25"/>
  <c r="F280" i="25"/>
  <c r="H249" i="25"/>
  <c r="AB123" i="24"/>
  <c r="B7" i="25" l="1"/>
  <c r="A7" i="25" s="1"/>
  <c r="AI100" i="25"/>
  <c r="AH100" i="25"/>
  <c r="G280" i="25"/>
  <c r="I249" i="25"/>
  <c r="I118" i="25"/>
  <c r="I250" i="25"/>
  <c r="J244" i="25"/>
  <c r="AA123" i="24"/>
  <c r="AA58" i="24"/>
  <c r="AA62" i="24"/>
  <c r="AA76" i="24"/>
  <c r="AA80" i="24"/>
  <c r="AA92" i="24"/>
  <c r="AA101" i="24"/>
  <c r="AA107" i="24" s="1"/>
  <c r="AA102" i="24"/>
  <c r="AA103" i="24"/>
  <c r="AA104" i="24"/>
  <c r="AA105" i="24"/>
  <c r="AA118" i="24"/>
  <c r="Z123" i="24"/>
  <c r="Z58" i="24"/>
  <c r="Z62" i="24"/>
  <c r="Z76" i="24"/>
  <c r="Z80" i="24"/>
  <c r="Z92" i="24"/>
  <c r="Z97" i="24" s="1"/>
  <c r="Z99" i="24" s="1"/>
  <c r="Z101" i="24"/>
  <c r="Z102" i="24"/>
  <c r="Z103" i="24"/>
  <c r="Z104" i="24"/>
  <c r="Z105" i="24"/>
  <c r="Z118" i="24"/>
  <c r="Y123" i="24"/>
  <c r="Y118" i="24" s="1"/>
  <c r="Y58" i="24"/>
  <c r="Y62" i="24"/>
  <c r="Y76" i="24"/>
  <c r="Y80" i="24"/>
  <c r="Y92" i="24"/>
  <c r="Y97" i="24" s="1"/>
  <c r="Y99" i="24" s="1"/>
  <c r="Y101" i="24"/>
  <c r="Y102" i="24"/>
  <c r="Y103" i="24"/>
  <c r="Y104" i="24"/>
  <c r="Y105" i="24"/>
  <c r="X123" i="24"/>
  <c r="X118" i="24"/>
  <c r="X105" i="24"/>
  <c r="X104" i="24"/>
  <c r="X103" i="24"/>
  <c r="X102" i="24"/>
  <c r="X101" i="24"/>
  <c r="X92" i="24"/>
  <c r="X80" i="24"/>
  <c r="X76" i="24"/>
  <c r="X62" i="24"/>
  <c r="X58" i="24"/>
  <c r="W123" i="24"/>
  <c r="W118" i="24" s="1"/>
  <c r="W58" i="24"/>
  <c r="W62" i="24"/>
  <c r="W76" i="24"/>
  <c r="W80" i="24"/>
  <c r="W92" i="24"/>
  <c r="W108" i="24" s="1"/>
  <c r="W101" i="24"/>
  <c r="W102" i="24"/>
  <c r="W103" i="24"/>
  <c r="W104" i="24"/>
  <c r="W107" i="24" s="1"/>
  <c r="W105" i="24"/>
  <c r="V123" i="24"/>
  <c r="V58" i="24"/>
  <c r="V62" i="24"/>
  <c r="V76" i="24"/>
  <c r="V80" i="24"/>
  <c r="V92" i="24"/>
  <c r="V101" i="24"/>
  <c r="V102" i="24"/>
  <c r="V103" i="24"/>
  <c r="V104" i="24"/>
  <c r="V105" i="24"/>
  <c r="V118" i="24"/>
  <c r="U123" i="24"/>
  <c r="U58" i="24"/>
  <c r="U62" i="24"/>
  <c r="U76" i="24"/>
  <c r="U80" i="24"/>
  <c r="U92" i="24"/>
  <c r="U101" i="24"/>
  <c r="U102" i="24"/>
  <c r="U103" i="24"/>
  <c r="U104" i="24"/>
  <c r="U105" i="24"/>
  <c r="U118" i="24"/>
  <c r="T123" i="24"/>
  <c r="T118" i="24" s="1"/>
  <c r="T58" i="24"/>
  <c r="T62" i="24"/>
  <c r="T76" i="24"/>
  <c r="T80" i="24"/>
  <c r="T92" i="24"/>
  <c r="T101" i="24"/>
  <c r="T102" i="24"/>
  <c r="T103" i="24"/>
  <c r="T104" i="24"/>
  <c r="T107" i="24" s="1"/>
  <c r="T105" i="24"/>
  <c r="S123" i="24"/>
  <c r="K244" i="25" l="1"/>
  <c r="H280" i="25"/>
  <c r="J249" i="25"/>
  <c r="J250" i="25" s="1"/>
  <c r="X97" i="24"/>
  <c r="X99" i="24" s="1"/>
  <c r="X100" i="24" s="1"/>
  <c r="X107" i="24"/>
  <c r="X108" i="24" s="1"/>
  <c r="Z107" i="24"/>
  <c r="Z100" i="24" s="1"/>
  <c r="AA97" i="24"/>
  <c r="AA99" i="24" s="1"/>
  <c r="AA100" i="24" s="1"/>
  <c r="AA108" i="24"/>
  <c r="Z108" i="24"/>
  <c r="Y107" i="24"/>
  <c r="Y100" i="24" s="1"/>
  <c r="Y108" i="24"/>
  <c r="W97" i="24"/>
  <c r="W99" i="24" s="1"/>
  <c r="W100" i="24" s="1"/>
  <c r="V97" i="24"/>
  <c r="V99" i="24" s="1"/>
  <c r="V100" i="24" s="1"/>
  <c r="V107" i="24"/>
  <c r="V108" i="24"/>
  <c r="U107" i="24"/>
  <c r="U108" i="24"/>
  <c r="U97" i="24"/>
  <c r="U99" i="24" s="1"/>
  <c r="U100" i="24" s="1"/>
  <c r="T108" i="24"/>
  <c r="T97" i="24"/>
  <c r="T99" i="24" s="1"/>
  <c r="T100" i="24" s="1"/>
  <c r="N57" i="24"/>
  <c r="O57" i="24"/>
  <c r="L244" i="25" l="1"/>
  <c r="K249" i="25"/>
  <c r="I280" i="25"/>
  <c r="J118" i="25"/>
  <c r="L123" i="24"/>
  <c r="M57" i="24"/>
  <c r="L57" i="24"/>
  <c r="K123" i="24"/>
  <c r="J121" i="24"/>
  <c r="J123" i="24"/>
  <c r="K57" i="24"/>
  <c r="J57" i="24"/>
  <c r="I123" i="24"/>
  <c r="I121" i="24"/>
  <c r="I57" i="24"/>
  <c r="H123" i="24"/>
  <c r="H121" i="24"/>
  <c r="H57" i="24"/>
  <c r="G123" i="24"/>
  <c r="G121" i="24"/>
  <c r="G57" i="24"/>
  <c r="F121" i="24"/>
  <c r="F57" i="24"/>
  <c r="E123" i="24"/>
  <c r="E121" i="24"/>
  <c r="E57" i="24"/>
  <c r="L250" i="25" l="1"/>
  <c r="M244" i="25"/>
  <c r="L118" i="25"/>
  <c r="J280" i="25"/>
  <c r="L249" i="25"/>
  <c r="K250" i="25"/>
  <c r="K118" i="25"/>
  <c r="D123" i="24"/>
  <c r="D121" i="24"/>
  <c r="D57" i="24"/>
  <c r="D58" i="24"/>
  <c r="D62" i="24"/>
  <c r="D76" i="24"/>
  <c r="D80" i="24"/>
  <c r="K280" i="25" l="1"/>
  <c r="M249" i="25"/>
  <c r="N244" i="25"/>
  <c r="M118" i="25"/>
  <c r="M250" i="25"/>
  <c r="C123" i="24"/>
  <c r="AI123" i="24" s="1"/>
  <c r="C121" i="24"/>
  <c r="AI121" i="24" s="1"/>
  <c r="C57" i="24"/>
  <c r="C58" i="24"/>
  <c r="C62" i="24"/>
  <c r="C76" i="24"/>
  <c r="C80" i="24"/>
  <c r="C92" i="24"/>
  <c r="B5" i="24" s="1"/>
  <c r="C101" i="24"/>
  <c r="C102" i="24"/>
  <c r="C103" i="24"/>
  <c r="C104" i="24"/>
  <c r="C105" i="24"/>
  <c r="C107" i="24"/>
  <c r="B123" i="24"/>
  <c r="B121" i="24"/>
  <c r="B57" i="24"/>
  <c r="B105" i="24"/>
  <c r="B104" i="24"/>
  <c r="B103" i="24"/>
  <c r="B102" i="24"/>
  <c r="B101" i="24"/>
  <c r="B92" i="24"/>
  <c r="AF5" i="24" s="1"/>
  <c r="B80" i="24"/>
  <c r="B76" i="24"/>
  <c r="B62" i="24"/>
  <c r="B58" i="24"/>
  <c r="AF284" i="24"/>
  <c r="AE284" i="24"/>
  <c r="AD284" i="24"/>
  <c r="AC284" i="24"/>
  <c r="AB284" i="24"/>
  <c r="AA284" i="24"/>
  <c r="Z284" i="24"/>
  <c r="Y284" i="24"/>
  <c r="X284" i="24"/>
  <c r="W284" i="24"/>
  <c r="V284" i="24"/>
  <c r="U284" i="24"/>
  <c r="T284" i="24"/>
  <c r="S284" i="24"/>
  <c r="R284" i="24"/>
  <c r="Q284" i="24"/>
  <c r="P284" i="24"/>
  <c r="O284" i="24"/>
  <c r="N284" i="24"/>
  <c r="M284" i="24"/>
  <c r="L284" i="24"/>
  <c r="K284" i="24"/>
  <c r="J284" i="24"/>
  <c r="I284" i="24"/>
  <c r="H284" i="24"/>
  <c r="G284" i="24"/>
  <c r="F284" i="24"/>
  <c r="E284" i="24"/>
  <c r="D284" i="24"/>
  <c r="C284" i="24"/>
  <c r="B284" i="24"/>
  <c r="A284" i="24"/>
  <c r="AF283" i="24"/>
  <c r="AE283" i="24"/>
  <c r="AD283" i="24"/>
  <c r="AC283" i="24"/>
  <c r="AB283" i="24"/>
  <c r="AA283" i="24"/>
  <c r="Z283" i="24"/>
  <c r="Y283" i="24"/>
  <c r="X283" i="24"/>
  <c r="W283" i="24"/>
  <c r="V283" i="24"/>
  <c r="U283" i="24"/>
  <c r="T283" i="24"/>
  <c r="S283" i="24"/>
  <c r="R283" i="24"/>
  <c r="Q283" i="24"/>
  <c r="P283" i="24"/>
  <c r="O283" i="24"/>
  <c r="N283" i="24"/>
  <c r="M283" i="24"/>
  <c r="L283" i="24"/>
  <c r="K283" i="24"/>
  <c r="J283" i="24"/>
  <c r="I283" i="24"/>
  <c r="H283" i="24"/>
  <c r="G283" i="24"/>
  <c r="F283" i="24"/>
  <c r="E283" i="24"/>
  <c r="D283" i="24"/>
  <c r="C283" i="24"/>
  <c r="B283" i="24"/>
  <c r="A283" i="24"/>
  <c r="AF282" i="24"/>
  <c r="AE282" i="24"/>
  <c r="AD282" i="24"/>
  <c r="AC282" i="24"/>
  <c r="AB282" i="24"/>
  <c r="AA282" i="24"/>
  <c r="Z282" i="24"/>
  <c r="Y282" i="24"/>
  <c r="X282" i="24"/>
  <c r="W282" i="24"/>
  <c r="V282" i="24"/>
  <c r="U282" i="24"/>
  <c r="T282" i="24"/>
  <c r="S282" i="24"/>
  <c r="R282" i="24"/>
  <c r="Q282" i="24"/>
  <c r="P282" i="24"/>
  <c r="O282" i="24"/>
  <c r="N282" i="24"/>
  <c r="M282" i="24"/>
  <c r="L282" i="24"/>
  <c r="K282" i="24"/>
  <c r="J282" i="24"/>
  <c r="I282" i="24"/>
  <c r="H282" i="24"/>
  <c r="G282" i="24"/>
  <c r="F282" i="24"/>
  <c r="E282" i="24"/>
  <c r="D282" i="24"/>
  <c r="C282" i="24"/>
  <c r="B282" i="24"/>
  <c r="A282" i="24"/>
  <c r="AF281" i="24"/>
  <c r="AE281" i="24"/>
  <c r="AD281" i="24"/>
  <c r="AC281" i="24"/>
  <c r="AB281" i="24"/>
  <c r="AA281" i="24"/>
  <c r="Z281" i="24"/>
  <c r="Y281" i="24"/>
  <c r="X281" i="24"/>
  <c r="W281" i="24"/>
  <c r="V281" i="24"/>
  <c r="U281" i="24"/>
  <c r="T281" i="24"/>
  <c r="S281" i="24"/>
  <c r="R281" i="24"/>
  <c r="Q281" i="24"/>
  <c r="P281" i="24"/>
  <c r="O281" i="24"/>
  <c r="N281" i="24"/>
  <c r="M281" i="24"/>
  <c r="L281" i="24"/>
  <c r="K281" i="24"/>
  <c r="J281" i="24"/>
  <c r="I281" i="24"/>
  <c r="H281" i="24"/>
  <c r="G281" i="24"/>
  <c r="F281" i="24"/>
  <c r="E281" i="24"/>
  <c r="D281" i="24"/>
  <c r="C281" i="24"/>
  <c r="B281" i="24"/>
  <c r="A281" i="24"/>
  <c r="B280" i="24"/>
  <c r="S255" i="24"/>
  <c r="AG250" i="24"/>
  <c r="C250" i="24"/>
  <c r="D249" i="24"/>
  <c r="C280" i="24" s="1"/>
  <c r="E248" i="24"/>
  <c r="F248" i="24" s="1"/>
  <c r="G248" i="24" s="1"/>
  <c r="H248" i="24" s="1"/>
  <c r="I248" i="24" s="1"/>
  <c r="J248" i="24" s="1"/>
  <c r="K248" i="24" s="1"/>
  <c r="L248" i="24" s="1"/>
  <c r="M248" i="24" s="1"/>
  <c r="N248" i="24" s="1"/>
  <c r="O248" i="24" s="1"/>
  <c r="P248" i="24" s="1"/>
  <c r="Q248" i="24" s="1"/>
  <c r="R248" i="24" s="1"/>
  <c r="S248" i="24" s="1"/>
  <c r="T248" i="24" s="1"/>
  <c r="U248" i="24" s="1"/>
  <c r="V248" i="24" s="1"/>
  <c r="W248" i="24" s="1"/>
  <c r="X248" i="24" s="1"/>
  <c r="Y248" i="24" s="1"/>
  <c r="Z248" i="24" s="1"/>
  <c r="AA248" i="24" s="1"/>
  <c r="AB248" i="24" s="1"/>
  <c r="AC248" i="24" s="1"/>
  <c r="AD248" i="24" s="1"/>
  <c r="AE248" i="24" s="1"/>
  <c r="AF248" i="24" s="1"/>
  <c r="B248" i="24" s="1"/>
  <c r="D248" i="24"/>
  <c r="H247" i="24"/>
  <c r="I247" i="24" s="1"/>
  <c r="J247" i="24" s="1"/>
  <c r="K247" i="24" s="1"/>
  <c r="L247" i="24" s="1"/>
  <c r="M247" i="24" s="1"/>
  <c r="N247" i="24" s="1"/>
  <c r="O247" i="24" s="1"/>
  <c r="P247" i="24" s="1"/>
  <c r="Q247" i="24" s="1"/>
  <c r="R247" i="24" s="1"/>
  <c r="S247" i="24" s="1"/>
  <c r="T247" i="24" s="1"/>
  <c r="U247" i="24" s="1"/>
  <c r="V247" i="24" s="1"/>
  <c r="W247" i="24" s="1"/>
  <c r="X247" i="24" s="1"/>
  <c r="Y247" i="24" s="1"/>
  <c r="Z247" i="24" s="1"/>
  <c r="AA247" i="24" s="1"/>
  <c r="AB247" i="24" s="1"/>
  <c r="AC247" i="24" s="1"/>
  <c r="AD247" i="24" s="1"/>
  <c r="AE247" i="24" s="1"/>
  <c r="AF247" i="24" s="1"/>
  <c r="B247" i="24" s="1"/>
  <c r="G247" i="24"/>
  <c r="F247" i="24"/>
  <c r="E247" i="24"/>
  <c r="D247" i="24"/>
  <c r="F246" i="24"/>
  <c r="G246" i="24" s="1"/>
  <c r="H246" i="24" s="1"/>
  <c r="I246" i="24" s="1"/>
  <c r="J246" i="24" s="1"/>
  <c r="K246" i="24" s="1"/>
  <c r="L246" i="24" s="1"/>
  <c r="M246" i="24" s="1"/>
  <c r="N246" i="24" s="1"/>
  <c r="O246" i="24" s="1"/>
  <c r="P246" i="24" s="1"/>
  <c r="Q246" i="24" s="1"/>
  <c r="R246" i="24" s="1"/>
  <c r="S246" i="24" s="1"/>
  <c r="T246" i="24" s="1"/>
  <c r="U246" i="24" s="1"/>
  <c r="V246" i="24" s="1"/>
  <c r="W246" i="24" s="1"/>
  <c r="X246" i="24" s="1"/>
  <c r="Y246" i="24" s="1"/>
  <c r="Z246" i="24" s="1"/>
  <c r="AA246" i="24" s="1"/>
  <c r="AB246" i="24" s="1"/>
  <c r="AC246" i="24" s="1"/>
  <c r="AD246" i="24" s="1"/>
  <c r="AE246" i="24" s="1"/>
  <c r="AF246" i="24" s="1"/>
  <c r="B246" i="24" s="1"/>
  <c r="E246" i="24"/>
  <c r="D246" i="24"/>
  <c r="D245" i="24"/>
  <c r="D250" i="24" s="1"/>
  <c r="E244" i="24"/>
  <c r="F244" i="24" s="1"/>
  <c r="D244" i="24"/>
  <c r="AG242" i="24"/>
  <c r="AF242" i="24"/>
  <c r="AE242" i="24"/>
  <c r="AD242" i="24"/>
  <c r="AC242" i="24"/>
  <c r="AB242" i="24"/>
  <c r="AA242" i="24"/>
  <c r="Z242" i="24"/>
  <c r="Y242" i="24"/>
  <c r="X242" i="24"/>
  <c r="W242" i="24"/>
  <c r="V242" i="24"/>
  <c r="U242" i="24"/>
  <c r="T242" i="24"/>
  <c r="S242" i="24"/>
  <c r="R242" i="24"/>
  <c r="Q242" i="24"/>
  <c r="P242" i="24"/>
  <c r="O242" i="24"/>
  <c r="N242" i="24"/>
  <c r="M242" i="24"/>
  <c r="L242" i="24"/>
  <c r="K242" i="24"/>
  <c r="J242" i="24"/>
  <c r="I242" i="24"/>
  <c r="H242" i="24"/>
  <c r="G242" i="24"/>
  <c r="F242" i="24"/>
  <c r="E242" i="24"/>
  <c r="D242" i="24"/>
  <c r="C242" i="24"/>
  <c r="B242" i="24"/>
  <c r="AI130" i="24"/>
  <c r="AH130" i="24"/>
  <c r="AI129" i="24"/>
  <c r="AH129" i="24"/>
  <c r="AI128" i="24"/>
  <c r="AH128" i="24"/>
  <c r="AI127" i="24"/>
  <c r="AH127" i="24"/>
  <c r="AI126" i="24"/>
  <c r="AH126" i="24"/>
  <c r="AH123" i="24"/>
  <c r="AI122" i="24"/>
  <c r="AH122" i="24"/>
  <c r="AH121" i="24"/>
  <c r="AI120" i="24"/>
  <c r="AH120" i="24"/>
  <c r="AI119" i="24"/>
  <c r="AH119" i="24"/>
  <c r="D118" i="24"/>
  <c r="AI117" i="24"/>
  <c r="AH117" i="24"/>
  <c r="AI116" i="24"/>
  <c r="AH116" i="24"/>
  <c r="AI115" i="24"/>
  <c r="AH115" i="24"/>
  <c r="AI114" i="24"/>
  <c r="AH114" i="24"/>
  <c r="AI113" i="24"/>
  <c r="AH113" i="24"/>
  <c r="AI112" i="24"/>
  <c r="AH112" i="24"/>
  <c r="AI111" i="24"/>
  <c r="AH111" i="24"/>
  <c r="AI110" i="24"/>
  <c r="AH110" i="24"/>
  <c r="AI109" i="24"/>
  <c r="AH109" i="24"/>
  <c r="AI106" i="24"/>
  <c r="AH106" i="24"/>
  <c r="AF105" i="24"/>
  <c r="AF107" i="24" s="1"/>
  <c r="AE105" i="24"/>
  <c r="AD105" i="24"/>
  <c r="AC105" i="24"/>
  <c r="AB105" i="24"/>
  <c r="S105" i="24"/>
  <c r="R105" i="24"/>
  <c r="Q105" i="24"/>
  <c r="P105" i="24"/>
  <c r="O105" i="24"/>
  <c r="N105" i="24"/>
  <c r="M105" i="24"/>
  <c r="L105" i="24"/>
  <c r="K105" i="24"/>
  <c r="K107" i="24" s="1"/>
  <c r="J105" i="24"/>
  <c r="I105" i="24"/>
  <c r="H105" i="24"/>
  <c r="G105" i="24"/>
  <c r="F105" i="24"/>
  <c r="E105" i="24"/>
  <c r="D105" i="24"/>
  <c r="AF104" i="24"/>
  <c r="AE104" i="24"/>
  <c r="AD104" i="24"/>
  <c r="AC104" i="24"/>
  <c r="AB104" i="24"/>
  <c r="S104" i="24"/>
  <c r="R104" i="24"/>
  <c r="Q104" i="24"/>
  <c r="P104" i="24"/>
  <c r="P107" i="24" s="1"/>
  <c r="O104" i="24"/>
  <c r="N104" i="24"/>
  <c r="M104" i="24"/>
  <c r="L104" i="24"/>
  <c r="K104" i="24"/>
  <c r="J104" i="24"/>
  <c r="I104" i="24"/>
  <c r="H104" i="24"/>
  <c r="H107" i="24" s="1"/>
  <c r="G104" i="24"/>
  <c r="F104" i="24"/>
  <c r="E104" i="24"/>
  <c r="D104" i="24"/>
  <c r="AF103" i="24"/>
  <c r="AE103" i="24"/>
  <c r="AD103" i="24"/>
  <c r="AC103" i="24"/>
  <c r="AB103" i="24"/>
  <c r="S103" i="24"/>
  <c r="R103" i="24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E103" i="24"/>
  <c r="D103" i="24"/>
  <c r="AI103" i="24"/>
  <c r="AF102" i="24"/>
  <c r="AE102" i="24"/>
  <c r="AD102" i="24"/>
  <c r="AC102" i="24"/>
  <c r="AB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F102" i="24"/>
  <c r="E102" i="24"/>
  <c r="D102" i="24"/>
  <c r="AI102" i="24"/>
  <c r="AF101" i="24"/>
  <c r="AE101" i="24"/>
  <c r="AE107" i="24" s="1"/>
  <c r="AD101" i="24"/>
  <c r="AC101" i="24"/>
  <c r="AB101" i="24"/>
  <c r="AB107" i="24" s="1"/>
  <c r="S101" i="24"/>
  <c r="R101" i="24"/>
  <c r="Q101" i="24"/>
  <c r="P101" i="24"/>
  <c r="O101" i="24"/>
  <c r="N101" i="24"/>
  <c r="M101" i="24"/>
  <c r="M107" i="24" s="1"/>
  <c r="L101" i="24"/>
  <c r="K101" i="24"/>
  <c r="J101" i="24"/>
  <c r="J107" i="24" s="1"/>
  <c r="I101" i="24"/>
  <c r="H101" i="24"/>
  <c r="G101" i="24"/>
  <c r="F101" i="24"/>
  <c r="E101" i="24"/>
  <c r="E107" i="24" s="1"/>
  <c r="D101" i="24"/>
  <c r="AI101" i="24"/>
  <c r="AI98" i="24"/>
  <c r="AH98" i="24"/>
  <c r="AI96" i="24"/>
  <c r="AH96" i="24"/>
  <c r="AG96" i="24"/>
  <c r="AI95" i="24"/>
  <c r="AH95" i="24"/>
  <c r="AI94" i="24"/>
  <c r="AH94" i="24"/>
  <c r="AI93" i="24"/>
  <c r="AH93" i="24"/>
  <c r="AG92" i="24"/>
  <c r="AG99" i="24" s="1"/>
  <c r="AF92" i="24"/>
  <c r="AE5" i="24" s="1"/>
  <c r="AE92" i="24"/>
  <c r="AD5" i="24" s="1"/>
  <c r="AD92" i="24"/>
  <c r="AC5" i="24" s="1"/>
  <c r="AC92" i="24"/>
  <c r="AB5" i="24" s="1"/>
  <c r="AB92" i="24"/>
  <c r="AA5" i="24" s="1"/>
  <c r="X5" i="24"/>
  <c r="S92" i="24"/>
  <c r="R92" i="24"/>
  <c r="Q5" i="24" s="1"/>
  <c r="Q92" i="24"/>
  <c r="P5" i="24" s="1"/>
  <c r="P92" i="24"/>
  <c r="O5" i="24" s="1"/>
  <c r="O92" i="24"/>
  <c r="N5" i="24" s="1"/>
  <c r="N92" i="24"/>
  <c r="M5" i="24" s="1"/>
  <c r="M92" i="24"/>
  <c r="L5" i="24" s="1"/>
  <c r="L92" i="24"/>
  <c r="K92" i="24"/>
  <c r="K108" i="24" s="1"/>
  <c r="J92" i="24"/>
  <c r="J108" i="24" s="1"/>
  <c r="I92" i="24"/>
  <c r="H5" i="24" s="1"/>
  <c r="H92" i="24"/>
  <c r="G92" i="24"/>
  <c r="F5" i="24" s="1"/>
  <c r="F92" i="24"/>
  <c r="E5" i="24" s="1"/>
  <c r="E92" i="24"/>
  <c r="D5" i="24" s="1"/>
  <c r="D92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I83" i="24"/>
  <c r="AH83" i="24"/>
  <c r="AI82" i="24"/>
  <c r="AH82" i="24"/>
  <c r="AI81" i="24"/>
  <c r="AH81" i="24"/>
  <c r="AG80" i="24"/>
  <c r="AG4" i="24" s="1"/>
  <c r="AF80" i="24"/>
  <c r="AE80" i="24"/>
  <c r="AD80" i="24"/>
  <c r="AC80" i="24"/>
  <c r="AB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AI79" i="24"/>
  <c r="AH79" i="24"/>
  <c r="AI78" i="24"/>
  <c r="AH78" i="24"/>
  <c r="AI77" i="24"/>
  <c r="AH77" i="24"/>
  <c r="AG76" i="24"/>
  <c r="AG3" i="24" s="1"/>
  <c r="AF76" i="24"/>
  <c r="AE76" i="24"/>
  <c r="AD76" i="24"/>
  <c r="AC76" i="24"/>
  <c r="AB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AI75" i="24"/>
  <c r="AH75" i="24"/>
  <c r="AG75" i="24"/>
  <c r="AI74" i="24"/>
  <c r="AH74" i="24"/>
  <c r="AI73" i="24"/>
  <c r="AH73" i="24"/>
  <c r="AI72" i="24"/>
  <c r="AH72" i="24"/>
  <c r="AI71" i="24"/>
  <c r="AH71" i="24"/>
  <c r="AI70" i="24"/>
  <c r="AH70" i="24"/>
  <c r="AI69" i="24"/>
  <c r="AH69" i="24"/>
  <c r="AI68" i="24"/>
  <c r="AH68" i="24"/>
  <c r="AI67" i="24"/>
  <c r="AH67" i="24"/>
  <c r="AI66" i="24"/>
  <c r="AH66" i="24"/>
  <c r="AI65" i="24"/>
  <c r="AH65" i="24"/>
  <c r="AI64" i="24"/>
  <c r="AH64" i="24"/>
  <c r="AI63" i="24"/>
  <c r="AH63" i="24"/>
  <c r="AG62" i="24"/>
  <c r="AF62" i="24"/>
  <c r="AE62" i="24"/>
  <c r="AD62" i="24"/>
  <c r="AC62" i="24"/>
  <c r="AB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AI61" i="24"/>
  <c r="AH61" i="24"/>
  <c r="AI60" i="24"/>
  <c r="AH60" i="24"/>
  <c r="AI59" i="24"/>
  <c r="AH59" i="24"/>
  <c r="AG58" i="24"/>
  <c r="AG97" i="24" s="1"/>
  <c r="AF58" i="24"/>
  <c r="AE58" i="24"/>
  <c r="AD58" i="24"/>
  <c r="AC58" i="24"/>
  <c r="AB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Z5" i="24"/>
  <c r="Y5" i="24"/>
  <c r="W5" i="24"/>
  <c r="V5" i="24"/>
  <c r="U5" i="24"/>
  <c r="T5" i="24"/>
  <c r="S5" i="24"/>
  <c r="K4" i="24"/>
  <c r="E4" i="24"/>
  <c r="H4" i="24" s="1"/>
  <c r="B4" i="24"/>
  <c r="D256" i="24" s="1"/>
  <c r="AG2" i="24"/>
  <c r="AF123" i="23"/>
  <c r="AF121" i="23"/>
  <c r="AF57" i="23"/>
  <c r="AF58" i="23"/>
  <c r="AF62" i="23"/>
  <c r="AF76" i="23"/>
  <c r="AF80" i="23"/>
  <c r="AF92" i="23"/>
  <c r="AF108" i="23" s="1"/>
  <c r="AF101" i="23"/>
  <c r="AF102" i="23"/>
  <c r="AF103" i="23"/>
  <c r="AF104" i="23"/>
  <c r="AF105" i="23"/>
  <c r="AF107" i="23" s="1"/>
  <c r="AE123" i="23"/>
  <c r="AE121" i="23"/>
  <c r="AE57" i="23"/>
  <c r="AE58" i="23"/>
  <c r="AE62" i="23"/>
  <c r="AE76" i="23"/>
  <c r="AE80" i="23"/>
  <c r="AE92" i="23"/>
  <c r="AE101" i="23"/>
  <c r="AE102" i="23"/>
  <c r="AE103" i="23"/>
  <c r="AE104" i="23"/>
  <c r="AE105" i="23"/>
  <c r="AD123" i="23"/>
  <c r="AD57" i="23"/>
  <c r="AD58" i="23"/>
  <c r="AD62" i="23"/>
  <c r="O244" i="25" l="1"/>
  <c r="L280" i="25"/>
  <c r="N249" i="25"/>
  <c r="AF108" i="24"/>
  <c r="AF97" i="24"/>
  <c r="AF99" i="24" s="1"/>
  <c r="AE108" i="24"/>
  <c r="AE97" i="24"/>
  <c r="AE99" i="24" s="1"/>
  <c r="AE100" i="24" s="1"/>
  <c r="AE7" i="24" s="1"/>
  <c r="AD107" i="24"/>
  <c r="AD97" i="24"/>
  <c r="AD99" i="24" s="1"/>
  <c r="AV259" i="24" s="1"/>
  <c r="AC107" i="24"/>
  <c r="AC97" i="24"/>
  <c r="AC99" i="24" s="1"/>
  <c r="AC100" i="24" s="1"/>
  <c r="AC7" i="24" s="1"/>
  <c r="AB108" i="24"/>
  <c r="AB97" i="24"/>
  <c r="AB99" i="24" s="1"/>
  <c r="AB100" i="24" s="1"/>
  <c r="AB7" i="24" s="1"/>
  <c r="S107" i="24"/>
  <c r="S108" i="24"/>
  <c r="R5" i="24"/>
  <c r="S97" i="24"/>
  <c r="S99" i="24" s="1"/>
  <c r="S100" i="24" s="1"/>
  <c r="S7" i="24" s="1"/>
  <c r="R107" i="24"/>
  <c r="R108" i="24" s="1"/>
  <c r="R97" i="24"/>
  <c r="R99" i="24" s="1"/>
  <c r="AJ259" i="24" s="1"/>
  <c r="Q107" i="24"/>
  <c r="Q97" i="24"/>
  <c r="Q99" i="24" s="1"/>
  <c r="Q100" i="24" s="1"/>
  <c r="Q7" i="24" s="1"/>
  <c r="P108" i="24"/>
  <c r="P97" i="24"/>
  <c r="P99" i="24" s="1"/>
  <c r="AH259" i="24" s="1"/>
  <c r="O107" i="24"/>
  <c r="O108" i="24"/>
  <c r="O97" i="24"/>
  <c r="O99" i="24" s="1"/>
  <c r="N107" i="24"/>
  <c r="N97" i="24"/>
  <c r="N99" i="24" s="1"/>
  <c r="AF259" i="24" s="1"/>
  <c r="K5" i="24"/>
  <c r="L107" i="24"/>
  <c r="L108" i="24" s="1"/>
  <c r="M97" i="24"/>
  <c r="M99" i="24" s="1"/>
  <c r="AE259" i="24" s="1"/>
  <c r="J5" i="24"/>
  <c r="K97" i="24"/>
  <c r="K99" i="24" s="1"/>
  <c r="AC259" i="24" s="1"/>
  <c r="I5" i="24"/>
  <c r="J97" i="24"/>
  <c r="J99" i="24" s="1"/>
  <c r="J100" i="24" s="1"/>
  <c r="J7" i="24" s="1"/>
  <c r="I107" i="24"/>
  <c r="I97" i="24"/>
  <c r="I99" i="24" s="1"/>
  <c r="I100" i="24" s="1"/>
  <c r="I7" i="24" s="1"/>
  <c r="H108" i="24"/>
  <c r="G5" i="24"/>
  <c r="H97" i="24"/>
  <c r="H99" i="24" s="1"/>
  <c r="G107" i="24"/>
  <c r="G108" i="24" s="1"/>
  <c r="AI62" i="24"/>
  <c r="G97" i="24"/>
  <c r="G99" i="24" s="1"/>
  <c r="Y259" i="24" s="1"/>
  <c r="F107" i="24"/>
  <c r="F97" i="24"/>
  <c r="F99" i="24" s="1"/>
  <c r="X259" i="24" s="1"/>
  <c r="L97" i="24"/>
  <c r="L99" i="24" s="1"/>
  <c r="L100" i="24" s="1"/>
  <c r="L7" i="24" s="1"/>
  <c r="AI80" i="24"/>
  <c r="E97" i="24"/>
  <c r="E99" i="24" s="1"/>
  <c r="E100" i="24" s="1"/>
  <c r="E7" i="24" s="1"/>
  <c r="D107" i="24"/>
  <c r="D108" i="24" s="1"/>
  <c r="AI104" i="24"/>
  <c r="C5" i="24"/>
  <c r="AI105" i="24"/>
  <c r="D97" i="24"/>
  <c r="D99" i="24" s="1"/>
  <c r="D100" i="24" s="1"/>
  <c r="D7" i="24" s="1"/>
  <c r="C108" i="24"/>
  <c r="AI76" i="24"/>
  <c r="C97" i="24"/>
  <c r="C99" i="24" s="1"/>
  <c r="C100" i="24" s="1"/>
  <c r="AI57" i="24"/>
  <c r="B107" i="24"/>
  <c r="B97" i="24"/>
  <c r="B99" i="24" s="1"/>
  <c r="B100" i="24" s="1"/>
  <c r="AH57" i="24"/>
  <c r="B108" i="24"/>
  <c r="AH102" i="24"/>
  <c r="AI58" i="24"/>
  <c r="AU259" i="24"/>
  <c r="AN259" i="24"/>
  <c r="V7" i="24"/>
  <c r="AM259" i="24"/>
  <c r="U7" i="24"/>
  <c r="AO259" i="24"/>
  <c r="W7" i="24"/>
  <c r="AW259" i="24"/>
  <c r="W259" i="24"/>
  <c r="AP259" i="24"/>
  <c r="X7" i="24"/>
  <c r="AQ259" i="24"/>
  <c r="Y7" i="24"/>
  <c r="Z259" i="24"/>
  <c r="H100" i="24"/>
  <c r="H7" i="24" s="1"/>
  <c r="AA259" i="24"/>
  <c r="AR259" i="24"/>
  <c r="Z7" i="24"/>
  <c r="E108" i="24"/>
  <c r="M108" i="24"/>
  <c r="AC108" i="24"/>
  <c r="AS259" i="24"/>
  <c r="AA7" i="24"/>
  <c r="F108" i="24"/>
  <c r="N108" i="24"/>
  <c r="AD108" i="24"/>
  <c r="AX259" i="24"/>
  <c r="AF100" i="24"/>
  <c r="AF7" i="24" s="1"/>
  <c r="U259" i="24"/>
  <c r="C7" i="24"/>
  <c r="AG6" i="24"/>
  <c r="AL259" i="24"/>
  <c r="T7" i="24"/>
  <c r="G244" i="24"/>
  <c r="AH76" i="24"/>
  <c r="AH80" i="24"/>
  <c r="AH92" i="24"/>
  <c r="E118" i="24"/>
  <c r="E245" i="24"/>
  <c r="E249" i="24"/>
  <c r="S256" i="24"/>
  <c r="AI92" i="24"/>
  <c r="AH101" i="24"/>
  <c r="I108" i="24"/>
  <c r="Q108" i="24"/>
  <c r="AH58" i="24"/>
  <c r="AH62" i="24"/>
  <c r="AH103" i="24"/>
  <c r="AH104" i="24"/>
  <c r="AH105" i="24"/>
  <c r="AF97" i="23"/>
  <c r="AF99" i="23" s="1"/>
  <c r="AF100" i="23" s="1"/>
  <c r="AE107" i="23"/>
  <c r="AE108" i="23" s="1"/>
  <c r="AE97" i="23"/>
  <c r="AE99" i="23" s="1"/>
  <c r="O249" i="25" l="1"/>
  <c r="M280" i="25"/>
  <c r="N250" i="25"/>
  <c r="N118" i="25"/>
  <c r="P244" i="25"/>
  <c r="O250" i="25"/>
  <c r="O118" i="25"/>
  <c r="AD100" i="24"/>
  <c r="AD7" i="24" s="1"/>
  <c r="AT259" i="24"/>
  <c r="AK259" i="24"/>
  <c r="R100" i="24"/>
  <c r="R7" i="24" s="1"/>
  <c r="AI259" i="24"/>
  <c r="P100" i="24"/>
  <c r="P7" i="24" s="1"/>
  <c r="N100" i="24"/>
  <c r="N7" i="24" s="1"/>
  <c r="O100" i="24"/>
  <c r="O7" i="24" s="1"/>
  <c r="AG259" i="24"/>
  <c r="M100" i="24"/>
  <c r="M7" i="24" s="1"/>
  <c r="AD259" i="24"/>
  <c r="AB259" i="24"/>
  <c r="K100" i="24"/>
  <c r="K7" i="24" s="1"/>
  <c r="B254" i="24"/>
  <c r="C254" i="24"/>
  <c r="K6" i="24" s="1"/>
  <c r="G100" i="24"/>
  <c r="G7" i="24" s="1"/>
  <c r="F100" i="24"/>
  <c r="F7" i="24" s="1"/>
  <c r="V259" i="24"/>
  <c r="AI107" i="24"/>
  <c r="AH107" i="24"/>
  <c r="AI97" i="24"/>
  <c r="AH97" i="24"/>
  <c r="F245" i="24"/>
  <c r="E250" i="24"/>
  <c r="D280" i="24"/>
  <c r="F249" i="24"/>
  <c r="H244" i="24"/>
  <c r="AE100" i="23"/>
  <c r="Q244" i="25" l="1"/>
  <c r="N280" i="25"/>
  <c r="P249" i="25"/>
  <c r="AI108" i="24"/>
  <c r="AH108" i="24"/>
  <c r="AH99" i="24"/>
  <c r="T259" i="24"/>
  <c r="AI99" i="24"/>
  <c r="G245" i="24"/>
  <c r="F250" i="24"/>
  <c r="E280" i="24"/>
  <c r="G249" i="24"/>
  <c r="F118" i="24"/>
  <c r="I244" i="24"/>
  <c r="O280" i="25" l="1"/>
  <c r="Q249" i="25"/>
  <c r="P250" i="25"/>
  <c r="Q250" i="25"/>
  <c r="Q118" i="25"/>
  <c r="R244" i="25"/>
  <c r="H245" i="24"/>
  <c r="G250" i="24"/>
  <c r="B7" i="24"/>
  <c r="A7" i="24" s="1"/>
  <c r="AI100" i="24"/>
  <c r="AH100" i="24"/>
  <c r="J244" i="24"/>
  <c r="F280" i="24"/>
  <c r="H249" i="24"/>
  <c r="G118" i="24"/>
  <c r="AC123" i="23"/>
  <c r="AC121" i="23"/>
  <c r="AC57" i="23"/>
  <c r="AC58" i="23"/>
  <c r="AC62" i="23"/>
  <c r="AC76" i="23"/>
  <c r="AC80" i="23"/>
  <c r="AC92" i="23"/>
  <c r="AC101" i="23"/>
  <c r="AC102" i="23"/>
  <c r="AC103" i="23"/>
  <c r="AC104" i="23"/>
  <c r="AC105" i="23"/>
  <c r="S244" i="25" l="1"/>
  <c r="P280" i="25"/>
  <c r="R249" i="25"/>
  <c r="R118" i="25" s="1"/>
  <c r="K244" i="24"/>
  <c r="G280" i="24"/>
  <c r="I249" i="24"/>
  <c r="H118" i="24"/>
  <c r="I245" i="24"/>
  <c r="H250" i="24"/>
  <c r="AC107" i="23"/>
  <c r="AC108" i="23" s="1"/>
  <c r="AC97" i="23"/>
  <c r="AC99" i="23" s="1"/>
  <c r="AB123" i="23"/>
  <c r="AB121" i="23"/>
  <c r="AB57" i="23"/>
  <c r="AB58" i="23"/>
  <c r="AB62" i="23"/>
  <c r="AB76" i="23"/>
  <c r="AB80" i="23"/>
  <c r="AB92" i="23"/>
  <c r="AB101" i="23"/>
  <c r="AB102" i="23"/>
  <c r="AB103" i="23"/>
  <c r="AB104" i="23"/>
  <c r="AB105" i="23"/>
  <c r="T244" i="25" l="1"/>
  <c r="S249" i="25"/>
  <c r="Q280" i="25"/>
  <c r="R250" i="25"/>
  <c r="J245" i="24"/>
  <c r="I250" i="24"/>
  <c r="H280" i="24"/>
  <c r="J249" i="24"/>
  <c r="I118" i="24"/>
  <c r="L244" i="24"/>
  <c r="AC100" i="23"/>
  <c r="AB107" i="23"/>
  <c r="AB108" i="23" s="1"/>
  <c r="AB97" i="23"/>
  <c r="AB99" i="23" s="1"/>
  <c r="R280" i="25" l="1"/>
  <c r="T249" i="25"/>
  <c r="T250" i="25"/>
  <c r="U244" i="25"/>
  <c r="S250" i="25"/>
  <c r="K249" i="24"/>
  <c r="I280" i="24"/>
  <c r="J118" i="24"/>
  <c r="M244" i="24"/>
  <c r="K245" i="24"/>
  <c r="J250" i="24"/>
  <c r="AB100" i="23"/>
  <c r="V244" i="25" l="1"/>
  <c r="S280" i="25"/>
  <c r="U249" i="25"/>
  <c r="N244" i="24"/>
  <c r="L245" i="24"/>
  <c r="K250" i="24"/>
  <c r="L249" i="24"/>
  <c r="J280" i="24"/>
  <c r="K118" i="24"/>
  <c r="T280" i="25" l="1"/>
  <c r="V249" i="25"/>
  <c r="U250" i="25"/>
  <c r="W244" i="25"/>
  <c r="V250" i="25"/>
  <c r="K280" i="24"/>
  <c r="M249" i="24"/>
  <c r="L118" i="24"/>
  <c r="M245" i="24"/>
  <c r="L250" i="24"/>
  <c r="O244" i="24"/>
  <c r="X244" i="25" l="1"/>
  <c r="W249" i="25"/>
  <c r="U280" i="25"/>
  <c r="P244" i="24"/>
  <c r="N245" i="24"/>
  <c r="M250" i="24"/>
  <c r="L280" i="24"/>
  <c r="N249" i="24"/>
  <c r="M118" i="24"/>
  <c r="V280" i="25" l="1"/>
  <c r="X249" i="25"/>
  <c r="W250" i="25"/>
  <c r="Y244" i="25"/>
  <c r="X250" i="25"/>
  <c r="M280" i="24"/>
  <c r="O249" i="24"/>
  <c r="N118" i="24"/>
  <c r="O245" i="24"/>
  <c r="N250" i="24"/>
  <c r="Q244" i="24"/>
  <c r="Z244" i="25" l="1"/>
  <c r="W280" i="25"/>
  <c r="Y249" i="25"/>
  <c r="R244" i="24"/>
  <c r="P245" i="24"/>
  <c r="O250" i="24"/>
  <c r="N280" i="24"/>
  <c r="P249" i="24"/>
  <c r="O118" i="24"/>
  <c r="X280" i="25" l="1"/>
  <c r="Z249" i="25"/>
  <c r="Z250" i="25"/>
  <c r="AA244" i="25"/>
  <c r="Y250" i="25"/>
  <c r="O280" i="24"/>
  <c r="Q249" i="24"/>
  <c r="Q245" i="24"/>
  <c r="P250" i="24"/>
  <c r="S244" i="24"/>
  <c r="S123" i="23"/>
  <c r="S58" i="23"/>
  <c r="S62" i="23"/>
  <c r="S76" i="23"/>
  <c r="S80" i="23"/>
  <c r="AB244" i="25" l="1"/>
  <c r="AA249" i="25"/>
  <c r="Y280" i="25"/>
  <c r="T244" i="24"/>
  <c r="R245" i="24"/>
  <c r="Q250" i="24"/>
  <c r="P280" i="24"/>
  <c r="R249" i="24"/>
  <c r="Q118" i="24"/>
  <c r="R123" i="23"/>
  <c r="Q123" i="23"/>
  <c r="P123" i="23"/>
  <c r="O123" i="23"/>
  <c r="N123" i="23"/>
  <c r="M123" i="23"/>
  <c r="L123" i="23"/>
  <c r="L57" i="23"/>
  <c r="K123" i="23"/>
  <c r="K121" i="23"/>
  <c r="K57" i="23"/>
  <c r="Z280" i="25" l="1"/>
  <c r="AB249" i="25"/>
  <c r="AB250" i="25"/>
  <c r="AB118" i="25"/>
  <c r="AC244" i="25"/>
  <c r="AA250" i="25"/>
  <c r="S249" i="24"/>
  <c r="Q280" i="24"/>
  <c r="R118" i="24"/>
  <c r="S245" i="24"/>
  <c r="R250" i="24"/>
  <c r="U244" i="24"/>
  <c r="AD244" i="25" l="1"/>
  <c r="AC118" i="25"/>
  <c r="AA280" i="25"/>
  <c r="AC249" i="25"/>
  <c r="V244" i="24"/>
  <c r="T245" i="24"/>
  <c r="S250" i="24"/>
  <c r="T249" i="24"/>
  <c r="R280" i="24"/>
  <c r="S118" i="24"/>
  <c r="AB280" i="25" l="1"/>
  <c r="AD249" i="25"/>
  <c r="AC250" i="25"/>
  <c r="AE244" i="25"/>
  <c r="AD250" i="25"/>
  <c r="S280" i="24"/>
  <c r="U249" i="24"/>
  <c r="U245" i="24"/>
  <c r="T250" i="24"/>
  <c r="W244" i="24"/>
  <c r="AE249" i="25" l="1"/>
  <c r="AC280" i="25"/>
  <c r="AF244" i="25"/>
  <c r="AE250" i="25"/>
  <c r="AE118" i="25"/>
  <c r="X244" i="24"/>
  <c r="V245" i="24"/>
  <c r="U250" i="24"/>
  <c r="T280" i="24"/>
  <c r="V249" i="24"/>
  <c r="AF118" i="25" l="1"/>
  <c r="B244" i="25"/>
  <c r="AD280" i="25"/>
  <c r="AF249" i="25"/>
  <c r="U280" i="24"/>
  <c r="W249" i="24"/>
  <c r="W245" i="24"/>
  <c r="V250" i="24"/>
  <c r="Y244" i="24"/>
  <c r="B249" i="25" l="1"/>
  <c r="AF280" i="25" s="1"/>
  <c r="AE280" i="25"/>
  <c r="B118" i="25"/>
  <c r="B250" i="25"/>
  <c r="AF250" i="25"/>
  <c r="X245" i="24"/>
  <c r="W250" i="24"/>
  <c r="Z244" i="24"/>
  <c r="V280" i="24"/>
  <c r="X249" i="24"/>
  <c r="AH118" i="25" l="1"/>
  <c r="AI118" i="25"/>
  <c r="W280" i="24"/>
  <c r="Y249" i="24"/>
  <c r="AA244" i="24"/>
  <c r="Y245" i="24"/>
  <c r="X250" i="24"/>
  <c r="Z245" i="24" l="1"/>
  <c r="Y250" i="24"/>
  <c r="AB244" i="24"/>
  <c r="X280" i="24"/>
  <c r="Z249" i="24"/>
  <c r="AA249" i="24" l="1"/>
  <c r="Y280" i="24"/>
  <c r="AC244" i="24"/>
  <c r="AA245" i="24"/>
  <c r="Z250" i="24"/>
  <c r="AD244" i="24" l="1"/>
  <c r="AB245" i="24"/>
  <c r="AA250" i="24"/>
  <c r="AB249" i="24"/>
  <c r="Z280" i="24"/>
  <c r="AA280" i="24" l="1"/>
  <c r="AC249" i="24"/>
  <c r="AB118" i="24"/>
  <c r="AC245" i="24"/>
  <c r="AB250" i="24"/>
  <c r="AE244" i="24"/>
  <c r="AF244" i="24" l="1"/>
  <c r="AD245" i="24"/>
  <c r="AC250" i="24"/>
  <c r="AB280" i="24"/>
  <c r="AD249" i="24"/>
  <c r="AC118" i="24"/>
  <c r="AC280" i="24" l="1"/>
  <c r="AE249" i="24"/>
  <c r="AE245" i="24"/>
  <c r="AD250" i="24"/>
  <c r="B244" i="24"/>
  <c r="AF245" i="24" l="1"/>
  <c r="AE250" i="24"/>
  <c r="AD280" i="24"/>
  <c r="AF249" i="24"/>
  <c r="AE118" i="24"/>
  <c r="B245" i="24" l="1"/>
  <c r="B250" i="24" s="1"/>
  <c r="AF250" i="24"/>
  <c r="B249" i="24"/>
  <c r="AE280" i="24"/>
  <c r="AF118" i="24"/>
  <c r="AF280" i="24" l="1"/>
  <c r="AI118" i="24" l="1"/>
  <c r="AH118" i="24"/>
  <c r="J123" i="23" l="1"/>
  <c r="J121" i="23"/>
  <c r="I123" i="23"/>
  <c r="I121" i="23"/>
  <c r="H123" i="23"/>
  <c r="H121" i="23"/>
  <c r="G123" i="23"/>
  <c r="G121" i="23"/>
  <c r="G57" i="23"/>
  <c r="F123" i="23"/>
  <c r="F121" i="23"/>
  <c r="F57" i="23"/>
  <c r="E123" i="23"/>
  <c r="E121" i="23"/>
  <c r="E57" i="23"/>
  <c r="C58" i="23" l="1"/>
  <c r="D58" i="23"/>
  <c r="C62" i="23"/>
  <c r="D62" i="23"/>
  <c r="E62" i="23"/>
  <c r="C76" i="23"/>
  <c r="D76" i="23"/>
  <c r="C80" i="23"/>
  <c r="D80" i="23"/>
  <c r="E80" i="23"/>
  <c r="C92" i="23"/>
  <c r="C108" i="23" s="1"/>
  <c r="D92" i="23"/>
  <c r="D108" i="23" s="1"/>
  <c r="E92" i="23"/>
  <c r="D5" i="23" s="1"/>
  <c r="F92" i="23"/>
  <c r="E5" i="23" s="1"/>
  <c r="G92" i="23"/>
  <c r="F5" i="23" s="1"/>
  <c r="H92" i="23"/>
  <c r="B92" i="23"/>
  <c r="B108" i="23" s="1"/>
  <c r="B80" i="23"/>
  <c r="B76" i="23"/>
  <c r="B62" i="23"/>
  <c r="B58" i="23"/>
  <c r="B97" i="23" s="1"/>
  <c r="B99" i="23" s="1"/>
  <c r="B100" i="23" s="1"/>
  <c r="D123" i="23"/>
  <c r="AI123" i="23" s="1"/>
  <c r="D121" i="23"/>
  <c r="D118" i="23" s="1"/>
  <c r="D57" i="23"/>
  <c r="C57" i="23"/>
  <c r="AI57" i="23" s="1"/>
  <c r="C118" i="23"/>
  <c r="AI122" i="23"/>
  <c r="B121" i="23"/>
  <c r="B57" i="23"/>
  <c r="AF284" i="23"/>
  <c r="AE284" i="23"/>
  <c r="AD284" i="23"/>
  <c r="AC284" i="23"/>
  <c r="AB284" i="23"/>
  <c r="AA284" i="23"/>
  <c r="Z284" i="23"/>
  <c r="Y284" i="23"/>
  <c r="X284" i="23"/>
  <c r="W284" i="23"/>
  <c r="V284" i="23"/>
  <c r="U284" i="23"/>
  <c r="T284" i="23"/>
  <c r="S284" i="23"/>
  <c r="R284" i="23"/>
  <c r="Q284" i="23"/>
  <c r="P284" i="23"/>
  <c r="O284" i="23"/>
  <c r="N284" i="23"/>
  <c r="M284" i="23"/>
  <c r="L284" i="23"/>
  <c r="K284" i="23"/>
  <c r="J284" i="23"/>
  <c r="I284" i="23"/>
  <c r="H284" i="23"/>
  <c r="G284" i="23"/>
  <c r="F284" i="23"/>
  <c r="E284" i="23"/>
  <c r="D284" i="23"/>
  <c r="C284" i="23"/>
  <c r="B284" i="23"/>
  <c r="A284" i="23"/>
  <c r="AF283" i="23"/>
  <c r="AE283" i="23"/>
  <c r="AD283" i="23"/>
  <c r="AC283" i="23"/>
  <c r="AB283" i="23"/>
  <c r="AA283" i="23"/>
  <c r="Z283" i="23"/>
  <c r="Y283" i="23"/>
  <c r="X283" i="23"/>
  <c r="W283" i="23"/>
  <c r="V283" i="23"/>
  <c r="U283" i="23"/>
  <c r="T283" i="23"/>
  <c r="S283" i="23"/>
  <c r="R283" i="23"/>
  <c r="Q283" i="23"/>
  <c r="P283" i="23"/>
  <c r="O283" i="23"/>
  <c r="N283" i="23"/>
  <c r="M283" i="23"/>
  <c r="L283" i="23"/>
  <c r="K283" i="23"/>
  <c r="J283" i="23"/>
  <c r="I283" i="23"/>
  <c r="H283" i="23"/>
  <c r="G283" i="23"/>
  <c r="F283" i="23"/>
  <c r="E283" i="23"/>
  <c r="D283" i="23"/>
  <c r="C283" i="23"/>
  <c r="B283" i="23"/>
  <c r="A283" i="23"/>
  <c r="AF282" i="23"/>
  <c r="AE282" i="23"/>
  <c r="AD282" i="23"/>
  <c r="AC282" i="23"/>
  <c r="AB282" i="23"/>
  <c r="AA282" i="23"/>
  <c r="Z282" i="23"/>
  <c r="Y282" i="23"/>
  <c r="X282" i="23"/>
  <c r="W282" i="23"/>
  <c r="V282" i="23"/>
  <c r="U282" i="23"/>
  <c r="T282" i="23"/>
  <c r="S282" i="23"/>
  <c r="R282" i="23"/>
  <c r="Q282" i="23"/>
  <c r="P282" i="23"/>
  <c r="O282" i="23"/>
  <c r="N282" i="23"/>
  <c r="M282" i="23"/>
  <c r="L282" i="23"/>
  <c r="K282" i="23"/>
  <c r="J282" i="23"/>
  <c r="I282" i="23"/>
  <c r="H282" i="23"/>
  <c r="G282" i="23"/>
  <c r="F282" i="23"/>
  <c r="E282" i="23"/>
  <c r="D282" i="23"/>
  <c r="C282" i="23"/>
  <c r="B282" i="23"/>
  <c r="A282" i="23"/>
  <c r="AF281" i="23"/>
  <c r="AE281" i="23"/>
  <c r="AD281" i="23"/>
  <c r="AC281" i="23"/>
  <c r="AB281" i="23"/>
  <c r="AA281" i="23"/>
  <c r="Z281" i="23"/>
  <c r="Y281" i="23"/>
  <c r="X281" i="23"/>
  <c r="W281" i="23"/>
  <c r="V281" i="23"/>
  <c r="U281" i="23"/>
  <c r="T281" i="23"/>
  <c r="S281" i="23"/>
  <c r="R281" i="23"/>
  <c r="Q281" i="23"/>
  <c r="P281" i="23"/>
  <c r="O281" i="23"/>
  <c r="N281" i="23"/>
  <c r="M281" i="23"/>
  <c r="L281" i="23"/>
  <c r="K281" i="23"/>
  <c r="J281" i="23"/>
  <c r="I281" i="23"/>
  <c r="H281" i="23"/>
  <c r="G281" i="23"/>
  <c r="F281" i="23"/>
  <c r="E281" i="23"/>
  <c r="D281" i="23"/>
  <c r="C281" i="23"/>
  <c r="B281" i="23"/>
  <c r="A281" i="23"/>
  <c r="B280" i="23"/>
  <c r="S255" i="23"/>
  <c r="AG250" i="23"/>
  <c r="C250" i="23"/>
  <c r="D249" i="23"/>
  <c r="C280" i="23" s="1"/>
  <c r="S248" i="23"/>
  <c r="T248" i="23" s="1"/>
  <c r="U248" i="23" s="1"/>
  <c r="V248" i="23" s="1"/>
  <c r="W248" i="23" s="1"/>
  <c r="X248" i="23" s="1"/>
  <c r="Y248" i="23" s="1"/>
  <c r="Z248" i="23" s="1"/>
  <c r="AA248" i="23" s="1"/>
  <c r="AB248" i="23" s="1"/>
  <c r="AC248" i="23" s="1"/>
  <c r="AD248" i="23" s="1"/>
  <c r="AE248" i="23" s="1"/>
  <c r="AF248" i="23" s="1"/>
  <c r="B248" i="23" s="1"/>
  <c r="K248" i="23"/>
  <c r="L248" i="23" s="1"/>
  <c r="M248" i="23" s="1"/>
  <c r="N248" i="23" s="1"/>
  <c r="O248" i="23" s="1"/>
  <c r="P248" i="23" s="1"/>
  <c r="Q248" i="23" s="1"/>
  <c r="R248" i="23" s="1"/>
  <c r="D248" i="23"/>
  <c r="E248" i="23" s="1"/>
  <c r="F248" i="23" s="1"/>
  <c r="G248" i="23" s="1"/>
  <c r="H248" i="23" s="1"/>
  <c r="I248" i="23" s="1"/>
  <c r="J248" i="23" s="1"/>
  <c r="E247" i="23"/>
  <c r="F247" i="23" s="1"/>
  <c r="G247" i="23" s="1"/>
  <c r="H247" i="23" s="1"/>
  <c r="I247" i="23" s="1"/>
  <c r="J247" i="23" s="1"/>
  <c r="K247" i="23" s="1"/>
  <c r="L247" i="23" s="1"/>
  <c r="M247" i="23" s="1"/>
  <c r="N247" i="23" s="1"/>
  <c r="O247" i="23" s="1"/>
  <c r="P247" i="23" s="1"/>
  <c r="Q247" i="23" s="1"/>
  <c r="R247" i="23" s="1"/>
  <c r="S247" i="23" s="1"/>
  <c r="T247" i="23" s="1"/>
  <c r="U247" i="23" s="1"/>
  <c r="V247" i="23" s="1"/>
  <c r="W247" i="23" s="1"/>
  <c r="X247" i="23" s="1"/>
  <c r="Y247" i="23" s="1"/>
  <c r="Z247" i="23" s="1"/>
  <c r="AA247" i="23" s="1"/>
  <c r="AB247" i="23" s="1"/>
  <c r="AC247" i="23" s="1"/>
  <c r="AD247" i="23" s="1"/>
  <c r="AE247" i="23" s="1"/>
  <c r="AF247" i="23" s="1"/>
  <c r="B247" i="23" s="1"/>
  <c r="D247" i="23"/>
  <c r="D246" i="23"/>
  <c r="E246" i="23" s="1"/>
  <c r="F246" i="23" s="1"/>
  <c r="G246" i="23" s="1"/>
  <c r="H246" i="23" s="1"/>
  <c r="I246" i="23" s="1"/>
  <c r="J246" i="23" s="1"/>
  <c r="K246" i="23" s="1"/>
  <c r="L246" i="23" s="1"/>
  <c r="M246" i="23" s="1"/>
  <c r="N246" i="23" s="1"/>
  <c r="O246" i="23" s="1"/>
  <c r="P246" i="23" s="1"/>
  <c r="Q246" i="23" s="1"/>
  <c r="R246" i="23" s="1"/>
  <c r="S246" i="23" s="1"/>
  <c r="T246" i="23" s="1"/>
  <c r="U246" i="23" s="1"/>
  <c r="V246" i="23" s="1"/>
  <c r="W246" i="23" s="1"/>
  <c r="X246" i="23" s="1"/>
  <c r="Y246" i="23" s="1"/>
  <c r="Z246" i="23" s="1"/>
  <c r="AA246" i="23" s="1"/>
  <c r="AB246" i="23" s="1"/>
  <c r="AC246" i="23" s="1"/>
  <c r="AD246" i="23" s="1"/>
  <c r="AE246" i="23" s="1"/>
  <c r="AF246" i="23" s="1"/>
  <c r="B246" i="23" s="1"/>
  <c r="E245" i="23"/>
  <c r="D245" i="23"/>
  <c r="E244" i="23"/>
  <c r="F244" i="23" s="1"/>
  <c r="D244" i="23"/>
  <c r="AG242" i="23"/>
  <c r="AF242" i="23"/>
  <c r="AE242" i="23"/>
  <c r="AD242" i="23"/>
  <c r="AC242" i="23"/>
  <c r="AB242" i="23"/>
  <c r="AA242" i="23"/>
  <c r="Z242" i="23"/>
  <c r="Y242" i="23"/>
  <c r="X242" i="23"/>
  <c r="W242" i="23"/>
  <c r="V242" i="23"/>
  <c r="U242" i="23"/>
  <c r="T242" i="23"/>
  <c r="S242" i="23"/>
  <c r="R242" i="23"/>
  <c r="Q242" i="23"/>
  <c r="P242" i="23"/>
  <c r="O242" i="23"/>
  <c r="N242" i="23"/>
  <c r="M242" i="23"/>
  <c r="L242" i="23"/>
  <c r="K242" i="23"/>
  <c r="J242" i="23"/>
  <c r="I242" i="23"/>
  <c r="H242" i="23"/>
  <c r="G242" i="23"/>
  <c r="F242" i="23"/>
  <c r="E242" i="23"/>
  <c r="D242" i="23"/>
  <c r="C242" i="23"/>
  <c r="B242" i="23"/>
  <c r="AI130" i="23"/>
  <c r="AH130" i="23"/>
  <c r="AI129" i="23"/>
  <c r="AH129" i="23"/>
  <c r="AI128" i="23"/>
  <c r="AH128" i="23"/>
  <c r="AI127" i="23"/>
  <c r="AH127" i="23"/>
  <c r="AI126" i="23"/>
  <c r="AH126" i="23"/>
  <c r="AI120" i="23"/>
  <c r="AH120" i="23"/>
  <c r="AI119" i="23"/>
  <c r="AH119" i="23"/>
  <c r="AI117" i="23"/>
  <c r="AH117" i="23"/>
  <c r="AI116" i="23"/>
  <c r="AH116" i="23"/>
  <c r="AI115" i="23"/>
  <c r="AH115" i="23"/>
  <c r="AI114" i="23"/>
  <c r="AH114" i="23"/>
  <c r="AI113" i="23"/>
  <c r="AH113" i="23"/>
  <c r="AI112" i="23"/>
  <c r="AH112" i="23"/>
  <c r="AI111" i="23"/>
  <c r="AH111" i="23"/>
  <c r="AI110" i="23"/>
  <c r="AH110" i="23"/>
  <c r="AI109" i="23"/>
  <c r="AH109" i="23"/>
  <c r="AI106" i="23"/>
  <c r="AH106" i="23"/>
  <c r="AD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AD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AD103" i="23"/>
  <c r="AA103" i="23"/>
  <c r="Z103" i="23"/>
  <c r="Y103" i="23"/>
  <c r="X103" i="23"/>
  <c r="W103" i="23"/>
  <c r="V103" i="23"/>
  <c r="U103" i="23"/>
  <c r="T103" i="23"/>
  <c r="S103" i="23"/>
  <c r="R103" i="23"/>
  <c r="Q103" i="23"/>
  <c r="P103" i="23"/>
  <c r="O103" i="23"/>
  <c r="N103" i="23"/>
  <c r="M103" i="23"/>
  <c r="L103" i="23"/>
  <c r="K103" i="23"/>
  <c r="J103" i="23"/>
  <c r="I103" i="23"/>
  <c r="H103" i="23"/>
  <c r="G103" i="23"/>
  <c r="F103" i="23"/>
  <c r="E103" i="23"/>
  <c r="AD102" i="23"/>
  <c r="AA102" i="23"/>
  <c r="Z102" i="23"/>
  <c r="Y102" i="23"/>
  <c r="X102" i="23"/>
  <c r="W102" i="23"/>
  <c r="V102" i="23"/>
  <c r="U102" i="23"/>
  <c r="T102" i="23"/>
  <c r="S102" i="23"/>
  <c r="R102" i="23"/>
  <c r="Q102" i="23"/>
  <c r="P102" i="23"/>
  <c r="O102" i="23"/>
  <c r="N102" i="23"/>
  <c r="M102" i="23"/>
  <c r="L102" i="23"/>
  <c r="K102" i="23"/>
  <c r="J102" i="23"/>
  <c r="I102" i="23"/>
  <c r="H102" i="23"/>
  <c r="G102" i="23"/>
  <c r="F102" i="23"/>
  <c r="E102" i="23"/>
  <c r="AD101" i="23"/>
  <c r="AA101" i="23"/>
  <c r="AA107" i="23" s="1"/>
  <c r="Z101" i="23"/>
  <c r="Y101" i="23"/>
  <c r="X101" i="23"/>
  <c r="X107" i="23" s="1"/>
  <c r="W101" i="23"/>
  <c r="V101" i="23"/>
  <c r="V107" i="23" s="1"/>
  <c r="U101" i="23"/>
  <c r="T101" i="23"/>
  <c r="S101" i="23"/>
  <c r="R101" i="23"/>
  <c r="Q101" i="23"/>
  <c r="P101" i="23"/>
  <c r="O101" i="23"/>
  <c r="N101" i="23"/>
  <c r="M101" i="23"/>
  <c r="L101" i="23"/>
  <c r="K101" i="23"/>
  <c r="K107" i="23" s="1"/>
  <c r="J101" i="23"/>
  <c r="I101" i="23"/>
  <c r="H101" i="23"/>
  <c r="H107" i="23" s="1"/>
  <c r="G101" i="23"/>
  <c r="F101" i="23"/>
  <c r="F107" i="23" s="1"/>
  <c r="E101" i="23"/>
  <c r="AI98" i="23"/>
  <c r="AH98" i="23"/>
  <c r="AI96" i="23"/>
  <c r="AH96" i="23"/>
  <c r="AG96" i="23"/>
  <c r="AG99" i="23" s="1"/>
  <c r="AI95" i="23"/>
  <c r="AH95" i="23"/>
  <c r="AI94" i="23"/>
  <c r="AH94" i="23"/>
  <c r="AI93" i="23"/>
  <c r="AH93" i="23"/>
  <c r="AG92" i="23"/>
  <c r="AE5" i="23"/>
  <c r="AD92" i="23"/>
  <c r="AC5" i="23" s="1"/>
  <c r="AA92" i="23"/>
  <c r="Z92" i="23"/>
  <c r="Y92" i="23"/>
  <c r="X92" i="23"/>
  <c r="W92" i="23"/>
  <c r="V5" i="23" s="1"/>
  <c r="V92" i="23"/>
  <c r="U92" i="23"/>
  <c r="T5" i="23" s="1"/>
  <c r="T92" i="23"/>
  <c r="S5" i="23" s="1"/>
  <c r="S92" i="23"/>
  <c r="R5" i="23" s="1"/>
  <c r="R92" i="23"/>
  <c r="Q92" i="23"/>
  <c r="P92" i="23"/>
  <c r="O5" i="23" s="1"/>
  <c r="O92" i="23"/>
  <c r="N5" i="23" s="1"/>
  <c r="N92" i="23"/>
  <c r="M92" i="23"/>
  <c r="L5" i="23" s="1"/>
  <c r="L92" i="23"/>
  <c r="K5" i="23" s="1"/>
  <c r="K92" i="23"/>
  <c r="J5" i="23" s="1"/>
  <c r="J92" i="23"/>
  <c r="I92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I83" i="23"/>
  <c r="AH83" i="23"/>
  <c r="AI82" i="23"/>
  <c r="AH82" i="23"/>
  <c r="AI81" i="23"/>
  <c r="AH81" i="23"/>
  <c r="AG80" i="23"/>
  <c r="AD80" i="23"/>
  <c r="AA80" i="23"/>
  <c r="Z80" i="23"/>
  <c r="Y80" i="23"/>
  <c r="X80" i="23"/>
  <c r="W80" i="23"/>
  <c r="V80" i="23"/>
  <c r="U80" i="23"/>
  <c r="T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AI79" i="23"/>
  <c r="AH79" i="23"/>
  <c r="AI78" i="23"/>
  <c r="AH78" i="23"/>
  <c r="AI77" i="23"/>
  <c r="AH77" i="23"/>
  <c r="AG76" i="23"/>
  <c r="AG3" i="23" s="1"/>
  <c r="AD76" i="23"/>
  <c r="AA76" i="23"/>
  <c r="Z76" i="23"/>
  <c r="Y76" i="23"/>
  <c r="X76" i="23"/>
  <c r="W76" i="23"/>
  <c r="V76" i="23"/>
  <c r="U76" i="23"/>
  <c r="T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AI75" i="23"/>
  <c r="AH75" i="23"/>
  <c r="AG75" i="23"/>
  <c r="AI74" i="23"/>
  <c r="AH74" i="23"/>
  <c r="AI73" i="23"/>
  <c r="AH73" i="23"/>
  <c r="AI72" i="23"/>
  <c r="AH72" i="23"/>
  <c r="AI71" i="23"/>
  <c r="AH71" i="23"/>
  <c r="AI70" i="23"/>
  <c r="AH70" i="23"/>
  <c r="AI69" i="23"/>
  <c r="AH69" i="23"/>
  <c r="AI68" i="23"/>
  <c r="AH68" i="23"/>
  <c r="AI67" i="23"/>
  <c r="AH67" i="23"/>
  <c r="AI66" i="23"/>
  <c r="AH66" i="23"/>
  <c r="AI65" i="23"/>
  <c r="AH65" i="23"/>
  <c r="AI64" i="23"/>
  <c r="AH64" i="23"/>
  <c r="AI63" i="23"/>
  <c r="AH63" i="23"/>
  <c r="AG62" i="23"/>
  <c r="AA62" i="23"/>
  <c r="Z62" i="23"/>
  <c r="Y62" i="23"/>
  <c r="X62" i="23"/>
  <c r="W62" i="23"/>
  <c r="V62" i="23"/>
  <c r="U62" i="23"/>
  <c r="T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AI61" i="23"/>
  <c r="AH61" i="23"/>
  <c r="AI60" i="23"/>
  <c r="AH60" i="23"/>
  <c r="AI59" i="23"/>
  <c r="AH59" i="23"/>
  <c r="AG58" i="23"/>
  <c r="AA58" i="23"/>
  <c r="Z58" i="23"/>
  <c r="Y58" i="23"/>
  <c r="X58" i="23"/>
  <c r="W58" i="23"/>
  <c r="V58" i="23"/>
  <c r="U58" i="23"/>
  <c r="T58" i="23"/>
  <c r="R58" i="23"/>
  <c r="Q58" i="23"/>
  <c r="P58" i="23"/>
  <c r="O58" i="23"/>
  <c r="N58" i="23"/>
  <c r="M58" i="23"/>
  <c r="M97" i="23" s="1"/>
  <c r="M99" i="23" s="1"/>
  <c r="L58" i="23"/>
  <c r="K58" i="23"/>
  <c r="J58" i="23"/>
  <c r="I58" i="23"/>
  <c r="H58" i="23"/>
  <c r="G58" i="23"/>
  <c r="F58" i="23"/>
  <c r="E58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D5" i="23"/>
  <c r="AB5" i="23"/>
  <c r="AA5" i="23"/>
  <c r="Z5" i="23"/>
  <c r="C5" i="23"/>
  <c r="B5" i="23"/>
  <c r="AG4" i="23"/>
  <c r="K4" i="23"/>
  <c r="E4" i="23"/>
  <c r="H4" i="23" s="1"/>
  <c r="B4" i="23"/>
  <c r="S256" i="23" s="1"/>
  <c r="AG2" i="23"/>
  <c r="AF123" i="22"/>
  <c r="AF121" i="22"/>
  <c r="AF20" i="22"/>
  <c r="AF57" i="22"/>
  <c r="AF58" i="22"/>
  <c r="AF62" i="22"/>
  <c r="AF76" i="22"/>
  <c r="AF80" i="22"/>
  <c r="AA97" i="23" l="1"/>
  <c r="AA99" i="23" s="1"/>
  <c r="AS259" i="23" s="1"/>
  <c r="X108" i="23"/>
  <c r="D250" i="23"/>
  <c r="AD97" i="23"/>
  <c r="AD99" i="23" s="1"/>
  <c r="AV259" i="23" s="1"/>
  <c r="J107" i="23"/>
  <c r="J108" i="23" s="1"/>
  <c r="R107" i="23"/>
  <c r="I107" i="23"/>
  <c r="Q107" i="23"/>
  <c r="Q108" i="23" s="1"/>
  <c r="Y107" i="23"/>
  <c r="E118" i="23"/>
  <c r="L107" i="23"/>
  <c r="T107" i="23"/>
  <c r="U107" i="23"/>
  <c r="AD107" i="23"/>
  <c r="AD108" i="23" s="1"/>
  <c r="E249" i="23"/>
  <c r="D280" i="23" s="1"/>
  <c r="V108" i="23"/>
  <c r="AG6" i="23"/>
  <c r="AG97" i="23"/>
  <c r="Z107" i="23"/>
  <c r="Y108" i="23"/>
  <c r="Y97" i="23"/>
  <c r="Y99" i="23" s="1"/>
  <c r="AQ259" i="23" s="1"/>
  <c r="X5" i="23"/>
  <c r="X97" i="23"/>
  <c r="X99" i="23" s="1"/>
  <c r="X100" i="23" s="1"/>
  <c r="X7" i="23" s="1"/>
  <c r="W5" i="23"/>
  <c r="W97" i="23"/>
  <c r="W99" i="23" s="1"/>
  <c r="U5" i="23"/>
  <c r="V97" i="23"/>
  <c r="V99" i="23" s="1"/>
  <c r="U97" i="23"/>
  <c r="U99" i="23" s="1"/>
  <c r="U100" i="23" s="1"/>
  <c r="U7" i="23" s="1"/>
  <c r="T97" i="23"/>
  <c r="T99" i="23" s="1"/>
  <c r="S97" i="23"/>
  <c r="S99" i="23" s="1"/>
  <c r="S100" i="23" s="1"/>
  <c r="S7" i="23" s="1"/>
  <c r="S107" i="23"/>
  <c r="S108" i="23" s="1"/>
  <c r="P5" i="23"/>
  <c r="Q97" i="23"/>
  <c r="Q99" i="23" s="1"/>
  <c r="AI259" i="23" s="1"/>
  <c r="P97" i="23"/>
  <c r="P99" i="23" s="1"/>
  <c r="P107" i="23"/>
  <c r="P108" i="23" s="1"/>
  <c r="O97" i="23"/>
  <c r="O99" i="23" s="1"/>
  <c r="AG259" i="23" s="1"/>
  <c r="N107" i="23"/>
  <c r="N108" i="23" s="1"/>
  <c r="M5" i="23"/>
  <c r="N97" i="23"/>
  <c r="N99" i="23" s="1"/>
  <c r="AF259" i="23" s="1"/>
  <c r="M107" i="23"/>
  <c r="L97" i="23"/>
  <c r="L99" i="23" s="1"/>
  <c r="L100" i="23" s="1"/>
  <c r="L7" i="23" s="1"/>
  <c r="AI104" i="23"/>
  <c r="AI105" i="23"/>
  <c r="K97" i="23"/>
  <c r="K99" i="23" s="1"/>
  <c r="K100" i="23" s="1"/>
  <c r="K7" i="23" s="1"/>
  <c r="J97" i="23"/>
  <c r="J99" i="23" s="1"/>
  <c r="J100" i="23" s="1"/>
  <c r="I108" i="23"/>
  <c r="H5" i="23"/>
  <c r="I97" i="23"/>
  <c r="I99" i="23" s="1"/>
  <c r="I100" i="23" s="1"/>
  <c r="I7" i="23" s="1"/>
  <c r="H97" i="23"/>
  <c r="H99" i="23" s="1"/>
  <c r="H100" i="23" s="1"/>
  <c r="H7" i="23" s="1"/>
  <c r="AI80" i="23"/>
  <c r="G97" i="23"/>
  <c r="G99" i="23" s="1"/>
  <c r="Y259" i="23" s="1"/>
  <c r="F108" i="23"/>
  <c r="F97" i="23"/>
  <c r="F99" i="23" s="1"/>
  <c r="F100" i="23" s="1"/>
  <c r="F7" i="23" s="1"/>
  <c r="AI76" i="23"/>
  <c r="E107" i="23"/>
  <c r="E108" i="23" s="1"/>
  <c r="E97" i="23"/>
  <c r="E99" i="23" s="1"/>
  <c r="C97" i="23"/>
  <c r="C99" i="23" s="1"/>
  <c r="C100" i="23" s="1"/>
  <c r="C7" i="23" s="1"/>
  <c r="D97" i="23"/>
  <c r="D99" i="23" s="1"/>
  <c r="D100" i="23" s="1"/>
  <c r="D7" i="23" s="1"/>
  <c r="G5" i="23"/>
  <c r="H108" i="23"/>
  <c r="AA259" i="23"/>
  <c r="AH123" i="23"/>
  <c r="AI121" i="23"/>
  <c r="AH121" i="23"/>
  <c r="AH57" i="23"/>
  <c r="AH122" i="23"/>
  <c r="AK259" i="23"/>
  <c r="AO259" i="23"/>
  <c r="AW259" i="23"/>
  <c r="AE259" i="23"/>
  <c r="M100" i="23"/>
  <c r="M7" i="23" s="1"/>
  <c r="G244" i="23"/>
  <c r="V259" i="23"/>
  <c r="AT259" i="23"/>
  <c r="AB7" i="23"/>
  <c r="M108" i="23"/>
  <c r="U108" i="23"/>
  <c r="AU259" i="23"/>
  <c r="AC7" i="23"/>
  <c r="Q100" i="23"/>
  <c r="Q7" i="23" s="1"/>
  <c r="G107" i="23"/>
  <c r="G108" i="23" s="1"/>
  <c r="O107" i="23"/>
  <c r="O108" i="23" s="1"/>
  <c r="W107" i="23"/>
  <c r="W108" i="23" s="1"/>
  <c r="AM259" i="23"/>
  <c r="AP259" i="23"/>
  <c r="AX259" i="23"/>
  <c r="AF7" i="23"/>
  <c r="AI62" i="23"/>
  <c r="AI103" i="23"/>
  <c r="AF5" i="23"/>
  <c r="AI92" i="23"/>
  <c r="I5" i="23"/>
  <c r="Q5" i="23"/>
  <c r="R108" i="23"/>
  <c r="Y5" i="23"/>
  <c r="Z108" i="23"/>
  <c r="AH92" i="23"/>
  <c r="AI102" i="23"/>
  <c r="AI58" i="23"/>
  <c r="R97" i="23"/>
  <c r="R99" i="23" s="1"/>
  <c r="Z97" i="23"/>
  <c r="Z99" i="23" s="1"/>
  <c r="AH80" i="23"/>
  <c r="K108" i="23"/>
  <c r="AA108" i="23"/>
  <c r="AI101" i="23"/>
  <c r="F245" i="23"/>
  <c r="G245" i="23" s="1"/>
  <c r="H245" i="23" s="1"/>
  <c r="I245" i="23" s="1"/>
  <c r="J245" i="23" s="1"/>
  <c r="K245" i="23" s="1"/>
  <c r="L245" i="23" s="1"/>
  <c r="M245" i="23" s="1"/>
  <c r="N245" i="23" s="1"/>
  <c r="O245" i="23" s="1"/>
  <c r="P245" i="23" s="1"/>
  <c r="Q245" i="23" s="1"/>
  <c r="R245" i="23" s="1"/>
  <c r="S245" i="23" s="1"/>
  <c r="T245" i="23" s="1"/>
  <c r="U245" i="23" s="1"/>
  <c r="V245" i="23" s="1"/>
  <c r="W245" i="23" s="1"/>
  <c r="X245" i="23" s="1"/>
  <c r="Y245" i="23" s="1"/>
  <c r="Z245" i="23" s="1"/>
  <c r="AA245" i="23" s="1"/>
  <c r="AB245" i="23" s="1"/>
  <c r="AC245" i="23" s="1"/>
  <c r="AD245" i="23" s="1"/>
  <c r="AE245" i="23" s="1"/>
  <c r="AF245" i="23" s="1"/>
  <c r="B245" i="23" s="1"/>
  <c r="E250" i="23"/>
  <c r="W259" i="23"/>
  <c r="AN259" i="23"/>
  <c r="V100" i="23"/>
  <c r="V7" i="23" s="1"/>
  <c r="AH76" i="23"/>
  <c r="L108" i="23"/>
  <c r="T108" i="23"/>
  <c r="D256" i="23"/>
  <c r="AH101" i="23"/>
  <c r="F249" i="23"/>
  <c r="F118" i="23" s="1"/>
  <c r="AH102" i="23"/>
  <c r="AH58" i="23"/>
  <c r="AH62" i="23"/>
  <c r="AH103" i="23"/>
  <c r="AH104" i="23"/>
  <c r="AH105" i="23"/>
  <c r="AE121" i="22"/>
  <c r="AE57" i="22"/>
  <c r="AE20" i="22"/>
  <c r="AE58" i="22"/>
  <c r="AE62" i="22"/>
  <c r="AE76" i="22"/>
  <c r="AE80" i="22"/>
  <c r="AE92" i="22"/>
  <c r="AE101" i="22"/>
  <c r="AE107" i="22" s="1"/>
  <c r="AE102" i="22"/>
  <c r="AE103" i="22"/>
  <c r="AE104" i="22"/>
  <c r="AE105" i="22"/>
  <c r="AD123" i="22"/>
  <c r="AD57" i="22"/>
  <c r="AD20" i="22"/>
  <c r="AC123" i="22"/>
  <c r="AC57" i="22"/>
  <c r="AC20" i="22"/>
  <c r="AB123" i="22"/>
  <c r="AB57" i="22"/>
  <c r="AB20" i="22"/>
  <c r="AA123" i="22"/>
  <c r="AA20" i="22"/>
  <c r="AA58" i="22" s="1"/>
  <c r="AA62" i="22"/>
  <c r="AA76" i="22"/>
  <c r="AA80" i="22"/>
  <c r="AA92" i="22"/>
  <c r="AA101" i="22"/>
  <c r="AA102" i="22"/>
  <c r="AA103" i="22"/>
  <c r="AA104" i="22"/>
  <c r="AA105" i="22"/>
  <c r="AA118" i="22"/>
  <c r="Z123" i="22"/>
  <c r="Z20" i="22"/>
  <c r="Z58" i="22" s="1"/>
  <c r="Z62" i="22"/>
  <c r="Z76" i="22"/>
  <c r="Z80" i="22"/>
  <c r="Z92" i="22"/>
  <c r="Z101" i="22"/>
  <c r="Z102" i="22"/>
  <c r="Z103" i="22"/>
  <c r="Z104" i="22"/>
  <c r="Z105" i="22"/>
  <c r="Z118" i="22"/>
  <c r="Y123" i="22"/>
  <c r="Y20" i="22"/>
  <c r="Y58" i="22" s="1"/>
  <c r="Y62" i="22"/>
  <c r="Y76" i="22"/>
  <c r="Y80" i="22"/>
  <c r="Y92" i="22"/>
  <c r="Y101" i="22"/>
  <c r="Y102" i="22"/>
  <c r="Y103" i="22"/>
  <c r="Y104" i="22"/>
  <c r="Y105" i="22"/>
  <c r="Y118" i="22"/>
  <c r="X123" i="22"/>
  <c r="X118" i="22" s="1"/>
  <c r="X105" i="22"/>
  <c r="X104" i="22"/>
  <c r="X103" i="22"/>
  <c r="X102" i="22"/>
  <c r="X101" i="22"/>
  <c r="X107" i="22" s="1"/>
  <c r="X92" i="22"/>
  <c r="X108" i="22" s="1"/>
  <c r="X80" i="22"/>
  <c r="X76" i="22"/>
  <c r="X62" i="22"/>
  <c r="X58" i="22"/>
  <c r="X97" i="22" s="1"/>
  <c r="X99" i="22" s="1"/>
  <c r="X57" i="22"/>
  <c r="X20" i="22"/>
  <c r="W121" i="22"/>
  <c r="W57" i="22"/>
  <c r="W20" i="22"/>
  <c r="V123" i="22"/>
  <c r="V20" i="22"/>
  <c r="V58" i="22" s="1"/>
  <c r="V62" i="22"/>
  <c r="V76" i="22"/>
  <c r="V80" i="22"/>
  <c r="V92" i="22"/>
  <c r="V101" i="22"/>
  <c r="V107" i="22" s="1"/>
  <c r="V102" i="22"/>
  <c r="V103" i="22"/>
  <c r="V104" i="22"/>
  <c r="V105" i="22"/>
  <c r="AA100" i="23" l="1"/>
  <c r="AA7" i="23" s="1"/>
  <c r="Z259" i="23"/>
  <c r="AD100" i="23"/>
  <c r="AD7" i="23" s="1"/>
  <c r="E100" i="23"/>
  <c r="E7" i="23" s="1"/>
  <c r="T100" i="23"/>
  <c r="T7" i="23" s="1"/>
  <c r="P100" i="23"/>
  <c r="P7" i="23" s="1"/>
  <c r="X259" i="23"/>
  <c r="Y100" i="23"/>
  <c r="Y7" i="23" s="1"/>
  <c r="AL259" i="23"/>
  <c r="AH259" i="23"/>
  <c r="N100" i="23"/>
  <c r="N7" i="23" s="1"/>
  <c r="AD259" i="23"/>
  <c r="AC259" i="23"/>
  <c r="G100" i="23"/>
  <c r="G7" i="23" s="1"/>
  <c r="B254" i="23"/>
  <c r="C254" i="23"/>
  <c r="U259" i="23"/>
  <c r="AI107" i="23"/>
  <c r="AH107" i="23"/>
  <c r="W100" i="23"/>
  <c r="W7" i="23" s="1"/>
  <c r="AI97" i="23"/>
  <c r="AH97" i="23"/>
  <c r="AI108" i="23"/>
  <c r="AH108" i="23"/>
  <c r="AR259" i="23"/>
  <c r="Z100" i="23"/>
  <c r="Z7" i="23" s="1"/>
  <c r="F250" i="23"/>
  <c r="O100" i="23"/>
  <c r="O7" i="23" s="1"/>
  <c r="AJ259" i="23"/>
  <c r="R100" i="23"/>
  <c r="R7" i="23" s="1"/>
  <c r="H244" i="23"/>
  <c r="AB259" i="23"/>
  <c r="J7" i="23"/>
  <c r="AE7" i="23"/>
  <c r="E280" i="23"/>
  <c r="G249" i="23"/>
  <c r="AE97" i="22"/>
  <c r="AE99" i="22" s="1"/>
  <c r="AE100" i="22" s="1"/>
  <c r="AE108" i="22"/>
  <c r="AA107" i="22"/>
  <c r="AA108" i="22" s="1"/>
  <c r="AA97" i="22"/>
  <c r="AA99" i="22" s="1"/>
  <c r="AA100" i="22" s="1"/>
  <c r="Z107" i="22"/>
  <c r="Z108" i="22" s="1"/>
  <c r="Z97" i="22"/>
  <c r="Z99" i="22" s="1"/>
  <c r="Z100" i="22" s="1"/>
  <c r="Y107" i="22"/>
  <c r="Y97" i="22"/>
  <c r="Y99" i="22" s="1"/>
  <c r="Y100" i="22" s="1"/>
  <c r="Y108" i="22"/>
  <c r="X100" i="22"/>
  <c r="V97" i="22"/>
  <c r="V99" i="22" s="1"/>
  <c r="V100" i="22" s="1"/>
  <c r="V108" i="22"/>
  <c r="U123" i="22"/>
  <c r="U20" i="22"/>
  <c r="U58" i="22" s="1"/>
  <c r="U62" i="22"/>
  <c r="U76" i="22"/>
  <c r="U80" i="22"/>
  <c r="U92" i="22"/>
  <c r="U101" i="22"/>
  <c r="U102" i="22"/>
  <c r="U103" i="22"/>
  <c r="U104" i="22"/>
  <c r="U105" i="22"/>
  <c r="T123" i="22"/>
  <c r="T20" i="22"/>
  <c r="T58" i="22"/>
  <c r="T62" i="22"/>
  <c r="T76" i="22"/>
  <c r="T80" i="22"/>
  <c r="T92" i="22"/>
  <c r="T101" i="22"/>
  <c r="T102" i="22"/>
  <c r="T103" i="22"/>
  <c r="T104" i="22"/>
  <c r="T105" i="22"/>
  <c r="S123" i="22"/>
  <c r="S20" i="22"/>
  <c r="S58" i="22" s="1"/>
  <c r="S62" i="22"/>
  <c r="S76" i="22"/>
  <c r="S80" i="22"/>
  <c r="S92" i="22"/>
  <c r="S101" i="22"/>
  <c r="S102" i="22"/>
  <c r="S103" i="22"/>
  <c r="S104" i="22"/>
  <c r="S105" i="22"/>
  <c r="K6" i="23" l="1"/>
  <c r="I244" i="23"/>
  <c r="F280" i="23"/>
  <c r="H249" i="23"/>
  <c r="H250" i="23" s="1"/>
  <c r="G250" i="23"/>
  <c r="T259" i="23"/>
  <c r="AH99" i="23"/>
  <c r="AI99" i="23"/>
  <c r="G118" i="23"/>
  <c r="T107" i="22"/>
  <c r="S107" i="22"/>
  <c r="U97" i="22"/>
  <c r="U99" i="22" s="1"/>
  <c r="U107" i="22"/>
  <c r="U108" i="22" s="1"/>
  <c r="T97" i="22"/>
  <c r="T99" i="22" s="1"/>
  <c r="T100" i="22" s="1"/>
  <c r="T108" i="22"/>
  <c r="S97" i="22"/>
  <c r="S99" i="22" s="1"/>
  <c r="S100" i="22" s="1"/>
  <c r="S108" i="22"/>
  <c r="B7" i="23" l="1"/>
  <c r="A7" i="23" s="1"/>
  <c r="AI100" i="23"/>
  <c r="AH100" i="23"/>
  <c r="G280" i="23"/>
  <c r="I249" i="23"/>
  <c r="I118" i="23" s="1"/>
  <c r="H118" i="23"/>
  <c r="I250" i="23"/>
  <c r="J244" i="23"/>
  <c r="U100" i="22"/>
  <c r="R123" i="22"/>
  <c r="R20" i="22"/>
  <c r="Q123" i="22"/>
  <c r="Q20" i="22"/>
  <c r="P20" i="22"/>
  <c r="O123" i="22"/>
  <c r="O20" i="22"/>
  <c r="N123" i="22"/>
  <c r="N20" i="22"/>
  <c r="M123" i="22"/>
  <c r="M20" i="22"/>
  <c r="L123" i="22"/>
  <c r="L20" i="22"/>
  <c r="K123" i="22"/>
  <c r="K20" i="22"/>
  <c r="K58" i="22" s="1"/>
  <c r="K62" i="22"/>
  <c r="K76" i="22"/>
  <c r="K80" i="22"/>
  <c r="K92" i="22"/>
  <c r="K101" i="22"/>
  <c r="K102" i="22"/>
  <c r="K103" i="22"/>
  <c r="K104" i="22"/>
  <c r="K105" i="22"/>
  <c r="J123" i="22"/>
  <c r="J20" i="22"/>
  <c r="J58" i="22" s="1"/>
  <c r="J62" i="22"/>
  <c r="J76" i="22"/>
  <c r="J80" i="22"/>
  <c r="J92" i="22"/>
  <c r="J101" i="22"/>
  <c r="J102" i="22"/>
  <c r="J103" i="22"/>
  <c r="J104" i="22"/>
  <c r="J105" i="22"/>
  <c r="I123" i="22"/>
  <c r="I20" i="22"/>
  <c r="I58" i="22" s="1"/>
  <c r="I62" i="22"/>
  <c r="I76" i="22"/>
  <c r="I80" i="22"/>
  <c r="I92" i="22"/>
  <c r="I101" i="22"/>
  <c r="I102" i="22"/>
  <c r="I103" i="22"/>
  <c r="I104" i="22"/>
  <c r="I105" i="22"/>
  <c r="H123" i="22"/>
  <c r="H20" i="22"/>
  <c r="H58" i="22" s="1"/>
  <c r="H62" i="22"/>
  <c r="H76" i="22"/>
  <c r="H80" i="22"/>
  <c r="H92" i="22"/>
  <c r="H101" i="22"/>
  <c r="H102" i="22"/>
  <c r="H103" i="22"/>
  <c r="H104" i="22"/>
  <c r="H105" i="22"/>
  <c r="G123" i="22"/>
  <c r="G20" i="22"/>
  <c r="G58" i="22"/>
  <c r="G62" i="22"/>
  <c r="G76" i="22"/>
  <c r="G80" i="22"/>
  <c r="G92" i="22"/>
  <c r="G101" i="22"/>
  <c r="G102" i="22"/>
  <c r="G103" i="22"/>
  <c r="G104" i="22"/>
  <c r="G105" i="22"/>
  <c r="F123" i="22"/>
  <c r="F20" i="22"/>
  <c r="F58" i="22" s="1"/>
  <c r="F62" i="22"/>
  <c r="F76" i="22"/>
  <c r="F80" i="22"/>
  <c r="F92" i="22"/>
  <c r="F101" i="22"/>
  <c r="F102" i="22"/>
  <c r="F103" i="22"/>
  <c r="F104" i="22"/>
  <c r="F105" i="22"/>
  <c r="E123" i="22"/>
  <c r="D20" i="22"/>
  <c r="D58" i="22" s="1"/>
  <c r="E20" i="22"/>
  <c r="E58" i="22" s="1"/>
  <c r="D62" i="22"/>
  <c r="E62" i="22"/>
  <c r="D76" i="22"/>
  <c r="E76" i="22"/>
  <c r="D80" i="22"/>
  <c r="E80" i="22"/>
  <c r="D92" i="22"/>
  <c r="E92" i="22"/>
  <c r="D101" i="22"/>
  <c r="E101" i="22"/>
  <c r="D102" i="22"/>
  <c r="E102" i="22"/>
  <c r="D103" i="22"/>
  <c r="E103" i="22"/>
  <c r="D104" i="22"/>
  <c r="E104" i="22"/>
  <c r="D105" i="22"/>
  <c r="E105" i="22"/>
  <c r="H280" i="23" l="1"/>
  <c r="J249" i="23"/>
  <c r="J118" i="23" s="1"/>
  <c r="J250" i="23"/>
  <c r="K244" i="23"/>
  <c r="F107" i="22"/>
  <c r="F108" i="22" s="1"/>
  <c r="G107" i="22"/>
  <c r="G108" i="22" s="1"/>
  <c r="K97" i="22"/>
  <c r="K99" i="22" s="1"/>
  <c r="K107" i="22"/>
  <c r="K108" i="22" s="1"/>
  <c r="J97" i="22"/>
  <c r="J99" i="22" s="1"/>
  <c r="J107" i="22"/>
  <c r="J108" i="22" s="1"/>
  <c r="I97" i="22"/>
  <c r="I99" i="22" s="1"/>
  <c r="I107" i="22"/>
  <c r="H107" i="22"/>
  <c r="H108" i="22" s="1"/>
  <c r="H97" i="22"/>
  <c r="H99" i="22" s="1"/>
  <c r="G97" i="22"/>
  <c r="G99" i="22" s="1"/>
  <c r="G100" i="22" s="1"/>
  <c r="F97" i="22"/>
  <c r="F99" i="22" s="1"/>
  <c r="D107" i="22"/>
  <c r="D108" i="22" s="1"/>
  <c r="E107" i="22"/>
  <c r="E108" i="22" s="1"/>
  <c r="E97" i="22"/>
  <c r="E99" i="22" s="1"/>
  <c r="D97" i="22"/>
  <c r="D99" i="22" s="1"/>
  <c r="L244" i="23" l="1"/>
  <c r="K249" i="23"/>
  <c r="K250" i="23" s="1"/>
  <c r="I280" i="23"/>
  <c r="F100" i="22"/>
  <c r="H100" i="22"/>
  <c r="D100" i="22"/>
  <c r="K100" i="22"/>
  <c r="J100" i="22"/>
  <c r="I100" i="22"/>
  <c r="I108" i="22"/>
  <c r="E100" i="22"/>
  <c r="J280" i="23" l="1"/>
  <c r="L249" i="23"/>
  <c r="L250" i="23" s="1"/>
  <c r="M244" i="23"/>
  <c r="L118" i="23"/>
  <c r="K118" i="23"/>
  <c r="C20" i="22"/>
  <c r="C58" i="22" s="1"/>
  <c r="C62" i="22"/>
  <c r="C76" i="22"/>
  <c r="C80" i="22"/>
  <c r="C92" i="22"/>
  <c r="B5" i="22" s="1"/>
  <c r="C101" i="22"/>
  <c r="C102" i="22"/>
  <c r="C103" i="22"/>
  <c r="C104" i="22"/>
  <c r="C105" i="22"/>
  <c r="C118" i="22"/>
  <c r="B105" i="22"/>
  <c r="B104" i="22"/>
  <c r="B103" i="22"/>
  <c r="B102" i="22"/>
  <c r="B101" i="22"/>
  <c r="B107" i="22" s="1"/>
  <c r="B92" i="22"/>
  <c r="B80" i="22"/>
  <c r="B76" i="22"/>
  <c r="B62" i="22"/>
  <c r="B20" i="22"/>
  <c r="B58" i="22" s="1"/>
  <c r="AF284" i="22"/>
  <c r="AE284" i="22"/>
  <c r="AD284" i="22"/>
  <c r="AC284" i="22"/>
  <c r="AB284" i="22"/>
  <c r="AA284" i="22"/>
  <c r="Z284" i="22"/>
  <c r="Y284" i="22"/>
  <c r="X284" i="22"/>
  <c r="W284" i="22"/>
  <c r="V284" i="22"/>
  <c r="U284" i="22"/>
  <c r="T284" i="22"/>
  <c r="S284" i="22"/>
  <c r="R284" i="22"/>
  <c r="Q284" i="22"/>
  <c r="P284" i="22"/>
  <c r="O284" i="22"/>
  <c r="N284" i="22"/>
  <c r="M284" i="22"/>
  <c r="L284" i="22"/>
  <c r="K284" i="22"/>
  <c r="J284" i="22"/>
  <c r="I284" i="22"/>
  <c r="H284" i="22"/>
  <c r="G284" i="22"/>
  <c r="F284" i="22"/>
  <c r="E284" i="22"/>
  <c r="D284" i="22"/>
  <c r="C284" i="22"/>
  <c r="B284" i="22"/>
  <c r="A284" i="22"/>
  <c r="AF283" i="22"/>
  <c r="AE283" i="22"/>
  <c r="AD283" i="22"/>
  <c r="AC283" i="22"/>
  <c r="AB283" i="22"/>
  <c r="AA283" i="22"/>
  <c r="Z283" i="22"/>
  <c r="Y283" i="22"/>
  <c r="X283" i="22"/>
  <c r="W283" i="22"/>
  <c r="V283" i="22"/>
  <c r="U283" i="22"/>
  <c r="T283" i="22"/>
  <c r="S283" i="22"/>
  <c r="R283" i="22"/>
  <c r="Q283" i="22"/>
  <c r="P283" i="22"/>
  <c r="O283" i="22"/>
  <c r="N283" i="22"/>
  <c r="M283" i="22"/>
  <c r="L283" i="22"/>
  <c r="K283" i="22"/>
  <c r="J283" i="22"/>
  <c r="I283" i="22"/>
  <c r="H283" i="22"/>
  <c r="G283" i="22"/>
  <c r="F283" i="22"/>
  <c r="E283" i="22"/>
  <c r="D283" i="22"/>
  <c r="C283" i="22"/>
  <c r="B283" i="22"/>
  <c r="A283" i="22"/>
  <c r="AF282" i="22"/>
  <c r="AE282" i="22"/>
  <c r="AD282" i="22"/>
  <c r="AC282" i="22"/>
  <c r="AB282" i="22"/>
  <c r="AA282" i="22"/>
  <c r="Z282" i="22"/>
  <c r="Y282" i="22"/>
  <c r="X282" i="22"/>
  <c r="W282" i="22"/>
  <c r="V282" i="22"/>
  <c r="U282" i="22"/>
  <c r="T282" i="22"/>
  <c r="S282" i="22"/>
  <c r="R282" i="22"/>
  <c r="Q282" i="22"/>
  <c r="P282" i="22"/>
  <c r="O282" i="22"/>
  <c r="N282" i="22"/>
  <c r="M282" i="22"/>
  <c r="L282" i="22"/>
  <c r="K282" i="22"/>
  <c r="J282" i="22"/>
  <c r="I282" i="22"/>
  <c r="H282" i="22"/>
  <c r="G282" i="22"/>
  <c r="F282" i="22"/>
  <c r="E282" i="22"/>
  <c r="D282" i="22"/>
  <c r="C282" i="22"/>
  <c r="B282" i="22"/>
  <c r="A282" i="22"/>
  <c r="AF281" i="22"/>
  <c r="AE281" i="22"/>
  <c r="AD281" i="22"/>
  <c r="AC281" i="22"/>
  <c r="AB281" i="22"/>
  <c r="AA281" i="22"/>
  <c r="Z281" i="22"/>
  <c r="Y281" i="22"/>
  <c r="X281" i="22"/>
  <c r="W281" i="22"/>
  <c r="V281" i="22"/>
  <c r="U281" i="22"/>
  <c r="T281" i="22"/>
  <c r="S281" i="22"/>
  <c r="R281" i="22"/>
  <c r="Q281" i="22"/>
  <c r="P281" i="22"/>
  <c r="O281" i="22"/>
  <c r="N281" i="22"/>
  <c r="M281" i="22"/>
  <c r="L281" i="22"/>
  <c r="K281" i="22"/>
  <c r="J281" i="22"/>
  <c r="I281" i="22"/>
  <c r="H281" i="22"/>
  <c r="G281" i="22"/>
  <c r="F281" i="22"/>
  <c r="E281" i="22"/>
  <c r="D281" i="22"/>
  <c r="C281" i="22"/>
  <c r="B281" i="22"/>
  <c r="A281" i="22"/>
  <c r="B280" i="22"/>
  <c r="Z259" i="22"/>
  <c r="S255" i="22"/>
  <c r="AG250" i="22"/>
  <c r="C250" i="22"/>
  <c r="D249" i="22"/>
  <c r="D248" i="22"/>
  <c r="E248" i="22" s="1"/>
  <c r="F248" i="22" s="1"/>
  <c r="G248" i="22" s="1"/>
  <c r="H248" i="22" s="1"/>
  <c r="I248" i="22" s="1"/>
  <c r="J248" i="22" s="1"/>
  <c r="K248" i="22" s="1"/>
  <c r="L248" i="22" s="1"/>
  <c r="M248" i="22" s="1"/>
  <c r="N248" i="22" s="1"/>
  <c r="O248" i="22" s="1"/>
  <c r="P248" i="22" s="1"/>
  <c r="Q248" i="22" s="1"/>
  <c r="R248" i="22" s="1"/>
  <c r="S248" i="22" s="1"/>
  <c r="T248" i="22" s="1"/>
  <c r="U248" i="22" s="1"/>
  <c r="V248" i="22" s="1"/>
  <c r="W248" i="22" s="1"/>
  <c r="X248" i="22" s="1"/>
  <c r="Y248" i="22" s="1"/>
  <c r="Z248" i="22" s="1"/>
  <c r="AA248" i="22" s="1"/>
  <c r="AB248" i="22" s="1"/>
  <c r="AC248" i="22" s="1"/>
  <c r="AD248" i="22" s="1"/>
  <c r="AE248" i="22" s="1"/>
  <c r="AF248" i="22" s="1"/>
  <c r="B248" i="22" s="1"/>
  <c r="D247" i="22"/>
  <c r="E247" i="22" s="1"/>
  <c r="F247" i="22" s="1"/>
  <c r="G247" i="22" s="1"/>
  <c r="H247" i="22" s="1"/>
  <c r="I247" i="22" s="1"/>
  <c r="J247" i="22" s="1"/>
  <c r="K247" i="22" s="1"/>
  <c r="L247" i="22" s="1"/>
  <c r="M247" i="22" s="1"/>
  <c r="N247" i="22" s="1"/>
  <c r="O247" i="22" s="1"/>
  <c r="P247" i="22" s="1"/>
  <c r="Q247" i="22" s="1"/>
  <c r="R247" i="22" s="1"/>
  <c r="S247" i="22" s="1"/>
  <c r="T247" i="22" s="1"/>
  <c r="U247" i="22" s="1"/>
  <c r="V247" i="22" s="1"/>
  <c r="W247" i="22" s="1"/>
  <c r="X247" i="22" s="1"/>
  <c r="Y247" i="22" s="1"/>
  <c r="Z247" i="22" s="1"/>
  <c r="AA247" i="22" s="1"/>
  <c r="AB247" i="22" s="1"/>
  <c r="AC247" i="22" s="1"/>
  <c r="AD247" i="22" s="1"/>
  <c r="AE247" i="22" s="1"/>
  <c r="AF247" i="22" s="1"/>
  <c r="B247" i="22" s="1"/>
  <c r="D246" i="22"/>
  <c r="E246" i="22" s="1"/>
  <c r="F246" i="22" s="1"/>
  <c r="G246" i="22" s="1"/>
  <c r="H246" i="22" s="1"/>
  <c r="I246" i="22" s="1"/>
  <c r="J246" i="22" s="1"/>
  <c r="K246" i="22" s="1"/>
  <c r="L246" i="22" s="1"/>
  <c r="M246" i="22" s="1"/>
  <c r="N246" i="22" s="1"/>
  <c r="O246" i="22" s="1"/>
  <c r="P246" i="22" s="1"/>
  <c r="Q246" i="22" s="1"/>
  <c r="R246" i="22" s="1"/>
  <c r="S246" i="22" s="1"/>
  <c r="T246" i="22" s="1"/>
  <c r="U246" i="22" s="1"/>
  <c r="V246" i="22" s="1"/>
  <c r="W246" i="22" s="1"/>
  <c r="X246" i="22" s="1"/>
  <c r="Y246" i="22" s="1"/>
  <c r="Z246" i="22" s="1"/>
  <c r="AA246" i="22" s="1"/>
  <c r="AB246" i="22" s="1"/>
  <c r="AC246" i="22" s="1"/>
  <c r="AD246" i="22" s="1"/>
  <c r="AE246" i="22" s="1"/>
  <c r="AF246" i="22" s="1"/>
  <c r="B246" i="22" s="1"/>
  <c r="D245" i="22"/>
  <c r="D244" i="22"/>
  <c r="AG242" i="22"/>
  <c r="AF242" i="22"/>
  <c r="AE242" i="22"/>
  <c r="AD242" i="22"/>
  <c r="AC242" i="22"/>
  <c r="AB242" i="22"/>
  <c r="AA242" i="22"/>
  <c r="Z242" i="22"/>
  <c r="Y242" i="22"/>
  <c r="X242" i="22"/>
  <c r="W242" i="22"/>
  <c r="V242" i="22"/>
  <c r="U242" i="22"/>
  <c r="T242" i="22"/>
  <c r="S242" i="22"/>
  <c r="R242" i="22"/>
  <c r="Q242" i="22"/>
  <c r="P242" i="22"/>
  <c r="O242" i="22"/>
  <c r="N242" i="22"/>
  <c r="M242" i="22"/>
  <c r="L242" i="22"/>
  <c r="K242" i="22"/>
  <c r="J242" i="22"/>
  <c r="I242" i="22"/>
  <c r="H242" i="22"/>
  <c r="G242" i="22"/>
  <c r="F242" i="22"/>
  <c r="E242" i="22"/>
  <c r="D242" i="22"/>
  <c r="C242" i="22"/>
  <c r="B242" i="22"/>
  <c r="AI130" i="22"/>
  <c r="AH130" i="22"/>
  <c r="AI129" i="22"/>
  <c r="AH129" i="22"/>
  <c r="AI128" i="22"/>
  <c r="AH128" i="22"/>
  <c r="AI127" i="22"/>
  <c r="AH127" i="22"/>
  <c r="AI126" i="22"/>
  <c r="AH126" i="22"/>
  <c r="AI123" i="22"/>
  <c r="AH123" i="22"/>
  <c r="AI122" i="22"/>
  <c r="AH122" i="22"/>
  <c r="AI121" i="22"/>
  <c r="AH121" i="22"/>
  <c r="AI120" i="22"/>
  <c r="AH120" i="22"/>
  <c r="AI119" i="22"/>
  <c r="AH119" i="22"/>
  <c r="AI117" i="22"/>
  <c r="AH117" i="22"/>
  <c r="AI116" i="22"/>
  <c r="AH116" i="22"/>
  <c r="AI115" i="22"/>
  <c r="AH115" i="22"/>
  <c r="AI114" i="22"/>
  <c r="AH114" i="22"/>
  <c r="AI113" i="22"/>
  <c r="AH113" i="22"/>
  <c r="AI112" i="22"/>
  <c r="AH112" i="22"/>
  <c r="AI111" i="22"/>
  <c r="AH111" i="22"/>
  <c r="AI110" i="22"/>
  <c r="AH110" i="22"/>
  <c r="AI109" i="22"/>
  <c r="AH109" i="22"/>
  <c r="AI106" i="22"/>
  <c r="AH106" i="22"/>
  <c r="AF105" i="22"/>
  <c r="AD105" i="22"/>
  <c r="AC105" i="22"/>
  <c r="AB105" i="22"/>
  <c r="W105" i="22"/>
  <c r="R105" i="22"/>
  <c r="Q105" i="22"/>
  <c r="P105" i="22"/>
  <c r="O105" i="22"/>
  <c r="N105" i="22"/>
  <c r="M105" i="22"/>
  <c r="L105" i="22"/>
  <c r="AF104" i="22"/>
  <c r="AD104" i="22"/>
  <c r="AC104" i="22"/>
  <c r="AB104" i="22"/>
  <c r="W104" i="22"/>
  <c r="R104" i="22"/>
  <c r="Q104" i="22"/>
  <c r="P104" i="22"/>
  <c r="O104" i="22"/>
  <c r="N104" i="22"/>
  <c r="M104" i="22"/>
  <c r="L104" i="22"/>
  <c r="AF103" i="22"/>
  <c r="AD103" i="22"/>
  <c r="AC103" i="22"/>
  <c r="AB103" i="22"/>
  <c r="W103" i="22"/>
  <c r="R103" i="22"/>
  <c r="Q103" i="22"/>
  <c r="P103" i="22"/>
  <c r="O103" i="22"/>
  <c r="N103" i="22"/>
  <c r="M103" i="22"/>
  <c r="L103" i="22"/>
  <c r="AF102" i="22"/>
  <c r="AD102" i="22"/>
  <c r="AC102" i="22"/>
  <c r="AB102" i="22"/>
  <c r="W102" i="22"/>
  <c r="R102" i="22"/>
  <c r="Q102" i="22"/>
  <c r="P102" i="22"/>
  <c r="O102" i="22"/>
  <c r="N102" i="22"/>
  <c r="M102" i="22"/>
  <c r="L102" i="22"/>
  <c r="AF101" i="22"/>
  <c r="AD101" i="22"/>
  <c r="AC101" i="22"/>
  <c r="AB101" i="22"/>
  <c r="W101" i="22"/>
  <c r="W107" i="22" s="1"/>
  <c r="R101" i="22"/>
  <c r="Q101" i="22"/>
  <c r="P101" i="22"/>
  <c r="O101" i="22"/>
  <c r="N101" i="22"/>
  <c r="M101" i="22"/>
  <c r="L101" i="22"/>
  <c r="AI98" i="22"/>
  <c r="AH98" i="22"/>
  <c r="AI96" i="22"/>
  <c r="AH96" i="22"/>
  <c r="AG96" i="22"/>
  <c r="AI95" i="22"/>
  <c r="AH95" i="22"/>
  <c r="AI94" i="22"/>
  <c r="AH94" i="22"/>
  <c r="AI93" i="22"/>
  <c r="AH93" i="22"/>
  <c r="AG92" i="22"/>
  <c r="AF92" i="22"/>
  <c r="AF97" i="22" s="1"/>
  <c r="AF99" i="22" s="1"/>
  <c r="AX259" i="22" s="1"/>
  <c r="AD92" i="22"/>
  <c r="AC5" i="22" s="1"/>
  <c r="AC92" i="22"/>
  <c r="AB5" i="22" s="1"/>
  <c r="AB92" i="22"/>
  <c r="AA5" i="22" s="1"/>
  <c r="Z5" i="22"/>
  <c r="Y5" i="22"/>
  <c r="W92" i="22"/>
  <c r="V5" i="22" s="1"/>
  <c r="T5" i="22"/>
  <c r="R5" i="22"/>
  <c r="R92" i="22"/>
  <c r="Q92" i="22"/>
  <c r="P92" i="22"/>
  <c r="O5" i="22" s="1"/>
  <c r="O92" i="22"/>
  <c r="N5" i="22" s="1"/>
  <c r="N92" i="22"/>
  <c r="M92" i="22"/>
  <c r="L5" i="22" s="1"/>
  <c r="L92" i="22"/>
  <c r="K5" i="22" s="1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I83" i="22"/>
  <c r="AH83" i="22"/>
  <c r="AI82" i="22"/>
  <c r="AH82" i="22"/>
  <c r="AI81" i="22"/>
  <c r="AH81" i="22"/>
  <c r="AG80" i="22"/>
  <c r="AG4" i="22" s="1"/>
  <c r="AD80" i="22"/>
  <c r="AC80" i="22"/>
  <c r="AB80" i="22"/>
  <c r="W80" i="22"/>
  <c r="R80" i="22"/>
  <c r="Q80" i="22"/>
  <c r="P80" i="22"/>
  <c r="O80" i="22"/>
  <c r="N80" i="22"/>
  <c r="M80" i="22"/>
  <c r="L80" i="22"/>
  <c r="AI79" i="22"/>
  <c r="AH79" i="22"/>
  <c r="AI78" i="22"/>
  <c r="AH78" i="22"/>
  <c r="AI77" i="22"/>
  <c r="AH77" i="22"/>
  <c r="AD76" i="22"/>
  <c r="AC76" i="22"/>
  <c r="AB76" i="22"/>
  <c r="W76" i="22"/>
  <c r="R76" i="22"/>
  <c r="Q76" i="22"/>
  <c r="P76" i="22"/>
  <c r="O76" i="22"/>
  <c r="N76" i="22"/>
  <c r="M76" i="22"/>
  <c r="L76" i="22"/>
  <c r="AI75" i="22"/>
  <c r="AH75" i="22"/>
  <c r="AG75" i="22"/>
  <c r="AG76" i="22" s="1"/>
  <c r="AG3" i="22" s="1"/>
  <c r="AI74" i="22"/>
  <c r="AH74" i="22"/>
  <c r="AI73" i="22"/>
  <c r="AH73" i="22"/>
  <c r="AI72" i="22"/>
  <c r="AH72" i="22"/>
  <c r="AI71" i="22"/>
  <c r="AH71" i="22"/>
  <c r="AI70" i="22"/>
  <c r="AH70" i="22"/>
  <c r="AI69" i="22"/>
  <c r="AH69" i="22"/>
  <c r="AI68" i="22"/>
  <c r="AH68" i="22"/>
  <c r="AI67" i="22"/>
  <c r="AH67" i="22"/>
  <c r="AI66" i="22"/>
  <c r="AH66" i="22"/>
  <c r="AI65" i="22"/>
  <c r="AH65" i="22"/>
  <c r="AI64" i="22"/>
  <c r="AH64" i="22"/>
  <c r="AI63" i="22"/>
  <c r="AH63" i="22"/>
  <c r="AG62" i="22"/>
  <c r="AD62" i="22"/>
  <c r="AC62" i="22"/>
  <c r="AB62" i="22"/>
  <c r="W62" i="22"/>
  <c r="R62" i="22"/>
  <c r="Q62" i="22"/>
  <c r="P62" i="22"/>
  <c r="O62" i="22"/>
  <c r="N62" i="22"/>
  <c r="M62" i="22"/>
  <c r="L62" i="22"/>
  <c r="AI61" i="22"/>
  <c r="AH61" i="22"/>
  <c r="AI60" i="22"/>
  <c r="AH60" i="22"/>
  <c r="AI59" i="22"/>
  <c r="AH59" i="22"/>
  <c r="AG58" i="22"/>
  <c r="AD58" i="22"/>
  <c r="AC58" i="22"/>
  <c r="AB58" i="22"/>
  <c r="W58" i="22"/>
  <c r="R58" i="22"/>
  <c r="Q58" i="22"/>
  <c r="P58" i="22"/>
  <c r="O58" i="22"/>
  <c r="N58" i="22"/>
  <c r="M58" i="22"/>
  <c r="L58" i="22"/>
  <c r="H7" i="22"/>
  <c r="AI57" i="22"/>
  <c r="AH57" i="22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W5" i="22"/>
  <c r="U5" i="22"/>
  <c r="S5" i="22"/>
  <c r="M5" i="22"/>
  <c r="J5" i="22"/>
  <c r="G5" i="22"/>
  <c r="F5" i="22"/>
  <c r="E5" i="22"/>
  <c r="D5" i="22"/>
  <c r="C5" i="22"/>
  <c r="K4" i="22"/>
  <c r="E4" i="22"/>
  <c r="H4" i="22" s="1"/>
  <c r="B4" i="22"/>
  <c r="S256" i="22" s="1"/>
  <c r="AG2" i="22"/>
  <c r="AF20" i="20"/>
  <c r="AF58" i="20" s="1"/>
  <c r="AF62" i="20"/>
  <c r="AF76" i="20"/>
  <c r="AF80" i="20"/>
  <c r="AF92" i="20"/>
  <c r="AF101" i="20"/>
  <c r="AF102" i="20"/>
  <c r="AF103" i="20"/>
  <c r="AF104" i="20"/>
  <c r="AF107" i="20" s="1"/>
  <c r="AF105" i="20"/>
  <c r="AF118" i="20"/>
  <c r="AE20" i="20"/>
  <c r="AE58" i="20" s="1"/>
  <c r="AE62" i="20"/>
  <c r="AE76" i="20"/>
  <c r="AE80" i="20"/>
  <c r="AE92" i="20"/>
  <c r="AE101" i="20"/>
  <c r="AE102" i="20"/>
  <c r="AE103" i="20"/>
  <c r="AE104" i="20"/>
  <c r="AE105" i="20"/>
  <c r="AE118" i="20"/>
  <c r="AD20" i="20"/>
  <c r="AD58" i="20" s="1"/>
  <c r="AD62" i="20"/>
  <c r="AD76" i="20"/>
  <c r="AD80" i="20"/>
  <c r="AD92" i="20"/>
  <c r="AD101" i="20"/>
  <c r="AD102" i="20"/>
  <c r="AD103" i="20"/>
  <c r="AD104" i="20"/>
  <c r="AD105" i="20"/>
  <c r="AD118" i="20"/>
  <c r="AC62" i="20"/>
  <c r="AC76" i="20"/>
  <c r="AC80" i="20"/>
  <c r="AC92" i="20"/>
  <c r="AC101" i="20"/>
  <c r="AC102" i="20"/>
  <c r="AC103" i="20"/>
  <c r="AC104" i="20"/>
  <c r="AC105" i="20"/>
  <c r="AC118" i="20"/>
  <c r="AC20" i="20"/>
  <c r="AB123" i="20"/>
  <c r="AB20" i="20"/>
  <c r="AB58" i="20"/>
  <c r="AB62" i="20"/>
  <c r="AB76" i="20"/>
  <c r="AB80" i="20"/>
  <c r="AB92" i="20"/>
  <c r="AB101" i="20"/>
  <c r="AB107" i="20" s="1"/>
  <c r="AB102" i="20"/>
  <c r="AB103" i="20"/>
  <c r="AB104" i="20"/>
  <c r="AB105" i="20"/>
  <c r="AB118" i="20"/>
  <c r="AA123" i="20"/>
  <c r="AA20" i="20"/>
  <c r="Z123" i="20"/>
  <c r="Z20" i="20"/>
  <c r="Y123" i="20"/>
  <c r="Y20" i="20"/>
  <c r="X20" i="20"/>
  <c r="W123" i="20"/>
  <c r="W20" i="20"/>
  <c r="V123" i="20"/>
  <c r="V20" i="20"/>
  <c r="U123" i="20"/>
  <c r="U20" i="20"/>
  <c r="T123" i="20"/>
  <c r="T20" i="20"/>
  <c r="S123" i="20"/>
  <c r="S20" i="20"/>
  <c r="Q121" i="20"/>
  <c r="Q123" i="20"/>
  <c r="R123" i="20"/>
  <c r="R121" i="20"/>
  <c r="Q20" i="20"/>
  <c r="R20" i="20"/>
  <c r="Q57" i="20"/>
  <c r="R57" i="20"/>
  <c r="N244" i="23" l="1"/>
  <c r="M118" i="23"/>
  <c r="M249" i="23"/>
  <c r="K280" i="23"/>
  <c r="AF107" i="22"/>
  <c r="AE5" i="22"/>
  <c r="AF108" i="22"/>
  <c r="P107" i="22"/>
  <c r="AD97" i="22"/>
  <c r="AD99" i="22" s="1"/>
  <c r="AV259" i="22" s="1"/>
  <c r="W108" i="22"/>
  <c r="W97" i="22"/>
  <c r="W99" i="22" s="1"/>
  <c r="AO259" i="22" s="1"/>
  <c r="Q107" i="22"/>
  <c r="Q108" i="22" s="1"/>
  <c r="P108" i="22"/>
  <c r="N97" i="22"/>
  <c r="N99" i="22" s="1"/>
  <c r="P97" i="22"/>
  <c r="P99" i="22" s="1"/>
  <c r="P100" i="22" s="1"/>
  <c r="P7" i="22" s="1"/>
  <c r="O97" i="22"/>
  <c r="O99" i="22" s="1"/>
  <c r="O100" i="22" s="1"/>
  <c r="O7" i="22" s="1"/>
  <c r="O107" i="22"/>
  <c r="O108" i="22" s="1"/>
  <c r="Q97" i="22"/>
  <c r="Q99" i="22" s="1"/>
  <c r="AQ259" i="22"/>
  <c r="AG97" i="22"/>
  <c r="R107" i="22"/>
  <c r="R108" i="22" s="1"/>
  <c r="AI102" i="22"/>
  <c r="X7" i="22"/>
  <c r="E244" i="22"/>
  <c r="D118" i="22"/>
  <c r="AD5" i="22"/>
  <c r="S7" i="22"/>
  <c r="AR259" i="22"/>
  <c r="AL259" i="22"/>
  <c r="AB97" i="22"/>
  <c r="AB99" i="22" s="1"/>
  <c r="AT259" i="22" s="1"/>
  <c r="AC107" i="22"/>
  <c r="AC108" i="22" s="1"/>
  <c r="AF100" i="22"/>
  <c r="AF7" i="22" s="1"/>
  <c r="AC97" i="22"/>
  <c r="AC99" i="22" s="1"/>
  <c r="AU259" i="22" s="1"/>
  <c r="M107" i="22"/>
  <c r="M97" i="22"/>
  <c r="M99" i="22" s="1"/>
  <c r="AE259" i="22" s="1"/>
  <c r="AI62" i="22"/>
  <c r="L97" i="22"/>
  <c r="L99" i="22" s="1"/>
  <c r="AD259" i="22" s="1"/>
  <c r="C107" i="22"/>
  <c r="C108" i="22" s="1"/>
  <c r="C97" i="22"/>
  <c r="C99" i="22" s="1"/>
  <c r="U259" i="22" s="1"/>
  <c r="AI105" i="22"/>
  <c r="AH76" i="22"/>
  <c r="B108" i="22"/>
  <c r="B97" i="22"/>
  <c r="B99" i="22" s="1"/>
  <c r="B100" i="22" s="1"/>
  <c r="AI58" i="22"/>
  <c r="AI101" i="22"/>
  <c r="AF259" i="22"/>
  <c r="AN259" i="22"/>
  <c r="I5" i="22"/>
  <c r="AI80" i="22"/>
  <c r="AH80" i="22"/>
  <c r="D250" i="22"/>
  <c r="E245" i="22"/>
  <c r="AK259" i="22"/>
  <c r="X259" i="22"/>
  <c r="V259" i="22"/>
  <c r="M108" i="22"/>
  <c r="AP259" i="22"/>
  <c r="R97" i="22"/>
  <c r="R99" i="22" s="1"/>
  <c r="AC259" i="22"/>
  <c r="K7" i="22"/>
  <c r="AS259" i="22"/>
  <c r="AA7" i="22"/>
  <c r="AI76" i="22"/>
  <c r="W259" i="22"/>
  <c r="E7" i="22"/>
  <c r="AM259" i="22"/>
  <c r="U7" i="22"/>
  <c r="D7" i="22"/>
  <c r="L107" i="22"/>
  <c r="AB107" i="22"/>
  <c r="F244" i="22"/>
  <c r="E249" i="22"/>
  <c r="C280" i="22"/>
  <c r="I7" i="22"/>
  <c r="AA259" i="22"/>
  <c r="AF5" i="22"/>
  <c r="AI92" i="22"/>
  <c r="Y259" i="22"/>
  <c r="G7" i="22"/>
  <c r="AW259" i="22"/>
  <c r="AE7" i="22"/>
  <c r="F7" i="22"/>
  <c r="N107" i="22"/>
  <c r="N108" i="22" s="1"/>
  <c r="AD107" i="22"/>
  <c r="AD108" i="22" s="1"/>
  <c r="AG6" i="22"/>
  <c r="H5" i="22"/>
  <c r="P5" i="22"/>
  <c r="X5" i="22"/>
  <c r="AG99" i="22"/>
  <c r="AI104" i="22"/>
  <c r="Q5" i="22"/>
  <c r="AH92" i="22"/>
  <c r="AI103" i="22"/>
  <c r="D256" i="22"/>
  <c r="AH101" i="22"/>
  <c r="AH102" i="22"/>
  <c r="AH58" i="22"/>
  <c r="AH62" i="22"/>
  <c r="AH103" i="22"/>
  <c r="AH104" i="22"/>
  <c r="AH105" i="22"/>
  <c r="AF108" i="20"/>
  <c r="AF97" i="20"/>
  <c r="AF99" i="20" s="1"/>
  <c r="AF100" i="20" s="1"/>
  <c r="AE107" i="20"/>
  <c r="AE108" i="20" s="1"/>
  <c r="AE97" i="20"/>
  <c r="AE99" i="20" s="1"/>
  <c r="AD107" i="20"/>
  <c r="AD108" i="20" s="1"/>
  <c r="AD97" i="20"/>
  <c r="AD99" i="20" s="1"/>
  <c r="AC107" i="20"/>
  <c r="AC97" i="20"/>
  <c r="AC99" i="20" s="1"/>
  <c r="AC100" i="20" s="1"/>
  <c r="AC108" i="20"/>
  <c r="AB97" i="20"/>
  <c r="AB99" i="20" s="1"/>
  <c r="AB100" i="20" s="1"/>
  <c r="AB108" i="20"/>
  <c r="P123" i="20"/>
  <c r="P121" i="20"/>
  <c r="P57" i="20"/>
  <c r="P20" i="20"/>
  <c r="O123" i="20"/>
  <c r="O121" i="20"/>
  <c r="O57" i="20"/>
  <c r="O20" i="20"/>
  <c r="N123" i="20"/>
  <c r="N121" i="20"/>
  <c r="N57" i="20"/>
  <c r="N20" i="20"/>
  <c r="L280" i="23" l="1"/>
  <c r="N249" i="23"/>
  <c r="M250" i="23"/>
  <c r="O244" i="23"/>
  <c r="N250" i="23"/>
  <c r="N118" i="23"/>
  <c r="AC100" i="22"/>
  <c r="AC7" i="22" s="1"/>
  <c r="Q100" i="22"/>
  <c r="Q7" i="22" s="1"/>
  <c r="Y7" i="22"/>
  <c r="W100" i="22"/>
  <c r="W7" i="22" s="1"/>
  <c r="AI259" i="22"/>
  <c r="M100" i="22"/>
  <c r="M7" i="22" s="1"/>
  <c r="AG259" i="22"/>
  <c r="AH259" i="22"/>
  <c r="T7" i="22"/>
  <c r="AD100" i="22"/>
  <c r="AD7" i="22" s="1"/>
  <c r="AB100" i="22"/>
  <c r="AB7" i="22" s="1"/>
  <c r="Z7" i="22"/>
  <c r="L100" i="22"/>
  <c r="L7" i="22" s="1"/>
  <c r="E118" i="22"/>
  <c r="C100" i="22"/>
  <c r="C7" i="22" s="1"/>
  <c r="AB259" i="22"/>
  <c r="J7" i="22"/>
  <c r="B254" i="22"/>
  <c r="V7" i="22"/>
  <c r="AH107" i="22"/>
  <c r="AI107" i="22"/>
  <c r="C254" i="22"/>
  <c r="L108" i="22"/>
  <c r="AB108" i="22"/>
  <c r="AI97" i="22"/>
  <c r="AH97" i="22"/>
  <c r="D280" i="22"/>
  <c r="F249" i="22"/>
  <c r="F118" i="22" s="1"/>
  <c r="N100" i="22"/>
  <c r="N7" i="22" s="1"/>
  <c r="G244" i="22"/>
  <c r="F245" i="22"/>
  <c r="G245" i="22" s="1"/>
  <c r="H245" i="22" s="1"/>
  <c r="I245" i="22" s="1"/>
  <c r="J245" i="22" s="1"/>
  <c r="K245" i="22" s="1"/>
  <c r="L245" i="22" s="1"/>
  <c r="M245" i="22" s="1"/>
  <c r="N245" i="22" s="1"/>
  <c r="O245" i="22" s="1"/>
  <c r="P245" i="22" s="1"/>
  <c r="Q245" i="22" s="1"/>
  <c r="R245" i="22" s="1"/>
  <c r="S245" i="22" s="1"/>
  <c r="T245" i="22" s="1"/>
  <c r="U245" i="22" s="1"/>
  <c r="V245" i="22" s="1"/>
  <c r="W245" i="22" s="1"/>
  <c r="X245" i="22" s="1"/>
  <c r="Y245" i="22" s="1"/>
  <c r="Z245" i="22" s="1"/>
  <c r="AA245" i="22" s="1"/>
  <c r="AB245" i="22" s="1"/>
  <c r="AC245" i="22" s="1"/>
  <c r="AD245" i="22" s="1"/>
  <c r="AE245" i="22" s="1"/>
  <c r="AF245" i="22" s="1"/>
  <c r="B245" i="22" s="1"/>
  <c r="E250" i="22"/>
  <c r="AJ259" i="22"/>
  <c r="R100" i="22"/>
  <c r="R7" i="22" s="1"/>
  <c r="AE100" i="20"/>
  <c r="AD100" i="20"/>
  <c r="M280" i="23" l="1"/>
  <c r="O249" i="23"/>
  <c r="P244" i="23"/>
  <c r="O118" i="23"/>
  <c r="O250" i="23"/>
  <c r="AI108" i="22"/>
  <c r="E280" i="22"/>
  <c r="G249" i="22"/>
  <c r="G118" i="22" s="1"/>
  <c r="K6" i="22"/>
  <c r="AI99" i="22"/>
  <c r="T259" i="22"/>
  <c r="AH99" i="22"/>
  <c r="H244" i="22"/>
  <c r="F250" i="22"/>
  <c r="AH108" i="22"/>
  <c r="Q244" i="23" l="1"/>
  <c r="N280" i="23"/>
  <c r="P249" i="23"/>
  <c r="G250" i="22"/>
  <c r="B7" i="22"/>
  <c r="A7" i="22" s="1"/>
  <c r="AH100" i="22"/>
  <c r="AI100" i="22"/>
  <c r="F280" i="22"/>
  <c r="H249" i="22"/>
  <c r="H118" i="22" s="1"/>
  <c r="I244" i="22"/>
  <c r="H250" i="22"/>
  <c r="O280" i="23" l="1"/>
  <c r="Q249" i="23"/>
  <c r="P250" i="23"/>
  <c r="Q250" i="23"/>
  <c r="Q118" i="23"/>
  <c r="R244" i="23"/>
  <c r="I118" i="22"/>
  <c r="G280" i="22"/>
  <c r="I249" i="22"/>
  <c r="I250" i="22"/>
  <c r="J244" i="22"/>
  <c r="S244" i="23" l="1"/>
  <c r="P280" i="23"/>
  <c r="R249" i="23"/>
  <c r="K244" i="22"/>
  <c r="H280" i="22"/>
  <c r="J249" i="22"/>
  <c r="J118" i="22" s="1"/>
  <c r="S118" i="23" l="1"/>
  <c r="T244" i="23"/>
  <c r="S249" i="23"/>
  <c r="Q280" i="23"/>
  <c r="R118" i="23"/>
  <c r="R250" i="23"/>
  <c r="K118" i="22"/>
  <c r="K249" i="22"/>
  <c r="I280" i="22"/>
  <c r="K250" i="22"/>
  <c r="L244" i="22"/>
  <c r="J250" i="22"/>
  <c r="R280" i="23" l="1"/>
  <c r="T249" i="23"/>
  <c r="T250" i="23" s="1"/>
  <c r="T118" i="23"/>
  <c r="U244" i="23"/>
  <c r="S250" i="23"/>
  <c r="M244" i="22"/>
  <c r="J280" i="22"/>
  <c r="L249" i="22"/>
  <c r="L118" i="22" s="1"/>
  <c r="V244" i="23" l="1"/>
  <c r="U249" i="23"/>
  <c r="S280" i="23"/>
  <c r="N244" i="22"/>
  <c r="M249" i="22"/>
  <c r="K280" i="22"/>
  <c r="L250" i="22"/>
  <c r="T280" i="23" l="1"/>
  <c r="V249" i="23"/>
  <c r="U118" i="23"/>
  <c r="U250" i="23"/>
  <c r="W244" i="23"/>
  <c r="V250" i="23"/>
  <c r="V118" i="23"/>
  <c r="L280" i="22"/>
  <c r="N249" i="22"/>
  <c r="M250" i="22"/>
  <c r="O244" i="22"/>
  <c r="N118" i="22"/>
  <c r="N250" i="22"/>
  <c r="M118" i="22"/>
  <c r="X244" i="23" l="1"/>
  <c r="W118" i="23"/>
  <c r="U280" i="23"/>
  <c r="W249" i="23"/>
  <c r="P244" i="22"/>
  <c r="M280" i="22"/>
  <c r="O249" i="22"/>
  <c r="V280" i="23" l="1"/>
  <c r="X249" i="23"/>
  <c r="W250" i="23"/>
  <c r="Y244" i="23"/>
  <c r="X250" i="23"/>
  <c r="X118" i="23"/>
  <c r="N280" i="22"/>
  <c r="P249" i="22"/>
  <c r="O250" i="22"/>
  <c r="O118" i="22"/>
  <c r="Q244" i="22"/>
  <c r="P250" i="22"/>
  <c r="Z244" i="23" l="1"/>
  <c r="W280" i="23"/>
  <c r="Y249" i="23"/>
  <c r="R244" i="22"/>
  <c r="O280" i="22"/>
  <c r="Q249" i="22"/>
  <c r="AA244" i="23" l="1"/>
  <c r="X280" i="23"/>
  <c r="Z249" i="23"/>
  <c r="Y118" i="23"/>
  <c r="Y250" i="23"/>
  <c r="P280" i="22"/>
  <c r="R249" i="22"/>
  <c r="R250" i="22"/>
  <c r="R118" i="22"/>
  <c r="S244" i="22"/>
  <c r="Q118" i="22"/>
  <c r="Q250" i="22"/>
  <c r="AB244" i="23" l="1"/>
  <c r="AA249" i="23"/>
  <c r="Y280" i="23"/>
  <c r="Z118" i="23"/>
  <c r="Z250" i="23"/>
  <c r="S118" i="22"/>
  <c r="T244" i="22"/>
  <c r="S249" i="22"/>
  <c r="Q280" i="22"/>
  <c r="Z280" i="23" l="1"/>
  <c r="AB249" i="23"/>
  <c r="AB250" i="23"/>
  <c r="AB118" i="23"/>
  <c r="AC244" i="23"/>
  <c r="AA118" i="23"/>
  <c r="AA250" i="23"/>
  <c r="T118" i="22"/>
  <c r="R280" i="22"/>
  <c r="T249" i="22"/>
  <c r="T250" i="22"/>
  <c r="U244" i="22"/>
  <c r="S250" i="22"/>
  <c r="AD244" i="23" l="1"/>
  <c r="AC249" i="23"/>
  <c r="AA280" i="23"/>
  <c r="U118" i="22"/>
  <c r="V244" i="22"/>
  <c r="U249" i="22"/>
  <c r="S280" i="22"/>
  <c r="AB280" i="23" l="1"/>
  <c r="AD249" i="23"/>
  <c r="AC118" i="23"/>
  <c r="AC250" i="23"/>
  <c r="AE244" i="23"/>
  <c r="AD250" i="23"/>
  <c r="V118" i="22"/>
  <c r="T280" i="22"/>
  <c r="V249" i="22"/>
  <c r="U250" i="22"/>
  <c r="W244" i="22"/>
  <c r="V250" i="22"/>
  <c r="AF244" i="23" l="1"/>
  <c r="AC280" i="23"/>
  <c r="AE249" i="23"/>
  <c r="X244" i="22"/>
  <c r="U280" i="22"/>
  <c r="W249" i="22"/>
  <c r="AD280" i="23" l="1"/>
  <c r="AF249" i="23"/>
  <c r="AE250" i="23"/>
  <c r="AF250" i="23"/>
  <c r="B244" i="23"/>
  <c r="V280" i="22"/>
  <c r="X249" i="22"/>
  <c r="X250" i="22" s="1"/>
  <c r="W118" i="22"/>
  <c r="W250" i="22"/>
  <c r="Y244" i="22"/>
  <c r="B118" i="23" l="1"/>
  <c r="B249" i="23"/>
  <c r="AF280" i="23" s="1"/>
  <c r="AE280" i="23"/>
  <c r="Z244" i="22"/>
  <c r="W280" i="22"/>
  <c r="Y249" i="22"/>
  <c r="B250" i="23" l="1"/>
  <c r="X280" i="22"/>
  <c r="Z249" i="22"/>
  <c r="Z250" i="22" s="1"/>
  <c r="AA244" i="22"/>
  <c r="Y250" i="22"/>
  <c r="AI118" i="23" l="1"/>
  <c r="AH118" i="23"/>
  <c r="AB244" i="22"/>
  <c r="AA249" i="22"/>
  <c r="Y280" i="22"/>
  <c r="AC244" i="22" l="1"/>
  <c r="Z280" i="22"/>
  <c r="AB249" i="22"/>
  <c r="AB118" i="22" s="1"/>
  <c r="AA250" i="22"/>
  <c r="AC249" i="22" l="1"/>
  <c r="AC118" i="22" s="1"/>
  <c r="AA280" i="22"/>
  <c r="AD244" i="22"/>
  <c r="AB250" i="22"/>
  <c r="AC250" i="22" l="1"/>
  <c r="AE244" i="22"/>
  <c r="AB280" i="22"/>
  <c r="AD249" i="22"/>
  <c r="AC280" i="22" l="1"/>
  <c r="AE249" i="22"/>
  <c r="AE250" i="22" s="1"/>
  <c r="AD250" i="22"/>
  <c r="AF244" i="22"/>
  <c r="AF118" i="22" l="1"/>
  <c r="B244" i="22"/>
  <c r="AD280" i="22"/>
  <c r="AF249" i="22"/>
  <c r="B249" i="22" l="1"/>
  <c r="AF280" i="22" s="1"/>
  <c r="AE280" i="22"/>
  <c r="AF250" i="22"/>
  <c r="B118" i="22" l="1"/>
  <c r="AI118" i="22" s="1"/>
  <c r="B250" i="22"/>
  <c r="AH118" i="22" l="1"/>
  <c r="M123" i="20"/>
  <c r="M121" i="20"/>
  <c r="M57" i="20"/>
  <c r="M20" i="20"/>
  <c r="M58" i="20" s="1"/>
  <c r="M62" i="20"/>
  <c r="M76" i="20"/>
  <c r="M80" i="20"/>
  <c r="M92" i="20"/>
  <c r="M108" i="20" s="1"/>
  <c r="M101" i="20"/>
  <c r="M102" i="20"/>
  <c r="M103" i="20"/>
  <c r="M104" i="20"/>
  <c r="M105" i="20"/>
  <c r="M107" i="20"/>
  <c r="M118" i="20"/>
  <c r="C123" i="20"/>
  <c r="B123" i="20"/>
  <c r="AF123" i="19"/>
  <c r="B58" i="20"/>
  <c r="B76" i="20"/>
  <c r="B118" i="20"/>
  <c r="B105" i="20"/>
  <c r="B104" i="20"/>
  <c r="B103" i="20"/>
  <c r="B102" i="20"/>
  <c r="B101" i="20"/>
  <c r="B92" i="20"/>
  <c r="B80" i="20"/>
  <c r="B62" i="20"/>
  <c r="AF284" i="20"/>
  <c r="AE284" i="20"/>
  <c r="AD284" i="20"/>
  <c r="AC284" i="20"/>
  <c r="AB284" i="20"/>
  <c r="AA284" i="20"/>
  <c r="Z284" i="20"/>
  <c r="Y284" i="20"/>
  <c r="X284" i="20"/>
  <c r="W284" i="20"/>
  <c r="V284" i="20"/>
  <c r="U284" i="20"/>
  <c r="T284" i="20"/>
  <c r="S284" i="20"/>
  <c r="R284" i="20"/>
  <c r="Q284" i="20"/>
  <c r="P284" i="20"/>
  <c r="O284" i="20"/>
  <c r="N284" i="20"/>
  <c r="M284" i="20"/>
  <c r="L284" i="20"/>
  <c r="K284" i="20"/>
  <c r="J284" i="20"/>
  <c r="I284" i="20"/>
  <c r="H284" i="20"/>
  <c r="G284" i="20"/>
  <c r="F284" i="20"/>
  <c r="E284" i="20"/>
  <c r="D284" i="20"/>
  <c r="C284" i="20"/>
  <c r="B284" i="20"/>
  <c r="A284" i="20"/>
  <c r="AF283" i="20"/>
  <c r="AE283" i="20"/>
  <c r="AD283" i="20"/>
  <c r="AC283" i="20"/>
  <c r="AB283" i="20"/>
  <c r="AA283" i="20"/>
  <c r="Z283" i="20"/>
  <c r="Y283" i="20"/>
  <c r="X283" i="20"/>
  <c r="W283" i="20"/>
  <c r="V283" i="20"/>
  <c r="U283" i="20"/>
  <c r="T283" i="20"/>
  <c r="S283" i="20"/>
  <c r="R283" i="20"/>
  <c r="Q283" i="20"/>
  <c r="P283" i="20"/>
  <c r="O283" i="20"/>
  <c r="N283" i="20"/>
  <c r="M283" i="20"/>
  <c r="L283" i="20"/>
  <c r="K283" i="20"/>
  <c r="J283" i="20"/>
  <c r="I283" i="20"/>
  <c r="H283" i="20"/>
  <c r="G283" i="20"/>
  <c r="F283" i="20"/>
  <c r="E283" i="20"/>
  <c r="D283" i="20"/>
  <c r="C283" i="20"/>
  <c r="B283" i="20"/>
  <c r="A283" i="20"/>
  <c r="AF282" i="20"/>
  <c r="AE282" i="20"/>
  <c r="AD282" i="20"/>
  <c r="AC282" i="20"/>
  <c r="AB282" i="20"/>
  <c r="AA282" i="20"/>
  <c r="Z282" i="20"/>
  <c r="Y282" i="20"/>
  <c r="X282" i="20"/>
  <c r="W282" i="20"/>
  <c r="V282" i="20"/>
  <c r="U282" i="20"/>
  <c r="T282" i="20"/>
  <c r="S282" i="20"/>
  <c r="R282" i="20"/>
  <c r="Q282" i="20"/>
  <c r="P282" i="20"/>
  <c r="O282" i="20"/>
  <c r="N282" i="20"/>
  <c r="M282" i="20"/>
  <c r="L282" i="20"/>
  <c r="K282" i="20"/>
  <c r="J282" i="20"/>
  <c r="I282" i="20"/>
  <c r="H282" i="20"/>
  <c r="G282" i="20"/>
  <c r="F282" i="20"/>
  <c r="E282" i="20"/>
  <c r="D282" i="20"/>
  <c r="C282" i="20"/>
  <c r="B282" i="20"/>
  <c r="A282" i="20"/>
  <c r="AF281" i="20"/>
  <c r="AE281" i="20"/>
  <c r="AD281" i="20"/>
  <c r="AC281" i="20"/>
  <c r="AB281" i="20"/>
  <c r="AA281" i="20"/>
  <c r="Z281" i="20"/>
  <c r="Y281" i="20"/>
  <c r="X281" i="20"/>
  <c r="W281" i="20"/>
  <c r="V281" i="20"/>
  <c r="U281" i="20"/>
  <c r="T281" i="20"/>
  <c r="S281" i="20"/>
  <c r="R281" i="20"/>
  <c r="Q281" i="20"/>
  <c r="P281" i="20"/>
  <c r="O281" i="20"/>
  <c r="N281" i="20"/>
  <c r="M281" i="20"/>
  <c r="L281" i="20"/>
  <c r="K281" i="20"/>
  <c r="J281" i="20"/>
  <c r="I281" i="20"/>
  <c r="H281" i="20"/>
  <c r="G281" i="20"/>
  <c r="F281" i="20"/>
  <c r="E281" i="20"/>
  <c r="D281" i="20"/>
  <c r="C281" i="20"/>
  <c r="B281" i="20"/>
  <c r="A281" i="20"/>
  <c r="B280" i="20"/>
  <c r="S255" i="20"/>
  <c r="AG245" i="20"/>
  <c r="C245" i="20"/>
  <c r="D244" i="20"/>
  <c r="C280" i="20" s="1"/>
  <c r="E243" i="20"/>
  <c r="F243" i="20" s="1"/>
  <c r="G243" i="20" s="1"/>
  <c r="H243" i="20" s="1"/>
  <c r="I243" i="20" s="1"/>
  <c r="J243" i="20" s="1"/>
  <c r="K243" i="20" s="1"/>
  <c r="L243" i="20" s="1"/>
  <c r="M243" i="20" s="1"/>
  <c r="N243" i="20" s="1"/>
  <c r="O243" i="20" s="1"/>
  <c r="P243" i="20" s="1"/>
  <c r="Q243" i="20" s="1"/>
  <c r="R243" i="20" s="1"/>
  <c r="S243" i="20" s="1"/>
  <c r="T243" i="20" s="1"/>
  <c r="U243" i="20" s="1"/>
  <c r="V243" i="20" s="1"/>
  <c r="W243" i="20" s="1"/>
  <c r="X243" i="20" s="1"/>
  <c r="Y243" i="20" s="1"/>
  <c r="Z243" i="20" s="1"/>
  <c r="AA243" i="20" s="1"/>
  <c r="AB243" i="20" s="1"/>
  <c r="AC243" i="20" s="1"/>
  <c r="AD243" i="20" s="1"/>
  <c r="AE243" i="20" s="1"/>
  <c r="AF243" i="20" s="1"/>
  <c r="B243" i="20" s="1"/>
  <c r="D243" i="20"/>
  <c r="D242" i="20"/>
  <c r="E242" i="20" s="1"/>
  <c r="F242" i="20" s="1"/>
  <c r="G242" i="20" s="1"/>
  <c r="H242" i="20" s="1"/>
  <c r="I242" i="20" s="1"/>
  <c r="J242" i="20" s="1"/>
  <c r="K242" i="20" s="1"/>
  <c r="L242" i="20" s="1"/>
  <c r="M242" i="20" s="1"/>
  <c r="N242" i="20" s="1"/>
  <c r="O242" i="20" s="1"/>
  <c r="P242" i="20" s="1"/>
  <c r="Q242" i="20" s="1"/>
  <c r="R242" i="20" s="1"/>
  <c r="S242" i="20" s="1"/>
  <c r="T242" i="20" s="1"/>
  <c r="U242" i="20" s="1"/>
  <c r="V242" i="20" s="1"/>
  <c r="W242" i="20" s="1"/>
  <c r="X242" i="20" s="1"/>
  <c r="Y242" i="20" s="1"/>
  <c r="Z242" i="20" s="1"/>
  <c r="AA242" i="20" s="1"/>
  <c r="AB242" i="20" s="1"/>
  <c r="AC242" i="20" s="1"/>
  <c r="AD242" i="20" s="1"/>
  <c r="AE242" i="20" s="1"/>
  <c r="AF242" i="20" s="1"/>
  <c r="B242" i="20" s="1"/>
  <c r="F241" i="20"/>
  <c r="G241" i="20" s="1"/>
  <c r="H241" i="20" s="1"/>
  <c r="I241" i="20" s="1"/>
  <c r="J241" i="20" s="1"/>
  <c r="K241" i="20" s="1"/>
  <c r="L241" i="20" s="1"/>
  <c r="M241" i="20" s="1"/>
  <c r="N241" i="20" s="1"/>
  <c r="O241" i="20" s="1"/>
  <c r="P241" i="20" s="1"/>
  <c r="Q241" i="20" s="1"/>
  <c r="R241" i="20" s="1"/>
  <c r="S241" i="20" s="1"/>
  <c r="T241" i="20" s="1"/>
  <c r="U241" i="20" s="1"/>
  <c r="V241" i="20" s="1"/>
  <c r="W241" i="20" s="1"/>
  <c r="X241" i="20" s="1"/>
  <c r="Y241" i="20" s="1"/>
  <c r="Z241" i="20" s="1"/>
  <c r="AA241" i="20" s="1"/>
  <c r="AB241" i="20" s="1"/>
  <c r="AC241" i="20" s="1"/>
  <c r="AD241" i="20" s="1"/>
  <c r="AE241" i="20" s="1"/>
  <c r="AF241" i="20" s="1"/>
  <c r="B241" i="20" s="1"/>
  <c r="E241" i="20"/>
  <c r="D241" i="20"/>
  <c r="D240" i="20"/>
  <c r="E239" i="20"/>
  <c r="F239" i="20" s="1"/>
  <c r="D239" i="20"/>
  <c r="AG237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I130" i="20"/>
  <c r="AH130" i="20"/>
  <c r="AI129" i="20"/>
  <c r="AH129" i="20"/>
  <c r="AI128" i="20"/>
  <c r="AH128" i="20"/>
  <c r="AI127" i="20"/>
  <c r="AH127" i="20"/>
  <c r="AI126" i="20"/>
  <c r="AH126" i="20"/>
  <c r="AI123" i="20"/>
  <c r="AH123" i="20"/>
  <c r="AI122" i="20"/>
  <c r="AH122" i="20"/>
  <c r="AI121" i="20"/>
  <c r="AH121" i="20"/>
  <c r="AI120" i="20"/>
  <c r="AH120" i="20"/>
  <c r="AI119" i="20"/>
  <c r="AH119" i="20"/>
  <c r="D118" i="20"/>
  <c r="C118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I111" i="20"/>
  <c r="AH111" i="20"/>
  <c r="AI110" i="20"/>
  <c r="AH110" i="20"/>
  <c r="AI109" i="20"/>
  <c r="AH109" i="20"/>
  <c r="AI106" i="20"/>
  <c r="AH106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L105" i="20"/>
  <c r="K105" i="20"/>
  <c r="J105" i="20"/>
  <c r="I105" i="20"/>
  <c r="H105" i="20"/>
  <c r="G105" i="20"/>
  <c r="F105" i="20"/>
  <c r="E105" i="20"/>
  <c r="D105" i="20"/>
  <c r="C105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L104" i="20"/>
  <c r="K104" i="20"/>
  <c r="J104" i="20"/>
  <c r="I104" i="20"/>
  <c r="H104" i="20"/>
  <c r="G104" i="20"/>
  <c r="F104" i="20"/>
  <c r="E104" i="20"/>
  <c r="D104" i="20"/>
  <c r="C104" i="20"/>
  <c r="AA103" i="20"/>
  <c r="Z103" i="20"/>
  <c r="Y103" i="20"/>
  <c r="X103" i="20"/>
  <c r="X107" i="20" s="1"/>
  <c r="W103" i="20"/>
  <c r="V103" i="20"/>
  <c r="U103" i="20"/>
  <c r="T103" i="20"/>
  <c r="S103" i="20"/>
  <c r="R103" i="20"/>
  <c r="Q103" i="20"/>
  <c r="P103" i="20"/>
  <c r="O103" i="20"/>
  <c r="N103" i="20"/>
  <c r="L103" i="20"/>
  <c r="K103" i="20"/>
  <c r="J103" i="20"/>
  <c r="I103" i="20"/>
  <c r="H103" i="20"/>
  <c r="G103" i="20"/>
  <c r="F103" i="20"/>
  <c r="E103" i="20"/>
  <c r="D103" i="20"/>
  <c r="C103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L102" i="20"/>
  <c r="K102" i="20"/>
  <c r="J102" i="20"/>
  <c r="I102" i="20"/>
  <c r="H102" i="20"/>
  <c r="G102" i="20"/>
  <c r="F102" i="20"/>
  <c r="E102" i="20"/>
  <c r="D102" i="20"/>
  <c r="C102" i="20"/>
  <c r="AA101" i="20"/>
  <c r="Z101" i="20"/>
  <c r="Z107" i="20" s="1"/>
  <c r="Y101" i="20"/>
  <c r="X101" i="20"/>
  <c r="W101" i="20"/>
  <c r="V101" i="20"/>
  <c r="U101" i="20"/>
  <c r="U107" i="20" s="1"/>
  <c r="T101" i="20"/>
  <c r="S101" i="20"/>
  <c r="R101" i="20"/>
  <c r="Q101" i="20"/>
  <c r="P101" i="20"/>
  <c r="O101" i="20"/>
  <c r="N101" i="20"/>
  <c r="L101" i="20"/>
  <c r="K101" i="20"/>
  <c r="J101" i="20"/>
  <c r="J107" i="20" s="1"/>
  <c r="I101" i="20"/>
  <c r="H101" i="20"/>
  <c r="G101" i="20"/>
  <c r="G107" i="20" s="1"/>
  <c r="F101" i="20"/>
  <c r="F107" i="20" s="1"/>
  <c r="E101" i="20"/>
  <c r="E107" i="20" s="1"/>
  <c r="D101" i="20"/>
  <c r="C101" i="20"/>
  <c r="AI98" i="20"/>
  <c r="AH98" i="20"/>
  <c r="AI96" i="20"/>
  <c r="AH96" i="20"/>
  <c r="AG96" i="20"/>
  <c r="AI95" i="20"/>
  <c r="AH95" i="20"/>
  <c r="AI94" i="20"/>
  <c r="AH94" i="20"/>
  <c r="AI93" i="20"/>
  <c r="AH93" i="20"/>
  <c r="AG92" i="20"/>
  <c r="AA92" i="20"/>
  <c r="Z92" i="20"/>
  <c r="Y5" i="20" s="1"/>
  <c r="Y92" i="20"/>
  <c r="X5" i="20" s="1"/>
  <c r="X92" i="20"/>
  <c r="W5" i="20" s="1"/>
  <c r="W92" i="20"/>
  <c r="V5" i="20" s="1"/>
  <c r="V92" i="20"/>
  <c r="U92" i="20"/>
  <c r="U108" i="20" s="1"/>
  <c r="T92" i="20"/>
  <c r="S92" i="20"/>
  <c r="R92" i="20"/>
  <c r="Q5" i="20" s="1"/>
  <c r="Q92" i="20"/>
  <c r="P5" i="20" s="1"/>
  <c r="P92" i="20"/>
  <c r="O5" i="20" s="1"/>
  <c r="O92" i="20"/>
  <c r="N5" i="20" s="1"/>
  <c r="N92" i="20"/>
  <c r="L92" i="20"/>
  <c r="K92" i="20"/>
  <c r="J5" i="20" s="1"/>
  <c r="J92" i="20"/>
  <c r="I5" i="20" s="1"/>
  <c r="I92" i="20"/>
  <c r="H5" i="20" s="1"/>
  <c r="H92" i="20"/>
  <c r="G5" i="20" s="1"/>
  <c r="G92" i="20"/>
  <c r="F5" i="20" s="1"/>
  <c r="F92" i="20"/>
  <c r="F108" i="20" s="1"/>
  <c r="E92" i="20"/>
  <c r="D92" i="20"/>
  <c r="C92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I83" i="20"/>
  <c r="AH83" i="20"/>
  <c r="AI82" i="20"/>
  <c r="AH82" i="20"/>
  <c r="AI81" i="20"/>
  <c r="AH81" i="20"/>
  <c r="AG80" i="20"/>
  <c r="AG4" i="20" s="1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L80" i="20"/>
  <c r="K80" i="20"/>
  <c r="J80" i="20"/>
  <c r="I80" i="20"/>
  <c r="H80" i="20"/>
  <c r="G80" i="20"/>
  <c r="F80" i="20"/>
  <c r="E80" i="20"/>
  <c r="D80" i="20"/>
  <c r="C80" i="20"/>
  <c r="AI79" i="20"/>
  <c r="AH79" i="20"/>
  <c r="AI78" i="20"/>
  <c r="AH78" i="20"/>
  <c r="AI77" i="20"/>
  <c r="AH77" i="20"/>
  <c r="AG76" i="20"/>
  <c r="AG3" i="20" s="1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L76" i="20"/>
  <c r="K76" i="20"/>
  <c r="J76" i="20"/>
  <c r="I76" i="20"/>
  <c r="H76" i="20"/>
  <c r="G76" i="20"/>
  <c r="F76" i="20"/>
  <c r="E76" i="20"/>
  <c r="D76" i="20"/>
  <c r="C76" i="20"/>
  <c r="AI75" i="20"/>
  <c r="AH75" i="20"/>
  <c r="AG75" i="20"/>
  <c r="AI74" i="20"/>
  <c r="AH74" i="20"/>
  <c r="AI73" i="20"/>
  <c r="AH73" i="20"/>
  <c r="AI72" i="20"/>
  <c r="AH72" i="20"/>
  <c r="AI71" i="20"/>
  <c r="AH71" i="20"/>
  <c r="AI70" i="20"/>
  <c r="AH70" i="20"/>
  <c r="AI69" i="20"/>
  <c r="AH69" i="20"/>
  <c r="AI68" i="20"/>
  <c r="AH68" i="20"/>
  <c r="AI67" i="20"/>
  <c r="AH67" i="20"/>
  <c r="AI66" i="20"/>
  <c r="AH66" i="20"/>
  <c r="AI65" i="20"/>
  <c r="AH65" i="20"/>
  <c r="AI64" i="20"/>
  <c r="AH64" i="20"/>
  <c r="AI63" i="20"/>
  <c r="AH63" i="20"/>
  <c r="AG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L62" i="20"/>
  <c r="K62" i="20"/>
  <c r="J62" i="20"/>
  <c r="I62" i="20"/>
  <c r="H62" i="20"/>
  <c r="G62" i="20"/>
  <c r="F62" i="20"/>
  <c r="E62" i="20"/>
  <c r="D62" i="20"/>
  <c r="C62" i="20"/>
  <c r="AI61" i="20"/>
  <c r="AH61" i="20"/>
  <c r="AI60" i="20"/>
  <c r="AH60" i="20"/>
  <c r="AI59" i="20"/>
  <c r="AH59" i="20"/>
  <c r="AG58" i="20"/>
  <c r="AG2" i="20" s="1"/>
  <c r="AX259" i="20"/>
  <c r="AC58" i="20"/>
  <c r="AA58" i="20"/>
  <c r="Z58" i="20"/>
  <c r="Z97" i="20" s="1"/>
  <c r="Z99" i="20" s="1"/>
  <c r="Y58" i="20"/>
  <c r="X58" i="20"/>
  <c r="W58" i="20"/>
  <c r="V58" i="20"/>
  <c r="U58" i="20"/>
  <c r="T58" i="20"/>
  <c r="S58" i="20"/>
  <c r="R58" i="20"/>
  <c r="Q58" i="20"/>
  <c r="P58" i="20"/>
  <c r="O58" i="20"/>
  <c r="N58" i="20"/>
  <c r="L58" i="20"/>
  <c r="K58" i="20"/>
  <c r="J58" i="20"/>
  <c r="I58" i="20"/>
  <c r="H58" i="20"/>
  <c r="G58" i="20"/>
  <c r="F58" i="20"/>
  <c r="E58" i="20"/>
  <c r="D58" i="20"/>
  <c r="C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E5" i="20"/>
  <c r="AD5" i="20"/>
  <c r="AC5" i="20"/>
  <c r="AB5" i="20"/>
  <c r="L5" i="20"/>
  <c r="K4" i="20"/>
  <c r="E4" i="20"/>
  <c r="H4" i="20" s="1"/>
  <c r="B4" i="20"/>
  <c r="AF58" i="19"/>
  <c r="AF62" i="19"/>
  <c r="AF76" i="19"/>
  <c r="AF80" i="19"/>
  <c r="AF92" i="19"/>
  <c r="AF101" i="19"/>
  <c r="AF107" i="19" s="1"/>
  <c r="AF102" i="19"/>
  <c r="AF103" i="19"/>
  <c r="AF104" i="19"/>
  <c r="AF105" i="19"/>
  <c r="AF118" i="19"/>
  <c r="AE123" i="19"/>
  <c r="AD123" i="19"/>
  <c r="AA123" i="19"/>
  <c r="AA57" i="19"/>
  <c r="AA58" i="19"/>
  <c r="AA62" i="19"/>
  <c r="AA76" i="19"/>
  <c r="AA80" i="19"/>
  <c r="AA92" i="19"/>
  <c r="AA101" i="19"/>
  <c r="AA102" i="19"/>
  <c r="AA103" i="19"/>
  <c r="AA104" i="19"/>
  <c r="AA105" i="19"/>
  <c r="AA118" i="19"/>
  <c r="Z123" i="19"/>
  <c r="Z57" i="19"/>
  <c r="Z58" i="19"/>
  <c r="Z62" i="19"/>
  <c r="Z76" i="19"/>
  <c r="Z80" i="19"/>
  <c r="Z92" i="19"/>
  <c r="Z101" i="19"/>
  <c r="Z102" i="19"/>
  <c r="Z103" i="19"/>
  <c r="Z104" i="19"/>
  <c r="Z105" i="19"/>
  <c r="Z118" i="19"/>
  <c r="Y123" i="19"/>
  <c r="Y57" i="19"/>
  <c r="Y58" i="19"/>
  <c r="Y62" i="19"/>
  <c r="Y76" i="19"/>
  <c r="Y80" i="19"/>
  <c r="Y92" i="19"/>
  <c r="Y101" i="19"/>
  <c r="Y102" i="19"/>
  <c r="Y103" i="19"/>
  <c r="Y104" i="19"/>
  <c r="Y105" i="19"/>
  <c r="Y118" i="19"/>
  <c r="X123" i="19"/>
  <c r="X118" i="19"/>
  <c r="X105" i="19"/>
  <c r="X104" i="19"/>
  <c r="X103" i="19"/>
  <c r="X102" i="19"/>
  <c r="X101" i="19"/>
  <c r="X107" i="19" s="1"/>
  <c r="X92" i="19"/>
  <c r="X108" i="19" s="1"/>
  <c r="X80" i="19"/>
  <c r="X76" i="19"/>
  <c r="X62" i="19"/>
  <c r="X58" i="19"/>
  <c r="X97" i="19" s="1"/>
  <c r="X99" i="19" s="1"/>
  <c r="X57" i="19"/>
  <c r="W123" i="19"/>
  <c r="W57" i="19"/>
  <c r="W58" i="19"/>
  <c r="W62" i="19"/>
  <c r="W76" i="19"/>
  <c r="W80" i="19"/>
  <c r="W92" i="19"/>
  <c r="W101" i="19"/>
  <c r="W102" i="19"/>
  <c r="W103" i="19"/>
  <c r="W104" i="19"/>
  <c r="W105" i="19"/>
  <c r="W118" i="19"/>
  <c r="AA107" i="20" l="1"/>
  <c r="AA108" i="20"/>
  <c r="Z5" i="20"/>
  <c r="AA97" i="20"/>
  <c r="AA99" i="20" s="1"/>
  <c r="AS259" i="20" s="1"/>
  <c r="Z108" i="20"/>
  <c r="Y107" i="20"/>
  <c r="Y97" i="20"/>
  <c r="Y99" i="20" s="1"/>
  <c r="X97" i="20"/>
  <c r="X99" i="20" s="1"/>
  <c r="AP259" i="20" s="1"/>
  <c r="W107" i="20"/>
  <c r="W108" i="20" s="1"/>
  <c r="W97" i="20"/>
  <c r="W99" i="20" s="1"/>
  <c r="V107" i="20"/>
  <c r="V108" i="20" s="1"/>
  <c r="U5" i="20"/>
  <c r="V97" i="20"/>
  <c r="V99" i="20" s="1"/>
  <c r="T5" i="20"/>
  <c r="U97" i="20"/>
  <c r="U99" i="20" s="1"/>
  <c r="T97" i="20"/>
  <c r="T99" i="20" s="1"/>
  <c r="S107" i="20"/>
  <c r="S108" i="20"/>
  <c r="R5" i="20"/>
  <c r="S97" i="20"/>
  <c r="S99" i="20" s="1"/>
  <c r="AK259" i="20" s="1"/>
  <c r="R107" i="20"/>
  <c r="Q107" i="20"/>
  <c r="R108" i="20"/>
  <c r="R97" i="20"/>
  <c r="R99" i="20" s="1"/>
  <c r="Q97" i="20"/>
  <c r="Q99" i="20" s="1"/>
  <c r="P107" i="20"/>
  <c r="P97" i="20"/>
  <c r="P99" i="20" s="1"/>
  <c r="AH259" i="20" s="1"/>
  <c r="O107" i="20"/>
  <c r="O108" i="20" s="1"/>
  <c r="O97" i="20"/>
  <c r="O99" i="20" s="1"/>
  <c r="N107" i="20"/>
  <c r="N108" i="20"/>
  <c r="M5" i="20"/>
  <c r="N97" i="20"/>
  <c r="N99" i="20" s="1"/>
  <c r="M97" i="20"/>
  <c r="M99" i="20" s="1"/>
  <c r="M100" i="20" s="1"/>
  <c r="L97" i="20"/>
  <c r="L99" i="20" s="1"/>
  <c r="AD259" i="20" s="1"/>
  <c r="K107" i="20"/>
  <c r="K108" i="20"/>
  <c r="K97" i="20"/>
  <c r="K99" i="20" s="1"/>
  <c r="AC259" i="20" s="1"/>
  <c r="J108" i="20"/>
  <c r="J97" i="20"/>
  <c r="J99" i="20" s="1"/>
  <c r="AB259" i="20" s="1"/>
  <c r="I107" i="20"/>
  <c r="I97" i="20"/>
  <c r="I99" i="20" s="1"/>
  <c r="AA259" i="20" s="1"/>
  <c r="H107" i="20"/>
  <c r="H97" i="20"/>
  <c r="H99" i="20" s="1"/>
  <c r="Z259" i="20" s="1"/>
  <c r="G108" i="20"/>
  <c r="E5" i="20"/>
  <c r="F97" i="20"/>
  <c r="F99" i="20" s="1"/>
  <c r="E108" i="20"/>
  <c r="D5" i="20"/>
  <c r="G97" i="20"/>
  <c r="G99" i="20" s="1"/>
  <c r="Y259" i="20" s="1"/>
  <c r="E97" i="20"/>
  <c r="E99" i="20" s="1"/>
  <c r="W259" i="20" s="1"/>
  <c r="AI104" i="20"/>
  <c r="D97" i="20"/>
  <c r="D99" i="20" s="1"/>
  <c r="V259" i="20" s="1"/>
  <c r="C107" i="20"/>
  <c r="C108" i="20"/>
  <c r="B5" i="20"/>
  <c r="C97" i="20"/>
  <c r="C99" i="20" s="1"/>
  <c r="U259" i="20" s="1"/>
  <c r="AI62" i="20"/>
  <c r="B107" i="20"/>
  <c r="B108" i="20" s="1"/>
  <c r="AF5" i="20"/>
  <c r="B97" i="20"/>
  <c r="B99" i="20" s="1"/>
  <c r="B100" i="20" s="1"/>
  <c r="AI58" i="20"/>
  <c r="AF97" i="19"/>
  <c r="AF99" i="19" s="1"/>
  <c r="AH102" i="20"/>
  <c r="AV259" i="20"/>
  <c r="AD7" i="20"/>
  <c r="AM259" i="20"/>
  <c r="U100" i="20"/>
  <c r="U7" i="20" s="1"/>
  <c r="AJ259" i="20"/>
  <c r="R100" i="20"/>
  <c r="R7" i="20" s="1"/>
  <c r="AE259" i="20"/>
  <c r="M7" i="20"/>
  <c r="AN259" i="20"/>
  <c r="V100" i="20"/>
  <c r="V7" i="20" s="1"/>
  <c r="AI259" i="20"/>
  <c r="Q100" i="20"/>
  <c r="Q7" i="20" s="1"/>
  <c r="AQ259" i="20"/>
  <c r="Y100" i="20"/>
  <c r="Y7" i="20" s="1"/>
  <c r="AG6" i="20"/>
  <c r="AI80" i="20"/>
  <c r="C5" i="20"/>
  <c r="K5" i="20"/>
  <c r="S5" i="20"/>
  <c r="AA5" i="20"/>
  <c r="AU259" i="20"/>
  <c r="AC7" i="20"/>
  <c r="AA100" i="20"/>
  <c r="AA7" i="20" s="1"/>
  <c r="AI105" i="20"/>
  <c r="AF259" i="20"/>
  <c r="N100" i="20"/>
  <c r="N7" i="20" s="1"/>
  <c r="AF7" i="20"/>
  <c r="AI101" i="20"/>
  <c r="D245" i="20"/>
  <c r="E240" i="20"/>
  <c r="AI76" i="20"/>
  <c r="C100" i="20"/>
  <c r="C7" i="20" s="1"/>
  <c r="AH101" i="20"/>
  <c r="AI102" i="20"/>
  <c r="AI103" i="20"/>
  <c r="X100" i="20"/>
  <c r="X7" i="20" s="1"/>
  <c r="AL259" i="20"/>
  <c r="AR259" i="20"/>
  <c r="Z100" i="20"/>
  <c r="Z7" i="20" s="1"/>
  <c r="AT259" i="20"/>
  <c r="AB7" i="20"/>
  <c r="H108" i="20"/>
  <c r="P108" i="20"/>
  <c r="X108" i="20"/>
  <c r="D107" i="20"/>
  <c r="D108" i="20" s="1"/>
  <c r="L107" i="20"/>
  <c r="L108" i="20" s="1"/>
  <c r="T107" i="20"/>
  <c r="T100" i="20" s="1"/>
  <c r="T7" i="20" s="1"/>
  <c r="S256" i="20"/>
  <c r="D256" i="20"/>
  <c r="I108" i="20"/>
  <c r="Q108" i="20"/>
  <c r="Y108" i="20"/>
  <c r="AG99" i="20"/>
  <c r="P100" i="20"/>
  <c r="P7" i="20" s="1"/>
  <c r="G239" i="20"/>
  <c r="X259" i="20"/>
  <c r="F100" i="20"/>
  <c r="F7" i="20" s="1"/>
  <c r="AG259" i="20"/>
  <c r="O100" i="20"/>
  <c r="O7" i="20" s="1"/>
  <c r="AO259" i="20"/>
  <c r="W100" i="20"/>
  <c r="W7" i="20" s="1"/>
  <c r="AW259" i="20"/>
  <c r="AE7" i="20"/>
  <c r="AI92" i="20"/>
  <c r="AG97" i="20"/>
  <c r="S100" i="20"/>
  <c r="S7" i="20" s="1"/>
  <c r="AH76" i="20"/>
  <c r="AH80" i="20"/>
  <c r="AH92" i="20"/>
  <c r="E118" i="20"/>
  <c r="E244" i="20"/>
  <c r="AH58" i="20"/>
  <c r="AH62" i="20"/>
  <c r="AH103" i="20"/>
  <c r="AH104" i="20"/>
  <c r="AH105" i="20"/>
  <c r="AF100" i="19"/>
  <c r="AF108" i="19"/>
  <c r="AA97" i="19"/>
  <c r="AA99" i="19" s="1"/>
  <c r="AA107" i="19"/>
  <c r="AA108" i="19" s="1"/>
  <c r="Z107" i="19"/>
  <c r="Z108" i="19"/>
  <c r="Z97" i="19"/>
  <c r="Z99" i="19" s="1"/>
  <c r="Z100" i="19" s="1"/>
  <c r="Y107" i="19"/>
  <c r="Y108" i="19"/>
  <c r="Y97" i="19"/>
  <c r="Y99" i="19" s="1"/>
  <c r="Y100" i="19" s="1"/>
  <c r="X100" i="19"/>
  <c r="W107" i="19"/>
  <c r="W108" i="19" s="1"/>
  <c r="W97" i="19"/>
  <c r="W99" i="19" s="1"/>
  <c r="W100" i="19" s="1"/>
  <c r="T108" i="20" l="1"/>
  <c r="L100" i="20"/>
  <c r="L7" i="20" s="1"/>
  <c r="K100" i="20"/>
  <c r="K7" i="20" s="1"/>
  <c r="J100" i="20"/>
  <c r="J7" i="20" s="1"/>
  <c r="I100" i="20"/>
  <c r="I7" i="20" s="1"/>
  <c r="H100" i="20"/>
  <c r="H7" i="20" s="1"/>
  <c r="B254" i="20"/>
  <c r="C254" i="20"/>
  <c r="G100" i="20"/>
  <c r="G7" i="20" s="1"/>
  <c r="E100" i="20"/>
  <c r="E7" i="20" s="1"/>
  <c r="D100" i="20"/>
  <c r="D7" i="20" s="1"/>
  <c r="H239" i="20"/>
  <c r="AI107" i="20"/>
  <c r="AH107" i="20"/>
  <c r="F240" i="20"/>
  <c r="E245" i="20"/>
  <c r="AI97" i="20"/>
  <c r="AH97" i="20"/>
  <c r="D280" i="20"/>
  <c r="F244" i="20"/>
  <c r="AA100" i="19"/>
  <c r="V123" i="19"/>
  <c r="V57" i="19"/>
  <c r="V58" i="19"/>
  <c r="V62" i="19"/>
  <c r="V76" i="19"/>
  <c r="V80" i="19"/>
  <c r="V92" i="19"/>
  <c r="V101" i="19"/>
  <c r="V107" i="19" s="1"/>
  <c r="V102" i="19"/>
  <c r="V103" i="19"/>
  <c r="V104" i="19"/>
  <c r="V105" i="19"/>
  <c r="V118" i="19"/>
  <c r="U123" i="19"/>
  <c r="U57" i="19"/>
  <c r="U58" i="19"/>
  <c r="U62" i="19"/>
  <c r="U76" i="19"/>
  <c r="U80" i="19"/>
  <c r="U92" i="19"/>
  <c r="U101" i="19"/>
  <c r="U107" i="19" s="1"/>
  <c r="U102" i="19"/>
  <c r="U103" i="19"/>
  <c r="U104" i="19"/>
  <c r="U105" i="19"/>
  <c r="U118" i="19"/>
  <c r="T123" i="19"/>
  <c r="K6" i="20" l="1"/>
  <c r="I239" i="20"/>
  <c r="G244" i="20"/>
  <c r="E280" i="20"/>
  <c r="F118" i="20"/>
  <c r="AI108" i="20"/>
  <c r="AH108" i="20"/>
  <c r="T259" i="20"/>
  <c r="AI99" i="20"/>
  <c r="AH99" i="20"/>
  <c r="G240" i="20"/>
  <c r="F245" i="20"/>
  <c r="V97" i="19"/>
  <c r="V99" i="19" s="1"/>
  <c r="V100" i="19" s="1"/>
  <c r="V108" i="19"/>
  <c r="U108" i="19"/>
  <c r="U97" i="19"/>
  <c r="U99" i="19" s="1"/>
  <c r="U100" i="19" s="1"/>
  <c r="T57" i="19"/>
  <c r="T58" i="19"/>
  <c r="T62" i="19"/>
  <c r="T76" i="19"/>
  <c r="T80" i="19"/>
  <c r="T92" i="19"/>
  <c r="T108" i="19" s="1"/>
  <c r="T101" i="19"/>
  <c r="T107" i="19" s="1"/>
  <c r="T102" i="19"/>
  <c r="T103" i="19"/>
  <c r="T104" i="19"/>
  <c r="T105" i="19"/>
  <c r="T118" i="19"/>
  <c r="S123" i="19"/>
  <c r="S57" i="19"/>
  <c r="S58" i="19"/>
  <c r="S62" i="19"/>
  <c r="S76" i="19"/>
  <c r="S80" i="19"/>
  <c r="S92" i="19"/>
  <c r="S108" i="19" s="1"/>
  <c r="S101" i="19"/>
  <c r="S102" i="19"/>
  <c r="S103" i="19"/>
  <c r="S104" i="19"/>
  <c r="S107" i="19" s="1"/>
  <c r="S105" i="19"/>
  <c r="S118" i="19"/>
  <c r="R123" i="19"/>
  <c r="R121" i="19"/>
  <c r="R57" i="19"/>
  <c r="Q123" i="19"/>
  <c r="Q121" i="19"/>
  <c r="Q57" i="19"/>
  <c r="P123" i="19"/>
  <c r="P121" i="19"/>
  <c r="P57" i="19"/>
  <c r="O123" i="19"/>
  <c r="O121" i="19"/>
  <c r="H240" i="20" l="1"/>
  <c r="G245" i="20"/>
  <c r="F280" i="20"/>
  <c r="H244" i="20"/>
  <c r="G118" i="20"/>
  <c r="B7" i="20"/>
  <c r="A7" i="20" s="1"/>
  <c r="AI100" i="20"/>
  <c r="AH100" i="20"/>
  <c r="J239" i="20"/>
  <c r="T97" i="19"/>
  <c r="T99" i="19" s="1"/>
  <c r="T100" i="19" s="1"/>
  <c r="S97" i="19"/>
  <c r="S99" i="19" s="1"/>
  <c r="S100" i="19" s="1"/>
  <c r="G280" i="20" l="1"/>
  <c r="I244" i="20"/>
  <c r="H118" i="20"/>
  <c r="K239" i="20"/>
  <c r="I240" i="20"/>
  <c r="H245" i="20"/>
  <c r="J240" i="20" l="1"/>
  <c r="I245" i="20"/>
  <c r="H280" i="20"/>
  <c r="J244" i="20"/>
  <c r="I118" i="20"/>
  <c r="L239" i="20"/>
  <c r="K244" i="20" l="1"/>
  <c r="I280" i="20"/>
  <c r="J118" i="20"/>
  <c r="M239" i="20"/>
  <c r="K240" i="20"/>
  <c r="J245" i="20"/>
  <c r="L240" i="20" l="1"/>
  <c r="K245" i="20"/>
  <c r="N239" i="20"/>
  <c r="J280" i="20"/>
  <c r="L244" i="20"/>
  <c r="K118" i="20"/>
  <c r="K280" i="20" l="1"/>
  <c r="M244" i="20"/>
  <c r="L118" i="20"/>
  <c r="O239" i="20"/>
  <c r="M240" i="20"/>
  <c r="L245" i="20"/>
  <c r="P239" i="20" l="1"/>
  <c r="N240" i="20"/>
  <c r="M245" i="20"/>
  <c r="L280" i="20"/>
  <c r="N244" i="20"/>
  <c r="M280" i="20" l="1"/>
  <c r="O244" i="20"/>
  <c r="N118" i="20"/>
  <c r="O240" i="20"/>
  <c r="N245" i="20"/>
  <c r="Q239" i="20"/>
  <c r="R239" i="20" l="1"/>
  <c r="P240" i="20"/>
  <c r="O245" i="20"/>
  <c r="N280" i="20"/>
  <c r="P244" i="20"/>
  <c r="O118" i="20"/>
  <c r="O280" i="20" l="1"/>
  <c r="Q244" i="20"/>
  <c r="Q240" i="20"/>
  <c r="P245" i="20"/>
  <c r="S239" i="20"/>
  <c r="P280" i="20" l="1"/>
  <c r="R244" i="20"/>
  <c r="Q118" i="20"/>
  <c r="T239" i="20"/>
  <c r="R240" i="20"/>
  <c r="Q245" i="20"/>
  <c r="S240" i="20" l="1"/>
  <c r="R245" i="20"/>
  <c r="U239" i="20"/>
  <c r="S244" i="20"/>
  <c r="Q280" i="20"/>
  <c r="R118" i="20"/>
  <c r="T244" i="20" l="1"/>
  <c r="R280" i="20"/>
  <c r="S118" i="20"/>
  <c r="V239" i="20"/>
  <c r="T240" i="20"/>
  <c r="S245" i="20"/>
  <c r="W239" i="20" l="1"/>
  <c r="U240" i="20"/>
  <c r="T245" i="20"/>
  <c r="S280" i="20"/>
  <c r="U244" i="20"/>
  <c r="T118" i="20"/>
  <c r="T280" i="20" l="1"/>
  <c r="V244" i="20"/>
  <c r="U118" i="20"/>
  <c r="V240" i="20"/>
  <c r="U245" i="20"/>
  <c r="X239" i="20"/>
  <c r="Y239" i="20" l="1"/>
  <c r="W240" i="20"/>
  <c r="V245" i="20"/>
  <c r="U280" i="20"/>
  <c r="W244" i="20"/>
  <c r="V118" i="20"/>
  <c r="V280" i="20" l="1"/>
  <c r="X244" i="20"/>
  <c r="W118" i="20"/>
  <c r="X240" i="20"/>
  <c r="W245" i="20"/>
  <c r="Z239" i="20"/>
  <c r="AA239" i="20" l="1"/>
  <c r="Y240" i="20"/>
  <c r="X245" i="20"/>
  <c r="W280" i="20"/>
  <c r="Y244" i="20"/>
  <c r="X118" i="20"/>
  <c r="X280" i="20" l="1"/>
  <c r="Z244" i="20"/>
  <c r="Y118" i="20"/>
  <c r="Z240" i="20"/>
  <c r="Y245" i="20"/>
  <c r="AB239" i="20"/>
  <c r="AC239" i="20" l="1"/>
  <c r="AA240" i="20"/>
  <c r="Z245" i="20"/>
  <c r="AA244" i="20"/>
  <c r="Y280" i="20"/>
  <c r="Z118" i="20"/>
  <c r="Z280" i="20" l="1"/>
  <c r="AB244" i="20"/>
  <c r="AA118" i="20"/>
  <c r="AB240" i="20"/>
  <c r="AA245" i="20"/>
  <c r="AD239" i="20"/>
  <c r="AA280" i="20" l="1"/>
  <c r="AC244" i="20"/>
  <c r="AE239" i="20"/>
  <c r="AC240" i="20"/>
  <c r="AB245" i="20"/>
  <c r="AD240" i="20" l="1"/>
  <c r="AC245" i="20"/>
  <c r="AF239" i="20"/>
  <c r="AB280" i="20"/>
  <c r="AD244" i="20"/>
  <c r="AC280" i="20" l="1"/>
  <c r="AE244" i="20"/>
  <c r="B239" i="20"/>
  <c r="AE240" i="20"/>
  <c r="AD245" i="20"/>
  <c r="AF240" i="20" l="1"/>
  <c r="AE245" i="20"/>
  <c r="AD280" i="20"/>
  <c r="AF244" i="20"/>
  <c r="B244" i="20" l="1"/>
  <c r="AE280" i="20"/>
  <c r="B240" i="20"/>
  <c r="B245" i="20" s="1"/>
  <c r="AF245" i="20"/>
  <c r="AF280" i="20" l="1"/>
  <c r="AI118" i="20" l="1"/>
  <c r="AH118" i="20"/>
  <c r="M123" i="19" l="1"/>
  <c r="L123" i="19"/>
  <c r="L119" i="19"/>
  <c r="K123" i="19" l="1"/>
  <c r="J119" i="19"/>
  <c r="J123" i="19"/>
  <c r="I123" i="19"/>
  <c r="G58" i="19"/>
  <c r="G62" i="19"/>
  <c r="AH125" i="19" l="1"/>
  <c r="AI125" i="19"/>
  <c r="AH124" i="19"/>
  <c r="AI124" i="19"/>
  <c r="AF284" i="19" l="1"/>
  <c r="AE284" i="19"/>
  <c r="AD284" i="19"/>
  <c r="AC284" i="19"/>
  <c r="AB284" i="19"/>
  <c r="AA284" i="19"/>
  <c r="Z284" i="19"/>
  <c r="Y284" i="19"/>
  <c r="X284" i="19"/>
  <c r="W284" i="19"/>
  <c r="V284" i="19"/>
  <c r="U284" i="19"/>
  <c r="T284" i="19"/>
  <c r="S284" i="19"/>
  <c r="R284" i="19"/>
  <c r="Q284" i="19"/>
  <c r="P284" i="19"/>
  <c r="O284" i="19"/>
  <c r="N284" i="19"/>
  <c r="M284" i="19"/>
  <c r="L284" i="19"/>
  <c r="K284" i="19"/>
  <c r="J284" i="19"/>
  <c r="I284" i="19"/>
  <c r="H284" i="19"/>
  <c r="G284" i="19"/>
  <c r="F284" i="19"/>
  <c r="E284" i="19"/>
  <c r="D284" i="19"/>
  <c r="C284" i="19"/>
  <c r="B284" i="19"/>
  <c r="A284" i="19"/>
  <c r="AF283" i="19"/>
  <c r="AE283" i="19"/>
  <c r="AD283" i="19"/>
  <c r="AC283" i="19"/>
  <c r="AB283" i="19"/>
  <c r="AA283" i="19"/>
  <c r="Z283" i="19"/>
  <c r="Y283" i="19"/>
  <c r="X283" i="19"/>
  <c r="W283" i="19"/>
  <c r="V283" i="19"/>
  <c r="U283" i="19"/>
  <c r="T283" i="19"/>
  <c r="S283" i="19"/>
  <c r="R283" i="19"/>
  <c r="Q283" i="19"/>
  <c r="P283" i="19"/>
  <c r="O283" i="19"/>
  <c r="N283" i="19"/>
  <c r="M283" i="19"/>
  <c r="L283" i="19"/>
  <c r="K283" i="19"/>
  <c r="J283" i="19"/>
  <c r="I283" i="19"/>
  <c r="H283" i="19"/>
  <c r="G283" i="19"/>
  <c r="F283" i="19"/>
  <c r="E283" i="19"/>
  <c r="D283" i="19"/>
  <c r="C283" i="19"/>
  <c r="B283" i="19"/>
  <c r="A283" i="19"/>
  <c r="AF282" i="19"/>
  <c r="AE282" i="19"/>
  <c r="AD282" i="19"/>
  <c r="AC282" i="19"/>
  <c r="AB282" i="19"/>
  <c r="AA282" i="19"/>
  <c r="Z282" i="19"/>
  <c r="Y282" i="19"/>
  <c r="X282" i="19"/>
  <c r="W282" i="19"/>
  <c r="V282" i="19"/>
  <c r="U282" i="19"/>
  <c r="T282" i="19"/>
  <c r="S282" i="19"/>
  <c r="R282" i="19"/>
  <c r="Q282" i="19"/>
  <c r="P282" i="19"/>
  <c r="O282" i="19"/>
  <c r="N282" i="19"/>
  <c r="M282" i="19"/>
  <c r="L282" i="19"/>
  <c r="K282" i="19"/>
  <c r="J282" i="19"/>
  <c r="I282" i="19"/>
  <c r="H282" i="19"/>
  <c r="G282" i="19"/>
  <c r="F282" i="19"/>
  <c r="E282" i="19"/>
  <c r="D282" i="19"/>
  <c r="C282" i="19"/>
  <c r="B282" i="19"/>
  <c r="A282" i="19"/>
  <c r="AF281" i="19"/>
  <c r="AE281" i="19"/>
  <c r="AD281" i="19"/>
  <c r="AC281" i="19"/>
  <c r="AB281" i="19"/>
  <c r="AA281" i="19"/>
  <c r="Z281" i="19"/>
  <c r="Y281" i="19"/>
  <c r="X281" i="19"/>
  <c r="W281" i="19"/>
  <c r="V281" i="19"/>
  <c r="U281" i="19"/>
  <c r="T281" i="19"/>
  <c r="S281" i="19"/>
  <c r="R281" i="19"/>
  <c r="Q281" i="19"/>
  <c r="P281" i="19"/>
  <c r="O281" i="19"/>
  <c r="N281" i="19"/>
  <c r="M281" i="19"/>
  <c r="L281" i="19"/>
  <c r="K281" i="19"/>
  <c r="J281" i="19"/>
  <c r="I281" i="19"/>
  <c r="H281" i="19"/>
  <c r="G281" i="19"/>
  <c r="F281" i="19"/>
  <c r="E281" i="19"/>
  <c r="D281" i="19"/>
  <c r="C281" i="19"/>
  <c r="B281" i="19"/>
  <c r="A281" i="19"/>
  <c r="B280" i="19"/>
  <c r="S255" i="19"/>
  <c r="AG245" i="19"/>
  <c r="C245" i="19"/>
  <c r="D244" i="19"/>
  <c r="E243" i="19"/>
  <c r="F243" i="19" s="1"/>
  <c r="G243" i="19" s="1"/>
  <c r="H243" i="19" s="1"/>
  <c r="I243" i="19" s="1"/>
  <c r="J243" i="19" s="1"/>
  <c r="K243" i="19" s="1"/>
  <c r="L243" i="19" s="1"/>
  <c r="M243" i="19" s="1"/>
  <c r="N243" i="19" s="1"/>
  <c r="O243" i="19" s="1"/>
  <c r="P243" i="19" s="1"/>
  <c r="Q243" i="19" s="1"/>
  <c r="R243" i="19" s="1"/>
  <c r="S243" i="19" s="1"/>
  <c r="T243" i="19" s="1"/>
  <c r="U243" i="19" s="1"/>
  <c r="V243" i="19" s="1"/>
  <c r="W243" i="19" s="1"/>
  <c r="X243" i="19" s="1"/>
  <c r="Y243" i="19" s="1"/>
  <c r="Z243" i="19" s="1"/>
  <c r="AA243" i="19" s="1"/>
  <c r="AB243" i="19" s="1"/>
  <c r="AC243" i="19" s="1"/>
  <c r="AD243" i="19" s="1"/>
  <c r="AE243" i="19" s="1"/>
  <c r="AF243" i="19" s="1"/>
  <c r="B243" i="19" s="1"/>
  <c r="D243" i="19"/>
  <c r="H242" i="19"/>
  <c r="I242" i="19" s="1"/>
  <c r="J242" i="19" s="1"/>
  <c r="K242" i="19" s="1"/>
  <c r="L242" i="19" s="1"/>
  <c r="M242" i="19" s="1"/>
  <c r="N242" i="19" s="1"/>
  <c r="O242" i="19" s="1"/>
  <c r="P242" i="19" s="1"/>
  <c r="Q242" i="19" s="1"/>
  <c r="R242" i="19" s="1"/>
  <c r="S242" i="19" s="1"/>
  <c r="T242" i="19" s="1"/>
  <c r="U242" i="19" s="1"/>
  <c r="V242" i="19" s="1"/>
  <c r="W242" i="19" s="1"/>
  <c r="X242" i="19" s="1"/>
  <c r="Y242" i="19" s="1"/>
  <c r="Z242" i="19" s="1"/>
  <c r="AA242" i="19" s="1"/>
  <c r="AB242" i="19" s="1"/>
  <c r="AC242" i="19" s="1"/>
  <c r="AD242" i="19" s="1"/>
  <c r="AE242" i="19" s="1"/>
  <c r="AF242" i="19" s="1"/>
  <c r="B242" i="19" s="1"/>
  <c r="D242" i="19"/>
  <c r="E242" i="19" s="1"/>
  <c r="F242" i="19" s="1"/>
  <c r="G242" i="19" s="1"/>
  <c r="E241" i="19"/>
  <c r="F241" i="19" s="1"/>
  <c r="G241" i="19" s="1"/>
  <c r="H241" i="19" s="1"/>
  <c r="I241" i="19" s="1"/>
  <c r="J241" i="19" s="1"/>
  <c r="K241" i="19" s="1"/>
  <c r="L241" i="19" s="1"/>
  <c r="M241" i="19" s="1"/>
  <c r="N241" i="19" s="1"/>
  <c r="O241" i="19" s="1"/>
  <c r="P241" i="19" s="1"/>
  <c r="Q241" i="19" s="1"/>
  <c r="R241" i="19" s="1"/>
  <c r="S241" i="19" s="1"/>
  <c r="T241" i="19" s="1"/>
  <c r="U241" i="19" s="1"/>
  <c r="V241" i="19" s="1"/>
  <c r="W241" i="19" s="1"/>
  <c r="X241" i="19" s="1"/>
  <c r="Y241" i="19" s="1"/>
  <c r="Z241" i="19" s="1"/>
  <c r="AA241" i="19" s="1"/>
  <c r="AB241" i="19" s="1"/>
  <c r="AC241" i="19" s="1"/>
  <c r="AD241" i="19" s="1"/>
  <c r="AE241" i="19" s="1"/>
  <c r="AF241" i="19" s="1"/>
  <c r="B241" i="19" s="1"/>
  <c r="D241" i="19"/>
  <c r="D240" i="19"/>
  <c r="E239" i="19"/>
  <c r="F239" i="19" s="1"/>
  <c r="D239" i="19"/>
  <c r="D118" i="19" s="1"/>
  <c r="AG237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I130" i="19"/>
  <c r="AH130" i="19"/>
  <c r="AI129" i="19"/>
  <c r="AH129" i="19"/>
  <c r="AI128" i="19"/>
  <c r="AH128" i="19"/>
  <c r="AI127" i="19"/>
  <c r="AH127" i="19"/>
  <c r="AI126" i="19"/>
  <c r="AH126" i="19"/>
  <c r="AI123" i="19"/>
  <c r="AH123" i="19"/>
  <c r="AI122" i="19"/>
  <c r="AH122" i="19"/>
  <c r="AI121" i="19"/>
  <c r="AH121" i="19"/>
  <c r="AI120" i="19"/>
  <c r="AH120" i="19"/>
  <c r="AI119" i="19"/>
  <c r="AH119" i="19"/>
  <c r="C118" i="19"/>
  <c r="AI117" i="19"/>
  <c r="AH117" i="19"/>
  <c r="AI116" i="19"/>
  <c r="AH116" i="19"/>
  <c r="AI115" i="19"/>
  <c r="AH115" i="19"/>
  <c r="AI114" i="19"/>
  <c r="AH114" i="19"/>
  <c r="AI113" i="19"/>
  <c r="AH113" i="19"/>
  <c r="AI112" i="19"/>
  <c r="AH112" i="19"/>
  <c r="AI111" i="19"/>
  <c r="AH111" i="19"/>
  <c r="AI110" i="19"/>
  <c r="AH110" i="19"/>
  <c r="AI109" i="19"/>
  <c r="AH109" i="19"/>
  <c r="AI106" i="19"/>
  <c r="AH106" i="19"/>
  <c r="AE105" i="19"/>
  <c r="AD105" i="19"/>
  <c r="AC105" i="19"/>
  <c r="AB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C107" i="19" s="1"/>
  <c r="B105" i="19"/>
  <c r="AE104" i="19"/>
  <c r="AD104" i="19"/>
  <c r="AC104" i="19"/>
  <c r="AB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AE103" i="19"/>
  <c r="AD103" i="19"/>
  <c r="AC103" i="19"/>
  <c r="AB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B103" i="19"/>
  <c r="AE102" i="19"/>
  <c r="AD102" i="19"/>
  <c r="AC102" i="19"/>
  <c r="AB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B102" i="19"/>
  <c r="AE101" i="19"/>
  <c r="AD101" i="19"/>
  <c r="AC101" i="19"/>
  <c r="AB101" i="19"/>
  <c r="AB107" i="19" s="1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D107" i="19" s="1"/>
  <c r="C101" i="19"/>
  <c r="B101" i="19"/>
  <c r="AI98" i="19"/>
  <c r="AH98" i="19"/>
  <c r="AI96" i="19"/>
  <c r="AH96" i="19"/>
  <c r="AG96" i="19"/>
  <c r="AI95" i="19"/>
  <c r="AH95" i="19"/>
  <c r="AI94" i="19"/>
  <c r="AH94" i="19"/>
  <c r="AI93" i="19"/>
  <c r="AH93" i="19"/>
  <c r="AG92" i="19"/>
  <c r="AE5" i="19"/>
  <c r="AE92" i="19"/>
  <c r="AD5" i="19" s="1"/>
  <c r="AD92" i="19"/>
  <c r="AC5" i="19" s="1"/>
  <c r="AC92" i="19"/>
  <c r="AB5" i="19" s="1"/>
  <c r="AB92" i="19"/>
  <c r="AA5" i="19" s="1"/>
  <c r="W5" i="19"/>
  <c r="V5" i="19"/>
  <c r="S5" i="19"/>
  <c r="R92" i="19"/>
  <c r="Q5" i="19" s="1"/>
  <c r="Q92" i="19"/>
  <c r="P92" i="19"/>
  <c r="O5" i="19" s="1"/>
  <c r="O92" i="19"/>
  <c r="N92" i="19"/>
  <c r="M5" i="19" s="1"/>
  <c r="M92" i="19"/>
  <c r="L5" i="19" s="1"/>
  <c r="L92" i="19"/>
  <c r="K5" i="19" s="1"/>
  <c r="K92" i="19"/>
  <c r="J5" i="19" s="1"/>
  <c r="J92" i="19"/>
  <c r="I5" i="19" s="1"/>
  <c r="I92" i="19"/>
  <c r="H92" i="19"/>
  <c r="G5" i="19" s="1"/>
  <c r="G92" i="19"/>
  <c r="F5" i="19" s="1"/>
  <c r="F92" i="19"/>
  <c r="E5" i="19" s="1"/>
  <c r="E92" i="19"/>
  <c r="D5" i="19" s="1"/>
  <c r="D92" i="19"/>
  <c r="C5" i="19" s="1"/>
  <c r="C92" i="19"/>
  <c r="B5" i="19" s="1"/>
  <c r="B92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I83" i="19"/>
  <c r="AH83" i="19"/>
  <c r="AI82" i="19"/>
  <c r="AH82" i="19"/>
  <c r="AI81" i="19"/>
  <c r="AH81" i="19"/>
  <c r="AG80" i="19"/>
  <c r="AG4" i="19" s="1"/>
  <c r="AE80" i="19"/>
  <c r="AD80" i="19"/>
  <c r="AC80" i="19"/>
  <c r="AB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B80" i="19"/>
  <c r="AI79" i="19"/>
  <c r="AH79" i="19"/>
  <c r="AI78" i="19"/>
  <c r="AH78" i="19"/>
  <c r="AI77" i="19"/>
  <c r="AH77" i="19"/>
  <c r="AE76" i="19"/>
  <c r="AD76" i="19"/>
  <c r="AC76" i="19"/>
  <c r="AB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I75" i="19"/>
  <c r="AH75" i="19"/>
  <c r="AG75" i="19"/>
  <c r="AG76" i="19" s="1"/>
  <c r="AG3" i="19" s="1"/>
  <c r="AI74" i="19"/>
  <c r="AH74" i="19"/>
  <c r="AI73" i="19"/>
  <c r="AH73" i="19"/>
  <c r="AI72" i="19"/>
  <c r="AH72" i="19"/>
  <c r="AI71" i="19"/>
  <c r="AH71" i="19"/>
  <c r="AI70" i="19"/>
  <c r="AH70" i="19"/>
  <c r="AI69" i="19"/>
  <c r="AH69" i="19"/>
  <c r="AI68" i="19"/>
  <c r="AH68" i="19"/>
  <c r="AI67" i="19"/>
  <c r="AH67" i="19"/>
  <c r="AI66" i="19"/>
  <c r="AH66" i="19"/>
  <c r="AI65" i="19"/>
  <c r="AH65" i="19"/>
  <c r="AI64" i="19"/>
  <c r="AH64" i="19"/>
  <c r="AI63" i="19"/>
  <c r="AH63" i="19"/>
  <c r="AG62" i="19"/>
  <c r="AE62" i="19"/>
  <c r="AD62" i="19"/>
  <c r="AC62" i="19"/>
  <c r="AB62" i="19"/>
  <c r="R62" i="19"/>
  <c r="Q62" i="19"/>
  <c r="P62" i="19"/>
  <c r="O62" i="19"/>
  <c r="N62" i="19"/>
  <c r="M62" i="19"/>
  <c r="L62" i="19"/>
  <c r="K62" i="19"/>
  <c r="J62" i="19"/>
  <c r="I62" i="19"/>
  <c r="H62" i="19"/>
  <c r="F62" i="19"/>
  <c r="E62" i="19"/>
  <c r="D62" i="19"/>
  <c r="C62" i="19"/>
  <c r="B62" i="19"/>
  <c r="AI61" i="19"/>
  <c r="AH61" i="19"/>
  <c r="AI60" i="19"/>
  <c r="AH60" i="19"/>
  <c r="AI59" i="19"/>
  <c r="AH59" i="19"/>
  <c r="AG58" i="19"/>
  <c r="AG2" i="19" s="1"/>
  <c r="AE58" i="19"/>
  <c r="AD58" i="19"/>
  <c r="AC58" i="19"/>
  <c r="AB58" i="19"/>
  <c r="R58" i="19"/>
  <c r="Q58" i="19"/>
  <c r="P58" i="19"/>
  <c r="O58" i="19"/>
  <c r="N58" i="19"/>
  <c r="M58" i="19"/>
  <c r="L58" i="19"/>
  <c r="K58" i="19"/>
  <c r="J58" i="19"/>
  <c r="I58" i="19"/>
  <c r="H58" i="19"/>
  <c r="F58" i="19"/>
  <c r="E58" i="19"/>
  <c r="D58" i="19"/>
  <c r="C58" i="19"/>
  <c r="B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Z5" i="19"/>
  <c r="Y5" i="19"/>
  <c r="U5" i="19"/>
  <c r="T5" i="19"/>
  <c r="R5" i="19"/>
  <c r="K4" i="19"/>
  <c r="E4" i="19"/>
  <c r="H4" i="19" s="1"/>
  <c r="B4" i="19"/>
  <c r="AC123" i="17"/>
  <c r="AB123" i="17"/>
  <c r="AA123" i="17"/>
  <c r="AA58" i="17"/>
  <c r="AA62" i="17"/>
  <c r="AA76" i="17"/>
  <c r="AA80" i="17"/>
  <c r="AA92" i="17"/>
  <c r="AA101" i="17"/>
  <c r="AA102" i="17"/>
  <c r="AA103" i="17"/>
  <c r="AA104" i="17"/>
  <c r="AA105" i="17"/>
  <c r="AA118" i="17"/>
  <c r="Z123" i="17"/>
  <c r="Z58" i="17"/>
  <c r="Z62" i="17"/>
  <c r="Z76" i="17"/>
  <c r="Z80" i="17"/>
  <c r="Z92" i="17"/>
  <c r="Z108" i="17" s="1"/>
  <c r="Z101" i="17"/>
  <c r="Z107" i="17" s="1"/>
  <c r="Z102" i="17"/>
  <c r="Z103" i="17"/>
  <c r="Z104" i="17"/>
  <c r="Z105" i="17"/>
  <c r="Z118" i="17"/>
  <c r="Y123" i="17"/>
  <c r="Y118" i="17" s="1"/>
  <c r="X123" i="17"/>
  <c r="Y58" i="17"/>
  <c r="Y62" i="17"/>
  <c r="Y76" i="17"/>
  <c r="Y80" i="17"/>
  <c r="Y92" i="17"/>
  <c r="Y101" i="17"/>
  <c r="Y107" i="17" s="1"/>
  <c r="Y102" i="17"/>
  <c r="Y103" i="17"/>
  <c r="Y104" i="17"/>
  <c r="Y105" i="17"/>
  <c r="AB97" i="19" l="1"/>
  <c r="AB99" i="19" s="1"/>
  <c r="P107" i="19"/>
  <c r="P108" i="19" s="1"/>
  <c r="L107" i="19"/>
  <c r="L97" i="19"/>
  <c r="L99" i="19" s="1"/>
  <c r="K107" i="19"/>
  <c r="H107" i="19"/>
  <c r="D97" i="19"/>
  <c r="D99" i="19" s="1"/>
  <c r="V259" i="19" s="1"/>
  <c r="E107" i="19"/>
  <c r="M107" i="19"/>
  <c r="M108" i="19" s="1"/>
  <c r="AC107" i="19"/>
  <c r="AC108" i="19" s="1"/>
  <c r="F97" i="19"/>
  <c r="F99" i="19" s="1"/>
  <c r="X259" i="19" s="1"/>
  <c r="AD97" i="19"/>
  <c r="AD99" i="19" s="1"/>
  <c r="AV259" i="19" s="1"/>
  <c r="G97" i="19"/>
  <c r="G99" i="19" s="1"/>
  <c r="Y259" i="19" s="1"/>
  <c r="AE97" i="19"/>
  <c r="AE99" i="19" s="1"/>
  <c r="AW259" i="19" s="1"/>
  <c r="AI92" i="19"/>
  <c r="O107" i="19"/>
  <c r="O108" i="19" s="1"/>
  <c r="W7" i="19"/>
  <c r="AE107" i="19"/>
  <c r="AE108" i="19" s="1"/>
  <c r="N5" i="19"/>
  <c r="H97" i="19"/>
  <c r="H99" i="19" s="1"/>
  <c r="Z259" i="19" s="1"/>
  <c r="P97" i="19"/>
  <c r="P99" i="19" s="1"/>
  <c r="AH259" i="19" s="1"/>
  <c r="AP259" i="19"/>
  <c r="AX259" i="19"/>
  <c r="C108" i="19"/>
  <c r="K108" i="19"/>
  <c r="AI80" i="19"/>
  <c r="I107" i="19"/>
  <c r="I108" i="19" s="1"/>
  <c r="Q107" i="19"/>
  <c r="Q108" i="19" s="1"/>
  <c r="AN259" i="19"/>
  <c r="O97" i="19"/>
  <c r="O99" i="19" s="1"/>
  <c r="N97" i="19"/>
  <c r="N99" i="19" s="1"/>
  <c r="AF259" i="19" s="1"/>
  <c r="G107" i="19"/>
  <c r="G108" i="19" s="1"/>
  <c r="P5" i="19"/>
  <c r="I97" i="19"/>
  <c r="I99" i="19" s="1"/>
  <c r="I100" i="19" s="1"/>
  <c r="I7" i="19" s="1"/>
  <c r="Q97" i="19"/>
  <c r="Q99" i="19" s="1"/>
  <c r="AI259" i="19" s="1"/>
  <c r="AG6" i="19"/>
  <c r="J97" i="19"/>
  <c r="J99" i="19" s="1"/>
  <c r="AB259" i="19" s="1"/>
  <c r="R97" i="19"/>
  <c r="R99" i="19" s="1"/>
  <c r="AJ259" i="19" s="1"/>
  <c r="Z7" i="19"/>
  <c r="E108" i="19"/>
  <c r="AI101" i="19"/>
  <c r="J107" i="19"/>
  <c r="J108" i="19" s="1"/>
  <c r="R107" i="19"/>
  <c r="R108" i="19" s="1"/>
  <c r="H5" i="19"/>
  <c r="C97" i="19"/>
  <c r="C99" i="19" s="1"/>
  <c r="U259" i="19" s="1"/>
  <c r="K97" i="19"/>
  <c r="K99" i="19" s="1"/>
  <c r="AC259" i="19" s="1"/>
  <c r="S7" i="19"/>
  <c r="AA7" i="19"/>
  <c r="E97" i="19"/>
  <c r="E99" i="19" s="1"/>
  <c r="W259" i="19" s="1"/>
  <c r="M97" i="19"/>
  <c r="M99" i="19" s="1"/>
  <c r="AM259" i="19"/>
  <c r="AC97" i="19"/>
  <c r="AC99" i="19" s="1"/>
  <c r="AU259" i="19" s="1"/>
  <c r="AI62" i="19"/>
  <c r="AF5" i="19"/>
  <c r="AO259" i="19"/>
  <c r="G239" i="19"/>
  <c r="C280" i="19"/>
  <c r="E244" i="19"/>
  <c r="E118" i="19" s="1"/>
  <c r="AH102" i="19"/>
  <c r="AK259" i="19"/>
  <c r="AI76" i="19"/>
  <c r="F107" i="19"/>
  <c r="F108" i="19" s="1"/>
  <c r="N107" i="19"/>
  <c r="N108" i="19" s="1"/>
  <c r="AD107" i="19"/>
  <c r="AD108" i="19" s="1"/>
  <c r="AI105" i="19"/>
  <c r="AT259" i="19"/>
  <c r="AB100" i="19"/>
  <c r="AB7" i="19" s="1"/>
  <c r="AI104" i="19"/>
  <c r="D245" i="19"/>
  <c r="E240" i="19"/>
  <c r="D256" i="19"/>
  <c r="S256" i="19"/>
  <c r="AI58" i="19"/>
  <c r="D100" i="19"/>
  <c r="D7" i="19" s="1"/>
  <c r="AD259" i="19"/>
  <c r="L100" i="19"/>
  <c r="L7" i="19" s="1"/>
  <c r="AL259" i="19"/>
  <c r="T7" i="19"/>
  <c r="X5" i="19"/>
  <c r="X7" i="19"/>
  <c r="AI103" i="19"/>
  <c r="AQ259" i="19"/>
  <c r="Y7" i="19"/>
  <c r="AR259" i="19"/>
  <c r="AG99" i="19"/>
  <c r="AI102" i="19"/>
  <c r="AH76" i="19"/>
  <c r="AH80" i="19"/>
  <c r="AH92" i="19"/>
  <c r="H108" i="19"/>
  <c r="AH101" i="19"/>
  <c r="B107" i="19"/>
  <c r="AG97" i="19"/>
  <c r="AH58" i="19"/>
  <c r="AH62" i="19"/>
  <c r="B97" i="19"/>
  <c r="AH103" i="19"/>
  <c r="AH104" i="19"/>
  <c r="D108" i="19"/>
  <c r="L108" i="19"/>
  <c r="AB108" i="19"/>
  <c r="AH105" i="19"/>
  <c r="AA107" i="17"/>
  <c r="AA108" i="17" s="1"/>
  <c r="AA97" i="17"/>
  <c r="AA99" i="17" s="1"/>
  <c r="AA100" i="17" s="1"/>
  <c r="Z97" i="17"/>
  <c r="Z99" i="17" s="1"/>
  <c r="Z100" i="17" s="1"/>
  <c r="Y97" i="17"/>
  <c r="Y99" i="17" s="1"/>
  <c r="Y100" i="17" s="1"/>
  <c r="Y108" i="17"/>
  <c r="X118" i="17"/>
  <c r="X105" i="17"/>
  <c r="X104" i="17"/>
  <c r="X103" i="17"/>
  <c r="X102" i="17"/>
  <c r="X107" i="17" s="1"/>
  <c r="X101" i="17"/>
  <c r="X92" i="17"/>
  <c r="X108" i="17" s="1"/>
  <c r="X80" i="17"/>
  <c r="X76" i="17"/>
  <c r="X62" i="17"/>
  <c r="X58" i="17"/>
  <c r="W123" i="17"/>
  <c r="W58" i="17"/>
  <c r="W62" i="17"/>
  <c r="W76" i="17"/>
  <c r="W80" i="17"/>
  <c r="W92" i="17"/>
  <c r="W101" i="17"/>
  <c r="W107" i="17" s="1"/>
  <c r="W102" i="17"/>
  <c r="W103" i="17"/>
  <c r="W104" i="17"/>
  <c r="W105" i="17"/>
  <c r="W118" i="17"/>
  <c r="I68" i="18"/>
  <c r="Q43" i="18"/>
  <c r="M43" i="18"/>
  <c r="M40" i="18"/>
  <c r="H35" i="18"/>
  <c r="H34" i="18"/>
  <c r="H36" i="18" s="1"/>
  <c r="B34" i="18"/>
  <c r="M33" i="18"/>
  <c r="G33" i="18"/>
  <c r="F33" i="18"/>
  <c r="E33" i="18"/>
  <c r="D33" i="18"/>
  <c r="C33" i="18"/>
  <c r="G32" i="18"/>
  <c r="F32" i="18"/>
  <c r="E32" i="18"/>
  <c r="D32" i="18"/>
  <c r="C32" i="18"/>
  <c r="G31" i="18"/>
  <c r="F31" i="18"/>
  <c r="E31" i="18"/>
  <c r="D31" i="18"/>
  <c r="C31" i="18"/>
  <c r="G30" i="18"/>
  <c r="G34" i="18" s="1"/>
  <c r="F30" i="18"/>
  <c r="E30" i="18"/>
  <c r="D30" i="18"/>
  <c r="C30" i="18"/>
  <c r="G28" i="18"/>
  <c r="F28" i="18"/>
  <c r="E28" i="18"/>
  <c r="D28" i="18"/>
  <c r="C28" i="18"/>
  <c r="N16" i="18"/>
  <c r="C7" i="18"/>
  <c r="D34" i="18" l="1"/>
  <c r="E34" i="18"/>
  <c r="F34" i="18"/>
  <c r="C34" i="18"/>
  <c r="R100" i="19"/>
  <c r="R7" i="19" s="1"/>
  <c r="P100" i="19"/>
  <c r="P7" i="19" s="1"/>
  <c r="O100" i="19"/>
  <c r="O7" i="19" s="1"/>
  <c r="AG259" i="19"/>
  <c r="M100" i="19"/>
  <c r="M7" i="19" s="1"/>
  <c r="AE259" i="19"/>
  <c r="J100" i="19"/>
  <c r="J7" i="19" s="1"/>
  <c r="H100" i="19"/>
  <c r="H7" i="19" s="1"/>
  <c r="B254" i="19"/>
  <c r="E100" i="19"/>
  <c r="E7" i="19" s="1"/>
  <c r="C100" i="19"/>
  <c r="C7" i="19" s="1"/>
  <c r="C254" i="19"/>
  <c r="Q100" i="19"/>
  <c r="Q7" i="19" s="1"/>
  <c r="AE100" i="19"/>
  <c r="AE7" i="19" s="1"/>
  <c r="AA259" i="19"/>
  <c r="K100" i="19"/>
  <c r="K7" i="19" s="1"/>
  <c r="V7" i="19"/>
  <c r="AD100" i="19"/>
  <c r="AD7" i="19" s="1"/>
  <c r="G100" i="19"/>
  <c r="G7" i="19" s="1"/>
  <c r="AF7" i="19"/>
  <c r="AC100" i="19"/>
  <c r="AC7" i="19" s="1"/>
  <c r="U7" i="19"/>
  <c r="AS259" i="19"/>
  <c r="H239" i="19"/>
  <c r="N100" i="19"/>
  <c r="N7" i="19" s="1"/>
  <c r="D280" i="19"/>
  <c r="F244" i="19"/>
  <c r="AI97" i="19"/>
  <c r="AH97" i="19"/>
  <c r="B99" i="19"/>
  <c r="F240" i="19"/>
  <c r="E245" i="19"/>
  <c r="F100" i="19"/>
  <c r="F7" i="19" s="1"/>
  <c r="B108" i="19"/>
  <c r="AI107" i="19"/>
  <c r="AH107" i="19"/>
  <c r="X97" i="17"/>
  <c r="X99" i="17" s="1"/>
  <c r="X100" i="17" s="1"/>
  <c r="W97" i="17"/>
  <c r="W99" i="17" s="1"/>
  <c r="W100" i="17" s="1"/>
  <c r="W108" i="17"/>
  <c r="V123" i="17"/>
  <c r="V58" i="17"/>
  <c r="V62" i="17"/>
  <c r="V76" i="17"/>
  <c r="V80" i="17"/>
  <c r="V92" i="17"/>
  <c r="V101" i="17"/>
  <c r="V102" i="17"/>
  <c r="V107" i="17" s="1"/>
  <c r="V103" i="17"/>
  <c r="V104" i="17"/>
  <c r="V105" i="17"/>
  <c r="V118" i="17"/>
  <c r="U123" i="17"/>
  <c r="U58" i="17"/>
  <c r="U62" i="17"/>
  <c r="U76" i="17"/>
  <c r="U80" i="17"/>
  <c r="U92" i="17"/>
  <c r="U108" i="17" s="1"/>
  <c r="U101" i="17"/>
  <c r="U102" i="17"/>
  <c r="U107" i="17" s="1"/>
  <c r="U103" i="17"/>
  <c r="U104" i="17"/>
  <c r="U105" i="17"/>
  <c r="U118" i="17"/>
  <c r="T123" i="17"/>
  <c r="T58" i="17"/>
  <c r="T62" i="17"/>
  <c r="T76" i="17"/>
  <c r="T80" i="17"/>
  <c r="T92" i="17"/>
  <c r="T101" i="17"/>
  <c r="T107" i="17" s="1"/>
  <c r="T102" i="17"/>
  <c r="T103" i="17"/>
  <c r="T104" i="17"/>
  <c r="T105" i="17"/>
  <c r="T118" i="17"/>
  <c r="S123" i="17"/>
  <c r="S58" i="17"/>
  <c r="S62" i="17"/>
  <c r="S76" i="17"/>
  <c r="S80" i="17"/>
  <c r="S92" i="17"/>
  <c r="S108" i="17" s="1"/>
  <c r="S101" i="17"/>
  <c r="S102" i="17"/>
  <c r="S103" i="17"/>
  <c r="S104" i="17"/>
  <c r="S105" i="17"/>
  <c r="S107" i="17"/>
  <c r="S118" i="17"/>
  <c r="K6" i="19" l="1"/>
  <c r="E280" i="19"/>
  <c r="G244" i="19"/>
  <c r="F118" i="19"/>
  <c r="AI108" i="19"/>
  <c r="AH108" i="19"/>
  <c r="I239" i="19"/>
  <c r="T259" i="19"/>
  <c r="B100" i="19"/>
  <c r="AI99" i="19"/>
  <c r="AH99" i="19"/>
  <c r="G240" i="19"/>
  <c r="F245" i="19"/>
  <c r="V108" i="17"/>
  <c r="V97" i="17"/>
  <c r="V99" i="17" s="1"/>
  <c r="V100" i="17" s="1"/>
  <c r="U97" i="17"/>
  <c r="U99" i="17" s="1"/>
  <c r="U100" i="17" s="1"/>
  <c r="T108" i="17"/>
  <c r="T97" i="17"/>
  <c r="T99" i="17" s="1"/>
  <c r="T100" i="17" s="1"/>
  <c r="S97" i="17"/>
  <c r="S99" i="17" s="1"/>
  <c r="S100" i="17" s="1"/>
  <c r="M119" i="17"/>
  <c r="L121" i="17"/>
  <c r="L123" i="17"/>
  <c r="M123" i="17"/>
  <c r="M58" i="17"/>
  <c r="M62" i="17"/>
  <c r="M76" i="17"/>
  <c r="L57" i="17"/>
  <c r="K123" i="17"/>
  <c r="K121" i="17"/>
  <c r="K57" i="17"/>
  <c r="J123" i="17"/>
  <c r="J121" i="17"/>
  <c r="J57" i="17"/>
  <c r="I121" i="17"/>
  <c r="I57" i="17"/>
  <c r="H123" i="17"/>
  <c r="H121" i="17"/>
  <c r="H57" i="17"/>
  <c r="G123" i="17"/>
  <c r="G121" i="17"/>
  <c r="G57" i="17"/>
  <c r="F123" i="17"/>
  <c r="F121" i="17"/>
  <c r="F57" i="17"/>
  <c r="E123" i="17"/>
  <c r="E121" i="17"/>
  <c r="E57" i="17"/>
  <c r="B123" i="17"/>
  <c r="AF284" i="17"/>
  <c r="AE284" i="17"/>
  <c r="AD284" i="17"/>
  <c r="AC284" i="17"/>
  <c r="AB284" i="17"/>
  <c r="AA284" i="17"/>
  <c r="Z284" i="17"/>
  <c r="Y284" i="17"/>
  <c r="X284" i="17"/>
  <c r="W284" i="17"/>
  <c r="V284" i="17"/>
  <c r="U284" i="17"/>
  <c r="T284" i="17"/>
  <c r="S284" i="17"/>
  <c r="R284" i="17"/>
  <c r="Q284" i="17"/>
  <c r="P284" i="17"/>
  <c r="O284" i="17"/>
  <c r="N284" i="17"/>
  <c r="M284" i="17"/>
  <c r="L284" i="17"/>
  <c r="K284" i="17"/>
  <c r="J284" i="17"/>
  <c r="I284" i="17"/>
  <c r="H284" i="17"/>
  <c r="G284" i="17"/>
  <c r="F284" i="17"/>
  <c r="E284" i="17"/>
  <c r="D284" i="17"/>
  <c r="C284" i="17"/>
  <c r="B284" i="17"/>
  <c r="A284" i="17"/>
  <c r="AF283" i="17"/>
  <c r="AE283" i="17"/>
  <c r="AD283" i="17"/>
  <c r="AC283" i="17"/>
  <c r="AB283" i="17"/>
  <c r="AA283" i="17"/>
  <c r="Z283" i="17"/>
  <c r="Y283" i="17"/>
  <c r="X283" i="17"/>
  <c r="W283" i="17"/>
  <c r="V283" i="17"/>
  <c r="U283" i="17"/>
  <c r="T283" i="17"/>
  <c r="S283" i="17"/>
  <c r="R283" i="17"/>
  <c r="Q283" i="17"/>
  <c r="P283" i="17"/>
  <c r="O283" i="17"/>
  <c r="N283" i="17"/>
  <c r="M283" i="17"/>
  <c r="L283" i="17"/>
  <c r="K283" i="17"/>
  <c r="J283" i="17"/>
  <c r="I283" i="17"/>
  <c r="H283" i="17"/>
  <c r="G283" i="17"/>
  <c r="F283" i="17"/>
  <c r="E283" i="17"/>
  <c r="D283" i="17"/>
  <c r="C283" i="17"/>
  <c r="B283" i="17"/>
  <c r="A283" i="17"/>
  <c r="AF282" i="17"/>
  <c r="AE282" i="17"/>
  <c r="AD282" i="17"/>
  <c r="AC282" i="17"/>
  <c r="AB282" i="17"/>
  <c r="AA282" i="17"/>
  <c r="Z282" i="17"/>
  <c r="Y282" i="17"/>
  <c r="X282" i="17"/>
  <c r="W282" i="17"/>
  <c r="V282" i="17"/>
  <c r="U282" i="17"/>
  <c r="T282" i="17"/>
  <c r="S282" i="17"/>
  <c r="R282" i="17"/>
  <c r="Q282" i="17"/>
  <c r="P282" i="17"/>
  <c r="O282" i="17"/>
  <c r="N282" i="17"/>
  <c r="M282" i="17"/>
  <c r="L282" i="17"/>
  <c r="K282" i="17"/>
  <c r="J282" i="17"/>
  <c r="I282" i="17"/>
  <c r="H282" i="17"/>
  <c r="G282" i="17"/>
  <c r="F282" i="17"/>
  <c r="E282" i="17"/>
  <c r="D282" i="17"/>
  <c r="C282" i="17"/>
  <c r="B282" i="17"/>
  <c r="A282" i="17"/>
  <c r="AF281" i="17"/>
  <c r="AE281" i="17"/>
  <c r="AD281" i="17"/>
  <c r="AC281" i="17"/>
  <c r="AB281" i="17"/>
  <c r="AA281" i="17"/>
  <c r="Z281" i="17"/>
  <c r="Y281" i="17"/>
  <c r="X281" i="17"/>
  <c r="W281" i="17"/>
  <c r="V281" i="17"/>
  <c r="U281" i="17"/>
  <c r="T281" i="17"/>
  <c r="S281" i="17"/>
  <c r="R281" i="17"/>
  <c r="Q281" i="17"/>
  <c r="P281" i="17"/>
  <c r="O281" i="17"/>
  <c r="N281" i="17"/>
  <c r="M281" i="17"/>
  <c r="L281" i="17"/>
  <c r="K281" i="17"/>
  <c r="J281" i="17"/>
  <c r="I281" i="17"/>
  <c r="H281" i="17"/>
  <c r="G281" i="17"/>
  <c r="F281" i="17"/>
  <c r="E281" i="17"/>
  <c r="D281" i="17"/>
  <c r="C281" i="17"/>
  <c r="B281" i="17"/>
  <c r="A281" i="17"/>
  <c r="B280" i="17"/>
  <c r="S255" i="17"/>
  <c r="AG245" i="17"/>
  <c r="C245" i="17"/>
  <c r="D244" i="17"/>
  <c r="D243" i="17"/>
  <c r="E243" i="17" s="1"/>
  <c r="F243" i="17" s="1"/>
  <c r="G243" i="17" s="1"/>
  <c r="H243" i="17" s="1"/>
  <c r="I243" i="17" s="1"/>
  <c r="J243" i="17" s="1"/>
  <c r="K243" i="17" s="1"/>
  <c r="L243" i="17" s="1"/>
  <c r="M243" i="17" s="1"/>
  <c r="N243" i="17" s="1"/>
  <c r="O243" i="17" s="1"/>
  <c r="P243" i="17" s="1"/>
  <c r="Q243" i="17" s="1"/>
  <c r="R243" i="17" s="1"/>
  <c r="S243" i="17" s="1"/>
  <c r="T243" i="17" s="1"/>
  <c r="U243" i="17" s="1"/>
  <c r="V243" i="17" s="1"/>
  <c r="W243" i="17" s="1"/>
  <c r="X243" i="17" s="1"/>
  <c r="Y243" i="17" s="1"/>
  <c r="Z243" i="17" s="1"/>
  <c r="AA243" i="17" s="1"/>
  <c r="AB243" i="17" s="1"/>
  <c r="AC243" i="17" s="1"/>
  <c r="AD243" i="17" s="1"/>
  <c r="AE243" i="17" s="1"/>
  <c r="AF243" i="17" s="1"/>
  <c r="B243" i="17" s="1"/>
  <c r="E242" i="17"/>
  <c r="F242" i="17" s="1"/>
  <c r="G242" i="17" s="1"/>
  <c r="H242" i="17" s="1"/>
  <c r="I242" i="17" s="1"/>
  <c r="J242" i="17" s="1"/>
  <c r="K242" i="17" s="1"/>
  <c r="L242" i="17" s="1"/>
  <c r="M242" i="17" s="1"/>
  <c r="N242" i="17" s="1"/>
  <c r="O242" i="17" s="1"/>
  <c r="P242" i="17" s="1"/>
  <c r="Q242" i="17" s="1"/>
  <c r="R242" i="17" s="1"/>
  <c r="S242" i="17" s="1"/>
  <c r="T242" i="17" s="1"/>
  <c r="U242" i="17" s="1"/>
  <c r="V242" i="17" s="1"/>
  <c r="W242" i="17" s="1"/>
  <c r="X242" i="17" s="1"/>
  <c r="Y242" i="17" s="1"/>
  <c r="Z242" i="17" s="1"/>
  <c r="AA242" i="17" s="1"/>
  <c r="AB242" i="17" s="1"/>
  <c r="AC242" i="17" s="1"/>
  <c r="AD242" i="17" s="1"/>
  <c r="AE242" i="17" s="1"/>
  <c r="AF242" i="17" s="1"/>
  <c r="B242" i="17" s="1"/>
  <c r="D242" i="17"/>
  <c r="F241" i="17"/>
  <c r="G241" i="17" s="1"/>
  <c r="H241" i="17" s="1"/>
  <c r="I241" i="17" s="1"/>
  <c r="J241" i="17" s="1"/>
  <c r="K241" i="17" s="1"/>
  <c r="L241" i="17" s="1"/>
  <c r="M241" i="17" s="1"/>
  <c r="N241" i="17" s="1"/>
  <c r="O241" i="17" s="1"/>
  <c r="P241" i="17" s="1"/>
  <c r="Q241" i="17" s="1"/>
  <c r="R241" i="17" s="1"/>
  <c r="S241" i="17" s="1"/>
  <c r="T241" i="17" s="1"/>
  <c r="U241" i="17" s="1"/>
  <c r="V241" i="17" s="1"/>
  <c r="W241" i="17" s="1"/>
  <c r="X241" i="17" s="1"/>
  <c r="Y241" i="17" s="1"/>
  <c r="Z241" i="17" s="1"/>
  <c r="AA241" i="17" s="1"/>
  <c r="AB241" i="17" s="1"/>
  <c r="AC241" i="17" s="1"/>
  <c r="AD241" i="17" s="1"/>
  <c r="AE241" i="17" s="1"/>
  <c r="AF241" i="17" s="1"/>
  <c r="B241" i="17" s="1"/>
  <c r="E241" i="17"/>
  <c r="D241" i="17"/>
  <c r="L240" i="17"/>
  <c r="M240" i="17" s="1"/>
  <c r="N240" i="17" s="1"/>
  <c r="O240" i="17" s="1"/>
  <c r="P240" i="17" s="1"/>
  <c r="Q240" i="17" s="1"/>
  <c r="R240" i="17" s="1"/>
  <c r="S240" i="17" s="1"/>
  <c r="T240" i="17" s="1"/>
  <c r="U240" i="17" s="1"/>
  <c r="V240" i="17" s="1"/>
  <c r="W240" i="17" s="1"/>
  <c r="X240" i="17" s="1"/>
  <c r="Y240" i="17" s="1"/>
  <c r="Z240" i="17" s="1"/>
  <c r="AA240" i="17" s="1"/>
  <c r="AB240" i="17" s="1"/>
  <c r="AC240" i="17" s="1"/>
  <c r="AD240" i="17" s="1"/>
  <c r="AE240" i="17" s="1"/>
  <c r="AF240" i="17" s="1"/>
  <c r="B240" i="17" s="1"/>
  <c r="D240" i="17"/>
  <c r="E240" i="17" s="1"/>
  <c r="F240" i="17" s="1"/>
  <c r="G240" i="17" s="1"/>
  <c r="H240" i="17" s="1"/>
  <c r="I240" i="17" s="1"/>
  <c r="J240" i="17" s="1"/>
  <c r="K240" i="17" s="1"/>
  <c r="D239" i="17"/>
  <c r="D118" i="17" s="1"/>
  <c r="AG237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I130" i="17"/>
  <c r="AH130" i="17"/>
  <c r="AI129" i="17"/>
  <c r="AH129" i="17"/>
  <c r="AI128" i="17"/>
  <c r="AH128" i="17"/>
  <c r="AI127" i="17"/>
  <c r="AH127" i="17"/>
  <c r="AI126" i="17"/>
  <c r="AH126" i="17"/>
  <c r="AI123" i="17"/>
  <c r="AH123" i="17"/>
  <c r="AI122" i="17"/>
  <c r="AH122" i="17"/>
  <c r="AI121" i="17"/>
  <c r="AH121" i="17"/>
  <c r="AI120" i="17"/>
  <c r="AH120" i="17"/>
  <c r="AI119" i="17"/>
  <c r="AH119" i="17"/>
  <c r="C118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I110" i="17"/>
  <c r="AH110" i="17"/>
  <c r="AI109" i="17"/>
  <c r="AH109" i="17"/>
  <c r="AI106" i="17"/>
  <c r="AH106" i="17"/>
  <c r="AF105" i="17"/>
  <c r="AE105" i="17"/>
  <c r="AD105" i="17"/>
  <c r="AC105" i="17"/>
  <c r="AB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AF104" i="17"/>
  <c r="AE104" i="17"/>
  <c r="AD104" i="17"/>
  <c r="AC104" i="17"/>
  <c r="AB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AF103" i="17"/>
  <c r="AE103" i="17"/>
  <c r="AD103" i="17"/>
  <c r="AC103" i="17"/>
  <c r="AB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B103" i="17"/>
  <c r="AI103" i="17" s="1"/>
  <c r="AF102" i="17"/>
  <c r="AE102" i="17"/>
  <c r="AD102" i="17"/>
  <c r="AC102" i="17"/>
  <c r="AB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B102" i="17"/>
  <c r="AF101" i="17"/>
  <c r="AE101" i="17"/>
  <c r="AD101" i="17"/>
  <c r="AC101" i="17"/>
  <c r="AB101" i="17"/>
  <c r="R101" i="17"/>
  <c r="Q101" i="17"/>
  <c r="P101" i="17"/>
  <c r="O101" i="17"/>
  <c r="N101" i="17"/>
  <c r="N107" i="17" s="1"/>
  <c r="M101" i="17"/>
  <c r="L101" i="17"/>
  <c r="K101" i="17"/>
  <c r="J101" i="17"/>
  <c r="I101" i="17"/>
  <c r="H101" i="17"/>
  <c r="G101" i="17"/>
  <c r="F101" i="17"/>
  <c r="E101" i="17"/>
  <c r="D101" i="17"/>
  <c r="D107" i="17" s="1"/>
  <c r="C101" i="17"/>
  <c r="B101" i="17"/>
  <c r="AI98" i="17"/>
  <c r="AH98" i="17"/>
  <c r="AI96" i="17"/>
  <c r="AH96" i="17"/>
  <c r="AG96" i="17"/>
  <c r="AI95" i="17"/>
  <c r="AH95" i="17"/>
  <c r="AI94" i="17"/>
  <c r="AH94" i="17"/>
  <c r="AI93" i="17"/>
  <c r="AH93" i="17"/>
  <c r="AG92" i="17"/>
  <c r="AF92" i="17"/>
  <c r="AE5" i="17" s="1"/>
  <c r="AE92" i="17"/>
  <c r="AD5" i="17" s="1"/>
  <c r="AD92" i="17"/>
  <c r="AC5" i="17" s="1"/>
  <c r="AC92" i="17"/>
  <c r="AB92" i="17"/>
  <c r="X5" i="17"/>
  <c r="R92" i="17"/>
  <c r="Q92" i="17"/>
  <c r="P5" i="17" s="1"/>
  <c r="P92" i="17"/>
  <c r="O5" i="17" s="1"/>
  <c r="O92" i="17"/>
  <c r="N5" i="17" s="1"/>
  <c r="N92" i="17"/>
  <c r="N108" i="17" s="1"/>
  <c r="M92" i="17"/>
  <c r="L92" i="17"/>
  <c r="K92" i="17"/>
  <c r="J92" i="17"/>
  <c r="I5" i="17" s="1"/>
  <c r="I92" i="17"/>
  <c r="H5" i="17" s="1"/>
  <c r="H92" i="17"/>
  <c r="G5" i="17" s="1"/>
  <c r="G92" i="17"/>
  <c r="F5" i="17" s="1"/>
  <c r="F92" i="17"/>
  <c r="E5" i="17" s="1"/>
  <c r="E92" i="17"/>
  <c r="D92" i="17"/>
  <c r="C92" i="17"/>
  <c r="B92" i="17"/>
  <c r="AF5" i="17" s="1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3" i="17"/>
  <c r="AH83" i="17"/>
  <c r="AI82" i="17"/>
  <c r="AH82" i="17"/>
  <c r="AI81" i="17"/>
  <c r="AH81" i="17"/>
  <c r="AG80" i="17"/>
  <c r="AG4" i="17" s="1"/>
  <c r="AF80" i="17"/>
  <c r="AE80" i="17"/>
  <c r="AD80" i="17"/>
  <c r="AC80" i="17"/>
  <c r="AB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I79" i="17"/>
  <c r="AH79" i="17"/>
  <c r="AI78" i="17"/>
  <c r="AH78" i="17"/>
  <c r="AI77" i="17"/>
  <c r="AH77" i="17"/>
  <c r="AG76" i="17"/>
  <c r="AG3" i="17" s="1"/>
  <c r="AF76" i="17"/>
  <c r="AE76" i="17"/>
  <c r="AD76" i="17"/>
  <c r="AC76" i="17"/>
  <c r="AB76" i="17"/>
  <c r="R76" i="17"/>
  <c r="Q76" i="17"/>
  <c r="P76" i="17"/>
  <c r="O76" i="17"/>
  <c r="N76" i="17"/>
  <c r="L76" i="17"/>
  <c r="K76" i="17"/>
  <c r="J76" i="17"/>
  <c r="I76" i="17"/>
  <c r="H76" i="17"/>
  <c r="G76" i="17"/>
  <c r="F76" i="17"/>
  <c r="E76" i="17"/>
  <c r="D76" i="17"/>
  <c r="C76" i="17"/>
  <c r="B76" i="17"/>
  <c r="AI75" i="17"/>
  <c r="AH75" i="17"/>
  <c r="AG75" i="17"/>
  <c r="AI74" i="17"/>
  <c r="AH74" i="17"/>
  <c r="AI73" i="17"/>
  <c r="AH73" i="17"/>
  <c r="AI72" i="17"/>
  <c r="AH72" i="17"/>
  <c r="AI71" i="17"/>
  <c r="AH71" i="17"/>
  <c r="AI70" i="17"/>
  <c r="AH70" i="17"/>
  <c r="AI69" i="17"/>
  <c r="AH69" i="17"/>
  <c r="AI68" i="17"/>
  <c r="AH68" i="17"/>
  <c r="AI67" i="17"/>
  <c r="AH67" i="17"/>
  <c r="AI66" i="17"/>
  <c r="AH66" i="17"/>
  <c r="AI65" i="17"/>
  <c r="AH65" i="17"/>
  <c r="AI64" i="17"/>
  <c r="AH64" i="17"/>
  <c r="AI63" i="17"/>
  <c r="AH63" i="17"/>
  <c r="AG62" i="17"/>
  <c r="AF62" i="17"/>
  <c r="AE62" i="17"/>
  <c r="AD62" i="17"/>
  <c r="AC62" i="17"/>
  <c r="AB62" i="17"/>
  <c r="R62" i="17"/>
  <c r="Q62" i="17"/>
  <c r="P62" i="17"/>
  <c r="O62" i="17"/>
  <c r="N62" i="17"/>
  <c r="L62" i="17"/>
  <c r="K62" i="17"/>
  <c r="J62" i="17"/>
  <c r="I62" i="17"/>
  <c r="H62" i="17"/>
  <c r="G62" i="17"/>
  <c r="F62" i="17"/>
  <c r="E62" i="17"/>
  <c r="D62" i="17"/>
  <c r="C62" i="17"/>
  <c r="B62" i="17"/>
  <c r="AI61" i="17"/>
  <c r="AH61" i="17"/>
  <c r="AI60" i="17"/>
  <c r="AH60" i="17"/>
  <c r="AI59" i="17"/>
  <c r="AH59" i="17"/>
  <c r="AG58" i="17"/>
  <c r="AG97" i="17" s="1"/>
  <c r="AF58" i="17"/>
  <c r="AE58" i="17"/>
  <c r="AD58" i="17"/>
  <c r="AC58" i="17"/>
  <c r="AB58" i="17"/>
  <c r="AR259" i="17"/>
  <c r="R58" i="17"/>
  <c r="Q58" i="17"/>
  <c r="P58" i="17"/>
  <c r="O58" i="17"/>
  <c r="N58" i="17"/>
  <c r="L58" i="17"/>
  <c r="K58" i="17"/>
  <c r="J58" i="17"/>
  <c r="I58" i="17"/>
  <c r="H58" i="17"/>
  <c r="G58" i="17"/>
  <c r="F58" i="17"/>
  <c r="E58" i="17"/>
  <c r="D58" i="17"/>
  <c r="C58" i="17"/>
  <c r="B58" i="17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Y5" i="17"/>
  <c r="W5" i="17"/>
  <c r="V5" i="17"/>
  <c r="U5" i="17"/>
  <c r="T5" i="17"/>
  <c r="S5" i="17"/>
  <c r="K4" i="17"/>
  <c r="E4" i="17"/>
  <c r="H4" i="17" s="1"/>
  <c r="B4" i="17"/>
  <c r="S256" i="17" s="1"/>
  <c r="AG2" i="17"/>
  <c r="J239" i="19" l="1"/>
  <c r="H240" i="19"/>
  <c r="G245" i="19"/>
  <c r="B7" i="19"/>
  <c r="A7" i="19" s="1"/>
  <c r="AI100" i="19"/>
  <c r="AH100" i="19"/>
  <c r="F280" i="19"/>
  <c r="H244" i="19"/>
  <c r="G118" i="19"/>
  <c r="AF107" i="17"/>
  <c r="AE97" i="17"/>
  <c r="AE99" i="17" s="1"/>
  <c r="AW259" i="17" s="1"/>
  <c r="AB5" i="17"/>
  <c r="AC107" i="17"/>
  <c r="AC108" i="17" s="1"/>
  <c r="AF97" i="17"/>
  <c r="AF99" i="17" s="1"/>
  <c r="AF100" i="17" s="1"/>
  <c r="AF7" i="17" s="1"/>
  <c r="AC97" i="17"/>
  <c r="AC99" i="17" s="1"/>
  <c r="AU259" i="17" s="1"/>
  <c r="AD97" i="17"/>
  <c r="AD99" i="17" s="1"/>
  <c r="AV259" i="17" s="1"/>
  <c r="AB107" i="17"/>
  <c r="AB108" i="17"/>
  <c r="AA5" i="17"/>
  <c r="AB97" i="17"/>
  <c r="AB99" i="17" s="1"/>
  <c r="AT259" i="17" s="1"/>
  <c r="R107" i="17"/>
  <c r="R108" i="17" s="1"/>
  <c r="Q5" i="17"/>
  <c r="R97" i="17"/>
  <c r="R99" i="17" s="1"/>
  <c r="Q107" i="17"/>
  <c r="Q97" i="17"/>
  <c r="Q99" i="17" s="1"/>
  <c r="P107" i="17"/>
  <c r="O97" i="17"/>
  <c r="O99" i="17" s="1"/>
  <c r="M5" i="17"/>
  <c r="N97" i="17"/>
  <c r="N99" i="17" s="1"/>
  <c r="M107" i="17"/>
  <c r="M108" i="17" s="1"/>
  <c r="L5" i="17"/>
  <c r="M97" i="17"/>
  <c r="M99" i="17" s="1"/>
  <c r="AE259" i="17" s="1"/>
  <c r="L107" i="17"/>
  <c r="J107" i="17"/>
  <c r="J97" i="17"/>
  <c r="J99" i="17" s="1"/>
  <c r="I97" i="17"/>
  <c r="I99" i="17" s="1"/>
  <c r="AA259" i="17" s="1"/>
  <c r="H97" i="17"/>
  <c r="H99" i="17" s="1"/>
  <c r="AI104" i="17"/>
  <c r="G97" i="17"/>
  <c r="G99" i="17" s="1"/>
  <c r="Y259" i="17" s="1"/>
  <c r="F97" i="17"/>
  <c r="F99" i="17" s="1"/>
  <c r="X259" i="17" s="1"/>
  <c r="D108" i="17"/>
  <c r="L108" i="17"/>
  <c r="I107" i="17"/>
  <c r="I108" i="17" s="1"/>
  <c r="K97" i="17"/>
  <c r="K99" i="17" s="1"/>
  <c r="F107" i="17"/>
  <c r="F100" i="17" s="1"/>
  <c r="F7" i="17" s="1"/>
  <c r="K5" i="17"/>
  <c r="D97" i="17"/>
  <c r="D99" i="17" s="1"/>
  <c r="V259" i="17" s="1"/>
  <c r="E107" i="17"/>
  <c r="E108" i="17" s="1"/>
  <c r="C5" i="17"/>
  <c r="E97" i="17"/>
  <c r="E99" i="17" s="1"/>
  <c r="W259" i="17" s="1"/>
  <c r="D5" i="17"/>
  <c r="J108" i="17"/>
  <c r="H107" i="17"/>
  <c r="H100" i="17" s="1"/>
  <c r="H7" i="17" s="1"/>
  <c r="AH76" i="17"/>
  <c r="C97" i="17"/>
  <c r="C99" i="17" s="1"/>
  <c r="U259" i="17" s="1"/>
  <c r="P97" i="17"/>
  <c r="P99" i="17" s="1"/>
  <c r="P100" i="17" s="1"/>
  <c r="P7" i="17" s="1"/>
  <c r="B107" i="17"/>
  <c r="L97" i="17"/>
  <c r="L99" i="17" s="1"/>
  <c r="AD259" i="17" s="1"/>
  <c r="AI80" i="17"/>
  <c r="AI76" i="17"/>
  <c r="AL259" i="17"/>
  <c r="T7" i="17"/>
  <c r="AN259" i="17"/>
  <c r="V7" i="17"/>
  <c r="AP259" i="17"/>
  <c r="X7" i="17"/>
  <c r="AB259" i="17"/>
  <c r="J100" i="17"/>
  <c r="J7" i="17" s="1"/>
  <c r="AJ259" i="17"/>
  <c r="R100" i="17"/>
  <c r="R7" i="17" s="1"/>
  <c r="Z259" i="17"/>
  <c r="AF259" i="17"/>
  <c r="N100" i="17"/>
  <c r="N7" i="17" s="1"/>
  <c r="AK259" i="17"/>
  <c r="AD107" i="17"/>
  <c r="AS259" i="17"/>
  <c r="Z7" i="17"/>
  <c r="G107" i="17"/>
  <c r="G108" i="17" s="1"/>
  <c r="O107" i="17"/>
  <c r="O108" i="17" s="1"/>
  <c r="AE107" i="17"/>
  <c r="AE108" i="17" s="1"/>
  <c r="AI105" i="17"/>
  <c r="AH101" i="17"/>
  <c r="AG6" i="17"/>
  <c r="AG259" i="17"/>
  <c r="O100" i="17"/>
  <c r="O7" i="17" s="1"/>
  <c r="AO259" i="17"/>
  <c r="W7" i="17"/>
  <c r="H108" i="17"/>
  <c r="P108" i="17"/>
  <c r="AF108" i="17"/>
  <c r="AI101" i="17"/>
  <c r="AI102" i="17"/>
  <c r="AH104" i="17"/>
  <c r="C280" i="17"/>
  <c r="E244" i="17"/>
  <c r="AM259" i="17"/>
  <c r="U7" i="17"/>
  <c r="AH62" i="17"/>
  <c r="AG99" i="17"/>
  <c r="C107" i="17"/>
  <c r="C108" i="17" s="1"/>
  <c r="K107" i="17"/>
  <c r="S7" i="17"/>
  <c r="AQ259" i="17"/>
  <c r="Y7" i="17"/>
  <c r="AI62" i="17"/>
  <c r="B108" i="17"/>
  <c r="AI92" i="17"/>
  <c r="Q108" i="17"/>
  <c r="D245" i="17"/>
  <c r="E239" i="17"/>
  <c r="AI259" i="17"/>
  <c r="Q100" i="17"/>
  <c r="Q7" i="17" s="1"/>
  <c r="AI58" i="17"/>
  <c r="AH80" i="17"/>
  <c r="B5" i="17"/>
  <c r="J5" i="17"/>
  <c r="R5" i="17"/>
  <c r="Z5" i="17"/>
  <c r="D256" i="17"/>
  <c r="AH92" i="17"/>
  <c r="AH102" i="17"/>
  <c r="AH58" i="17"/>
  <c r="B97" i="17"/>
  <c r="AH103" i="17"/>
  <c r="AH105" i="17"/>
  <c r="AF123" i="15"/>
  <c r="AF57" i="15"/>
  <c r="AE123" i="15"/>
  <c r="AE57" i="15"/>
  <c r="AD123" i="15"/>
  <c r="AD57" i="15"/>
  <c r="AC57" i="15"/>
  <c r="AC123" i="15"/>
  <c r="AB123" i="15"/>
  <c r="AB121" i="15"/>
  <c r="AB83" i="15"/>
  <c r="AB57" i="15"/>
  <c r="AA58" i="15"/>
  <c r="AA123" i="15"/>
  <c r="Z123" i="15"/>
  <c r="Y123" i="15"/>
  <c r="Y58" i="15"/>
  <c r="X123" i="15"/>
  <c r="W123" i="15"/>
  <c r="U123" i="15"/>
  <c r="T123" i="15"/>
  <c r="S123" i="15"/>
  <c r="S57" i="15"/>
  <c r="R123" i="15"/>
  <c r="R57" i="15"/>
  <c r="AC100" i="17" l="1"/>
  <c r="AC7" i="17" s="1"/>
  <c r="K239" i="19"/>
  <c r="I240" i="19"/>
  <c r="H245" i="19"/>
  <c r="G280" i="19"/>
  <c r="I244" i="19"/>
  <c r="H118" i="19"/>
  <c r="AX259" i="17"/>
  <c r="AD100" i="17"/>
  <c r="AD7" i="17" s="1"/>
  <c r="AB100" i="17"/>
  <c r="AB7" i="17" s="1"/>
  <c r="AH259" i="17"/>
  <c r="M100" i="17"/>
  <c r="M7" i="17" s="1"/>
  <c r="B254" i="17"/>
  <c r="I100" i="17"/>
  <c r="I7" i="17" s="1"/>
  <c r="C254" i="17"/>
  <c r="AC259" i="17"/>
  <c r="K100" i="17"/>
  <c r="K7" i="17" s="1"/>
  <c r="G100" i="17"/>
  <c r="G7" i="17" s="1"/>
  <c r="E100" i="17"/>
  <c r="E7" i="17" s="1"/>
  <c r="D100" i="17"/>
  <c r="D7" i="17" s="1"/>
  <c r="F108" i="17"/>
  <c r="K108" i="17"/>
  <c r="AI107" i="17"/>
  <c r="L100" i="17"/>
  <c r="L7" i="17" s="1"/>
  <c r="AI97" i="17"/>
  <c r="AH97" i="17"/>
  <c r="B99" i="17"/>
  <c r="AH107" i="17"/>
  <c r="AA7" i="17"/>
  <c r="AD108" i="17"/>
  <c r="AI108" i="17" s="1"/>
  <c r="F244" i="17"/>
  <c r="D280" i="17"/>
  <c r="C100" i="17"/>
  <c r="C7" i="17" s="1"/>
  <c r="F239" i="17"/>
  <c r="E118" i="17"/>
  <c r="E245" i="17"/>
  <c r="AE100" i="17"/>
  <c r="AE7" i="17" s="1"/>
  <c r="Q57" i="15"/>
  <c r="Q123" i="15"/>
  <c r="P123" i="15"/>
  <c r="P57" i="15"/>
  <c r="N57" i="15"/>
  <c r="O57" i="15"/>
  <c r="H280" i="19" l="1"/>
  <c r="J244" i="19"/>
  <c r="I118" i="19"/>
  <c r="J240" i="19"/>
  <c r="I245" i="19"/>
  <c r="L239" i="19"/>
  <c r="K6" i="17"/>
  <c r="AH108" i="17"/>
  <c r="E280" i="17"/>
  <c r="G244" i="17"/>
  <c r="G239" i="17"/>
  <c r="F245" i="17"/>
  <c r="F118" i="17"/>
  <c r="T259" i="17"/>
  <c r="AI99" i="17"/>
  <c r="AH99" i="17"/>
  <c r="B100" i="17"/>
  <c r="M239" i="19" l="1"/>
  <c r="K240" i="19"/>
  <c r="J245" i="19"/>
  <c r="K244" i="19"/>
  <c r="I280" i="19"/>
  <c r="J118" i="19"/>
  <c r="G245" i="17"/>
  <c r="H239" i="17"/>
  <c r="G118" i="17"/>
  <c r="F280" i="17"/>
  <c r="H244" i="17"/>
  <c r="B7" i="17"/>
  <c r="A7" i="17" s="1"/>
  <c r="AH100" i="17"/>
  <c r="AI100" i="17"/>
  <c r="L240" i="19" l="1"/>
  <c r="K245" i="19"/>
  <c r="N239" i="19"/>
  <c r="J280" i="19"/>
  <c r="L244" i="19"/>
  <c r="K118" i="19"/>
  <c r="G280" i="17"/>
  <c r="I244" i="17"/>
  <c r="I239" i="17"/>
  <c r="H118" i="17"/>
  <c r="H245" i="17"/>
  <c r="O239" i="19" l="1"/>
  <c r="K280" i="19"/>
  <c r="M244" i="19"/>
  <c r="L118" i="19"/>
  <c r="M240" i="19"/>
  <c r="L245" i="19"/>
  <c r="I118" i="17"/>
  <c r="I245" i="17"/>
  <c r="J239" i="17"/>
  <c r="H280" i="17"/>
  <c r="J244" i="17"/>
  <c r="N240" i="19" l="1"/>
  <c r="M245" i="19"/>
  <c r="L280" i="19"/>
  <c r="N244" i="19"/>
  <c r="M118" i="19"/>
  <c r="P239" i="19"/>
  <c r="K244" i="17"/>
  <c r="I280" i="17"/>
  <c r="J118" i="17"/>
  <c r="J245" i="17"/>
  <c r="K239" i="17"/>
  <c r="Q239" i="19" l="1"/>
  <c r="M280" i="19"/>
  <c r="O244" i="19"/>
  <c r="N118" i="19"/>
  <c r="O240" i="19"/>
  <c r="N245" i="19"/>
  <c r="K118" i="17"/>
  <c r="K245" i="17"/>
  <c r="L239" i="17"/>
  <c r="J280" i="17"/>
  <c r="L244" i="17"/>
  <c r="P240" i="19" l="1"/>
  <c r="O245" i="19"/>
  <c r="N280" i="19"/>
  <c r="P244" i="19"/>
  <c r="O118" i="19"/>
  <c r="R239" i="19"/>
  <c r="K280" i="17"/>
  <c r="M244" i="17"/>
  <c r="L245" i="17"/>
  <c r="M239" i="17"/>
  <c r="L118" i="17"/>
  <c r="S239" i="19" l="1"/>
  <c r="O280" i="19"/>
  <c r="Q244" i="19"/>
  <c r="Q240" i="19"/>
  <c r="P245" i="19"/>
  <c r="N239" i="17"/>
  <c r="M118" i="17"/>
  <c r="M245" i="17"/>
  <c r="N244" i="17"/>
  <c r="L280" i="17"/>
  <c r="P280" i="19" l="1"/>
  <c r="R244" i="19"/>
  <c r="Q118" i="19"/>
  <c r="T239" i="19"/>
  <c r="R240" i="19"/>
  <c r="Q245" i="19"/>
  <c r="M280" i="17"/>
  <c r="O244" i="17"/>
  <c r="O239" i="17"/>
  <c r="N245" i="17"/>
  <c r="N118" i="17"/>
  <c r="S240" i="19" l="1"/>
  <c r="R245" i="19"/>
  <c r="U239" i="19"/>
  <c r="S244" i="19"/>
  <c r="Q280" i="19"/>
  <c r="R118" i="19"/>
  <c r="P239" i="17"/>
  <c r="O245" i="17"/>
  <c r="O118" i="17"/>
  <c r="N280" i="17"/>
  <c r="P244" i="17"/>
  <c r="V239" i="19" l="1"/>
  <c r="R280" i="19"/>
  <c r="T244" i="19"/>
  <c r="T240" i="19"/>
  <c r="S245" i="19"/>
  <c r="O280" i="17"/>
  <c r="Q244" i="17"/>
  <c r="Q239" i="17"/>
  <c r="P245" i="17"/>
  <c r="U240" i="19" l="1"/>
  <c r="T245" i="19"/>
  <c r="S280" i="19"/>
  <c r="U244" i="19"/>
  <c r="W239" i="19"/>
  <c r="Q245" i="17"/>
  <c r="Q118" i="17"/>
  <c r="R239" i="17"/>
  <c r="P280" i="17"/>
  <c r="R244" i="17"/>
  <c r="X239" i="19" l="1"/>
  <c r="T280" i="19"/>
  <c r="V244" i="19"/>
  <c r="V240" i="19"/>
  <c r="U245" i="19"/>
  <c r="R245" i="17"/>
  <c r="R118" i="17"/>
  <c r="S239" i="17"/>
  <c r="S244" i="17"/>
  <c r="Q280" i="17"/>
  <c r="T107" i="15"/>
  <c r="Z107" i="15"/>
  <c r="B107" i="15"/>
  <c r="AF105" i="15"/>
  <c r="AE105" i="15"/>
  <c r="AD105" i="15"/>
  <c r="AC105" i="15"/>
  <c r="AB105" i="15"/>
  <c r="AA105" i="15"/>
  <c r="Z105" i="15"/>
  <c r="Y105" i="15"/>
  <c r="Y107" i="15" s="1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I107" i="15" s="1"/>
  <c r="I108" i="15" s="1"/>
  <c r="H105" i="15"/>
  <c r="G105" i="15"/>
  <c r="F105" i="15"/>
  <c r="E105" i="15"/>
  <c r="D105" i="15"/>
  <c r="C105" i="15"/>
  <c r="B105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G107" i="15" s="1"/>
  <c r="F103" i="15"/>
  <c r="E103" i="15"/>
  <c r="D103" i="15"/>
  <c r="C103" i="15"/>
  <c r="B103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L107" i="15" s="1"/>
  <c r="K102" i="15"/>
  <c r="J102" i="15"/>
  <c r="I102" i="15"/>
  <c r="H102" i="15"/>
  <c r="G102" i="15"/>
  <c r="F102" i="15"/>
  <c r="E102" i="15"/>
  <c r="D102" i="15"/>
  <c r="D107" i="15" s="1"/>
  <c r="C102" i="15"/>
  <c r="B102" i="15"/>
  <c r="AF101" i="15"/>
  <c r="AE101" i="15"/>
  <c r="AD101" i="15"/>
  <c r="AC101" i="15"/>
  <c r="AB101" i="15"/>
  <c r="AA101" i="15"/>
  <c r="Z101" i="15"/>
  <c r="Y101" i="15"/>
  <c r="X101" i="15"/>
  <c r="W101" i="15"/>
  <c r="W107" i="15" s="1"/>
  <c r="V101" i="15"/>
  <c r="U101" i="15"/>
  <c r="T101" i="15"/>
  <c r="S101" i="15"/>
  <c r="R101" i="15"/>
  <c r="R107" i="15" s="1"/>
  <c r="Q101" i="15"/>
  <c r="P101" i="15"/>
  <c r="O101" i="15"/>
  <c r="N101" i="15"/>
  <c r="M101" i="15"/>
  <c r="M107" i="15" s="1"/>
  <c r="L101" i="15"/>
  <c r="K101" i="15"/>
  <c r="K107" i="15" s="1"/>
  <c r="J101" i="15"/>
  <c r="J107" i="15" s="1"/>
  <c r="I101" i="15"/>
  <c r="H101" i="15"/>
  <c r="H107" i="15" s="1"/>
  <c r="G101" i="15"/>
  <c r="F101" i="15"/>
  <c r="F107" i="15" s="1"/>
  <c r="E101" i="15"/>
  <c r="E107" i="15" s="1"/>
  <c r="D101" i="15"/>
  <c r="C101" i="15"/>
  <c r="C107" i="15" s="1"/>
  <c r="B101" i="15"/>
  <c r="C101" i="16"/>
  <c r="D101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C102" i="16"/>
  <c r="D102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C103" i="16"/>
  <c r="D103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C104" i="16"/>
  <c r="D104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C105" i="16"/>
  <c r="D105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AF105" i="16"/>
  <c r="B105" i="16"/>
  <c r="B104" i="16"/>
  <c r="B103" i="16"/>
  <c r="B102" i="16"/>
  <c r="B101" i="16"/>
  <c r="AF286" i="16"/>
  <c r="AE286" i="16"/>
  <c r="AD286" i="16"/>
  <c r="AC286" i="16"/>
  <c r="AB286" i="16"/>
  <c r="AA286" i="16"/>
  <c r="Z286" i="16"/>
  <c r="Y286" i="16"/>
  <c r="X286" i="16"/>
  <c r="W286" i="16"/>
  <c r="V286" i="16"/>
  <c r="U286" i="16"/>
  <c r="T286" i="16"/>
  <c r="S286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D286" i="16"/>
  <c r="C286" i="16"/>
  <c r="B286" i="16"/>
  <c r="A286" i="16"/>
  <c r="AF285" i="16"/>
  <c r="AE285" i="16"/>
  <c r="AD285" i="16"/>
  <c r="AC285" i="16"/>
  <c r="AB285" i="16"/>
  <c r="AA285" i="16"/>
  <c r="Z285" i="16"/>
  <c r="Y285" i="16"/>
  <c r="X285" i="16"/>
  <c r="W285" i="16"/>
  <c r="V285" i="16"/>
  <c r="U285" i="16"/>
  <c r="T285" i="16"/>
  <c r="S285" i="16"/>
  <c r="R285" i="16"/>
  <c r="Q285" i="16"/>
  <c r="P285" i="16"/>
  <c r="O285" i="16"/>
  <c r="N285" i="16"/>
  <c r="M285" i="16"/>
  <c r="L285" i="16"/>
  <c r="K285" i="16"/>
  <c r="J285" i="16"/>
  <c r="I285" i="16"/>
  <c r="H285" i="16"/>
  <c r="G285" i="16"/>
  <c r="F285" i="16"/>
  <c r="E285" i="16"/>
  <c r="D285" i="16"/>
  <c r="C285" i="16"/>
  <c r="B285" i="16"/>
  <c r="A285" i="16"/>
  <c r="AF284" i="16"/>
  <c r="AE284" i="16"/>
  <c r="AD284" i="16"/>
  <c r="AC284" i="16"/>
  <c r="AB284" i="16"/>
  <c r="AA284" i="16"/>
  <c r="Z284" i="16"/>
  <c r="Y284" i="16"/>
  <c r="X284" i="16"/>
  <c r="W284" i="16"/>
  <c r="V284" i="16"/>
  <c r="U284" i="16"/>
  <c r="T284" i="16"/>
  <c r="S284" i="16"/>
  <c r="R284" i="16"/>
  <c r="Q284" i="16"/>
  <c r="P284" i="16"/>
  <c r="O284" i="16"/>
  <c r="N284" i="16"/>
  <c r="M284" i="16"/>
  <c r="L284" i="16"/>
  <c r="K284" i="16"/>
  <c r="J284" i="16"/>
  <c r="I284" i="16"/>
  <c r="H284" i="16"/>
  <c r="G284" i="16"/>
  <c r="F284" i="16"/>
  <c r="E284" i="16"/>
  <c r="D284" i="16"/>
  <c r="C284" i="16"/>
  <c r="B284" i="16"/>
  <c r="A284" i="16"/>
  <c r="AF283" i="16"/>
  <c r="AE283" i="16"/>
  <c r="AD283" i="16"/>
  <c r="AC283" i="16"/>
  <c r="AB283" i="16"/>
  <c r="AA283" i="16"/>
  <c r="Z283" i="16"/>
  <c r="Y283" i="16"/>
  <c r="X283" i="16"/>
  <c r="W283" i="16"/>
  <c r="V283" i="16"/>
  <c r="U283" i="16"/>
  <c r="T283" i="16"/>
  <c r="S283" i="16"/>
  <c r="R283" i="16"/>
  <c r="Q283" i="16"/>
  <c r="P283" i="16"/>
  <c r="O283" i="16"/>
  <c r="N283" i="16"/>
  <c r="M283" i="16"/>
  <c r="L283" i="16"/>
  <c r="K283" i="16"/>
  <c r="J283" i="16"/>
  <c r="I283" i="16"/>
  <c r="H283" i="16"/>
  <c r="G283" i="16"/>
  <c r="F283" i="16"/>
  <c r="E283" i="16"/>
  <c r="D283" i="16"/>
  <c r="C283" i="16"/>
  <c r="B283" i="16"/>
  <c r="A283" i="16"/>
  <c r="B282" i="16"/>
  <c r="S257" i="16"/>
  <c r="AG252" i="16"/>
  <c r="AG75" i="16" s="1"/>
  <c r="AG76" i="16" s="1"/>
  <c r="AG3" i="16" s="1"/>
  <c r="C252" i="16"/>
  <c r="D251" i="16"/>
  <c r="C282" i="16" s="1"/>
  <c r="D250" i="16"/>
  <c r="E250" i="16" s="1"/>
  <c r="F250" i="16" s="1"/>
  <c r="G250" i="16" s="1"/>
  <c r="H250" i="16" s="1"/>
  <c r="I250" i="16" s="1"/>
  <c r="J250" i="16" s="1"/>
  <c r="K250" i="16" s="1"/>
  <c r="L250" i="16" s="1"/>
  <c r="M250" i="16" s="1"/>
  <c r="N250" i="16" s="1"/>
  <c r="O250" i="16" s="1"/>
  <c r="P250" i="16" s="1"/>
  <c r="Q250" i="16" s="1"/>
  <c r="R250" i="16" s="1"/>
  <c r="S250" i="16" s="1"/>
  <c r="T250" i="16" s="1"/>
  <c r="U250" i="16" s="1"/>
  <c r="V250" i="16" s="1"/>
  <c r="W250" i="16" s="1"/>
  <c r="X250" i="16" s="1"/>
  <c r="Y250" i="16" s="1"/>
  <c r="Z250" i="16" s="1"/>
  <c r="AA250" i="16" s="1"/>
  <c r="AB250" i="16" s="1"/>
  <c r="AC250" i="16" s="1"/>
  <c r="AD250" i="16" s="1"/>
  <c r="AE250" i="16" s="1"/>
  <c r="AF250" i="16" s="1"/>
  <c r="B250" i="16" s="1"/>
  <c r="D249" i="16"/>
  <c r="D248" i="16"/>
  <c r="E248" i="16" s="1"/>
  <c r="F248" i="16" s="1"/>
  <c r="G248" i="16" s="1"/>
  <c r="H248" i="16" s="1"/>
  <c r="I248" i="16" s="1"/>
  <c r="J248" i="16" s="1"/>
  <c r="K248" i="16" s="1"/>
  <c r="L248" i="16" s="1"/>
  <c r="M248" i="16" s="1"/>
  <c r="N248" i="16" s="1"/>
  <c r="O248" i="16" s="1"/>
  <c r="P248" i="16" s="1"/>
  <c r="Q248" i="16" s="1"/>
  <c r="R248" i="16" s="1"/>
  <c r="S248" i="16" s="1"/>
  <c r="T248" i="16" s="1"/>
  <c r="U248" i="16" s="1"/>
  <c r="V248" i="16" s="1"/>
  <c r="W248" i="16" s="1"/>
  <c r="X248" i="16" s="1"/>
  <c r="Y248" i="16" s="1"/>
  <c r="Z248" i="16" s="1"/>
  <c r="AA248" i="16" s="1"/>
  <c r="AB248" i="16" s="1"/>
  <c r="AC248" i="16" s="1"/>
  <c r="AD248" i="16" s="1"/>
  <c r="AE248" i="16" s="1"/>
  <c r="AF248" i="16" s="1"/>
  <c r="B248" i="16" s="1"/>
  <c r="D247" i="16"/>
  <c r="E247" i="16" s="1"/>
  <c r="F247" i="16" s="1"/>
  <c r="G247" i="16" s="1"/>
  <c r="H247" i="16" s="1"/>
  <c r="I247" i="16" s="1"/>
  <c r="J247" i="16" s="1"/>
  <c r="K247" i="16" s="1"/>
  <c r="L247" i="16" s="1"/>
  <c r="M247" i="16" s="1"/>
  <c r="N247" i="16" s="1"/>
  <c r="O247" i="16" s="1"/>
  <c r="P247" i="16" s="1"/>
  <c r="Q247" i="16" s="1"/>
  <c r="R247" i="16" s="1"/>
  <c r="S247" i="16" s="1"/>
  <c r="T247" i="16" s="1"/>
  <c r="U247" i="16" s="1"/>
  <c r="V247" i="16" s="1"/>
  <c r="W247" i="16" s="1"/>
  <c r="X247" i="16" s="1"/>
  <c r="Y247" i="16" s="1"/>
  <c r="Z247" i="16" s="1"/>
  <c r="AA247" i="16" s="1"/>
  <c r="AB247" i="16" s="1"/>
  <c r="AC247" i="16" s="1"/>
  <c r="AD247" i="16" s="1"/>
  <c r="AE247" i="16" s="1"/>
  <c r="AF247" i="16" s="1"/>
  <c r="B247" i="16" s="1"/>
  <c r="D246" i="16"/>
  <c r="E246" i="16" s="1"/>
  <c r="AG244" i="16"/>
  <c r="AF244" i="16"/>
  <c r="AE244" i="16"/>
  <c r="AD244" i="16"/>
  <c r="AC244" i="16"/>
  <c r="AB244" i="16"/>
  <c r="AA244" i="16"/>
  <c r="Z244" i="16"/>
  <c r="Y244" i="16"/>
  <c r="X244" i="16"/>
  <c r="W244" i="16"/>
  <c r="V244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B244" i="16"/>
  <c r="AI130" i="16"/>
  <c r="AH130" i="16"/>
  <c r="AI129" i="16"/>
  <c r="AH129" i="16"/>
  <c r="AI128" i="16"/>
  <c r="AH128" i="16"/>
  <c r="AI127" i="16"/>
  <c r="AH127" i="16"/>
  <c r="AI126" i="16"/>
  <c r="AH126" i="16"/>
  <c r="AI123" i="16"/>
  <c r="AI122" i="16"/>
  <c r="AH122" i="16"/>
  <c r="AI121" i="16"/>
  <c r="AI120" i="16"/>
  <c r="AH120" i="16"/>
  <c r="AI119" i="16"/>
  <c r="AH119" i="16"/>
  <c r="C118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I110" i="16"/>
  <c r="AH110" i="16"/>
  <c r="AI109" i="16"/>
  <c r="AH109" i="16"/>
  <c r="AI106" i="16"/>
  <c r="AH106" i="16"/>
  <c r="AI98" i="16"/>
  <c r="AH98" i="16"/>
  <c r="AI96" i="16"/>
  <c r="AH96" i="16"/>
  <c r="AG96" i="16"/>
  <c r="AI95" i="16"/>
  <c r="AH95" i="16"/>
  <c r="AI94" i="16"/>
  <c r="AH94" i="16"/>
  <c r="AI93" i="16"/>
  <c r="AH93" i="16"/>
  <c r="AG92" i="16"/>
  <c r="AF92" i="16"/>
  <c r="AE92" i="16"/>
  <c r="AD92" i="16"/>
  <c r="AC92" i="16"/>
  <c r="AB92" i="16"/>
  <c r="AA92" i="16"/>
  <c r="Z5" i="16" s="1"/>
  <c r="Z92" i="16"/>
  <c r="Y92" i="16"/>
  <c r="X5" i="16" s="1"/>
  <c r="X92" i="16"/>
  <c r="W92" i="16"/>
  <c r="V92" i="16"/>
  <c r="U5" i="16" s="1"/>
  <c r="U92" i="16"/>
  <c r="T92" i="16"/>
  <c r="S92" i="16"/>
  <c r="R5" i="16" s="1"/>
  <c r="R92" i="16"/>
  <c r="Q92" i="16"/>
  <c r="P5" i="16" s="1"/>
  <c r="P92" i="16"/>
  <c r="O5" i="16" s="1"/>
  <c r="O92" i="16"/>
  <c r="N92" i="16"/>
  <c r="M92" i="16"/>
  <c r="L92" i="16"/>
  <c r="K5" i="16" s="1"/>
  <c r="K92" i="16"/>
  <c r="J5" i="16" s="1"/>
  <c r="J92" i="16"/>
  <c r="I92" i="16"/>
  <c r="H5" i="16" s="1"/>
  <c r="H92" i="16"/>
  <c r="G92" i="16"/>
  <c r="F92" i="16"/>
  <c r="E92" i="16"/>
  <c r="D92" i="16"/>
  <c r="C92" i="16"/>
  <c r="B92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3" i="16"/>
  <c r="AH83" i="16"/>
  <c r="AI82" i="16"/>
  <c r="AH82" i="16"/>
  <c r="AI81" i="16"/>
  <c r="AH81" i="16"/>
  <c r="AG80" i="16"/>
  <c r="AG4" i="16" s="1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AI79" i="16"/>
  <c r="AH79" i="16"/>
  <c r="AI78" i="16"/>
  <c r="AH78" i="16"/>
  <c r="AI77" i="16"/>
  <c r="AH77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E97" i="16" s="1"/>
  <c r="E99" i="16" s="1"/>
  <c r="D76" i="16"/>
  <c r="C76" i="16"/>
  <c r="B76" i="16"/>
  <c r="AI75" i="16"/>
  <c r="AH75" i="16"/>
  <c r="AI74" i="16"/>
  <c r="AH74" i="16"/>
  <c r="AI73" i="16"/>
  <c r="AH73" i="16"/>
  <c r="AI72" i="16"/>
  <c r="AH72" i="16"/>
  <c r="AI71" i="16"/>
  <c r="AH71" i="16"/>
  <c r="AI70" i="16"/>
  <c r="AH70" i="16"/>
  <c r="AI69" i="16"/>
  <c r="AH69" i="16"/>
  <c r="AI68" i="16"/>
  <c r="AH68" i="16"/>
  <c r="AI67" i="16"/>
  <c r="AH67" i="16"/>
  <c r="AI66" i="16"/>
  <c r="AH66" i="16"/>
  <c r="AI65" i="16"/>
  <c r="AH65" i="16"/>
  <c r="AI64" i="16"/>
  <c r="AH64" i="16"/>
  <c r="AI63" i="16"/>
  <c r="AH63" i="16"/>
  <c r="AG62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AI61" i="16"/>
  <c r="AH61" i="16"/>
  <c r="AI60" i="16"/>
  <c r="AH60" i="16"/>
  <c r="AI59" i="16"/>
  <c r="AH59" i="16"/>
  <c r="AG58" i="16"/>
  <c r="AG2" i="16" s="1"/>
  <c r="AF58" i="16"/>
  <c r="AE58" i="16"/>
  <c r="AD58" i="16"/>
  <c r="AC58" i="16"/>
  <c r="AC97" i="16" s="1"/>
  <c r="AC99" i="16" s="1"/>
  <c r="AB58" i="16"/>
  <c r="AA58" i="16"/>
  <c r="Z58" i="16"/>
  <c r="Y58" i="16"/>
  <c r="X58" i="16"/>
  <c r="W58" i="16"/>
  <c r="V58" i="16"/>
  <c r="U58" i="16"/>
  <c r="U97" i="16" s="1"/>
  <c r="U99" i="16" s="1"/>
  <c r="T58" i="16"/>
  <c r="S58" i="16"/>
  <c r="R58" i="16"/>
  <c r="Q58" i="16"/>
  <c r="P58" i="16"/>
  <c r="O58" i="16"/>
  <c r="N58" i="16"/>
  <c r="M97" i="16"/>
  <c r="M99" i="16" s="1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E5" i="16"/>
  <c r="AD5" i="16"/>
  <c r="AC5" i="16"/>
  <c r="AA5" i="16"/>
  <c r="W5" i="16"/>
  <c r="V5" i="16"/>
  <c r="N5" i="16"/>
  <c r="M5" i="16"/>
  <c r="G5" i="16"/>
  <c r="F5" i="16"/>
  <c r="E5" i="16"/>
  <c r="K4" i="16"/>
  <c r="E4" i="16"/>
  <c r="H4" i="16" s="1"/>
  <c r="B4" i="16"/>
  <c r="D258" i="16" s="1"/>
  <c r="AF284" i="15"/>
  <c r="AE284" i="15"/>
  <c r="AD284" i="15"/>
  <c r="AC284" i="15"/>
  <c r="AB284" i="15"/>
  <c r="AA284" i="15"/>
  <c r="Z284" i="15"/>
  <c r="Y284" i="15"/>
  <c r="X284" i="15"/>
  <c r="W284" i="15"/>
  <c r="V284" i="15"/>
  <c r="U284" i="15"/>
  <c r="T284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AF283" i="15"/>
  <c r="AE283" i="15"/>
  <c r="AD283" i="15"/>
  <c r="AC283" i="15"/>
  <c r="AB283" i="15"/>
  <c r="AA283" i="15"/>
  <c r="Z283" i="15"/>
  <c r="Y283" i="15"/>
  <c r="X283" i="15"/>
  <c r="W283" i="15"/>
  <c r="V283" i="15"/>
  <c r="U283" i="15"/>
  <c r="T283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AF282" i="15"/>
  <c r="AE282" i="15"/>
  <c r="AD282" i="15"/>
  <c r="AC282" i="15"/>
  <c r="AB282" i="15"/>
  <c r="AA282" i="15"/>
  <c r="Z282" i="15"/>
  <c r="Y282" i="15"/>
  <c r="X282" i="15"/>
  <c r="W282" i="15"/>
  <c r="V282" i="15"/>
  <c r="U282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AF281" i="15"/>
  <c r="AE281" i="15"/>
  <c r="AD281" i="15"/>
  <c r="AC281" i="15"/>
  <c r="AB281" i="15"/>
  <c r="AA281" i="15"/>
  <c r="Z281" i="15"/>
  <c r="Y281" i="15"/>
  <c r="X281" i="15"/>
  <c r="W281" i="15"/>
  <c r="V281" i="15"/>
  <c r="U281" i="15"/>
  <c r="T281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C280" i="15"/>
  <c r="B280" i="15"/>
  <c r="S255" i="15"/>
  <c r="AG245" i="15"/>
  <c r="C245" i="15"/>
  <c r="D244" i="15"/>
  <c r="E244" i="15" s="1"/>
  <c r="D280" i="15" s="1"/>
  <c r="F243" i="15"/>
  <c r="G243" i="15" s="1"/>
  <c r="H243" i="15" s="1"/>
  <c r="I243" i="15" s="1"/>
  <c r="J243" i="15" s="1"/>
  <c r="K243" i="15" s="1"/>
  <c r="L243" i="15" s="1"/>
  <c r="M243" i="15" s="1"/>
  <c r="N243" i="15" s="1"/>
  <c r="O243" i="15" s="1"/>
  <c r="P243" i="15" s="1"/>
  <c r="Q243" i="15" s="1"/>
  <c r="R243" i="15" s="1"/>
  <c r="S243" i="15" s="1"/>
  <c r="T243" i="15" s="1"/>
  <c r="U243" i="15" s="1"/>
  <c r="V243" i="15" s="1"/>
  <c r="W243" i="15" s="1"/>
  <c r="X243" i="15" s="1"/>
  <c r="Y243" i="15" s="1"/>
  <c r="Z243" i="15" s="1"/>
  <c r="AA243" i="15" s="1"/>
  <c r="AB243" i="15" s="1"/>
  <c r="AC243" i="15" s="1"/>
  <c r="AD243" i="15" s="1"/>
  <c r="AE243" i="15" s="1"/>
  <c r="AF243" i="15" s="1"/>
  <c r="B243" i="15" s="1"/>
  <c r="D243" i="15"/>
  <c r="E243" i="15" s="1"/>
  <c r="D242" i="15"/>
  <c r="E242" i="15" s="1"/>
  <c r="F242" i="15" s="1"/>
  <c r="G242" i="15" s="1"/>
  <c r="H242" i="15" s="1"/>
  <c r="I242" i="15" s="1"/>
  <c r="J242" i="15" s="1"/>
  <c r="K242" i="15" s="1"/>
  <c r="L242" i="15" s="1"/>
  <c r="M242" i="15" s="1"/>
  <c r="N242" i="15" s="1"/>
  <c r="O242" i="15" s="1"/>
  <c r="P242" i="15" s="1"/>
  <c r="Q242" i="15" s="1"/>
  <c r="R242" i="15" s="1"/>
  <c r="S242" i="15" s="1"/>
  <c r="T242" i="15" s="1"/>
  <c r="U242" i="15" s="1"/>
  <c r="V242" i="15" s="1"/>
  <c r="W242" i="15" s="1"/>
  <c r="X242" i="15" s="1"/>
  <c r="Y242" i="15" s="1"/>
  <c r="Z242" i="15" s="1"/>
  <c r="AA242" i="15" s="1"/>
  <c r="AB242" i="15" s="1"/>
  <c r="AC242" i="15" s="1"/>
  <c r="AD242" i="15" s="1"/>
  <c r="AE242" i="15" s="1"/>
  <c r="AF242" i="15" s="1"/>
  <c r="B242" i="15" s="1"/>
  <c r="D241" i="15"/>
  <c r="D245" i="15" s="1"/>
  <c r="D240" i="15"/>
  <c r="E240" i="15" s="1"/>
  <c r="F240" i="15" s="1"/>
  <c r="G240" i="15" s="1"/>
  <c r="H240" i="15" s="1"/>
  <c r="I240" i="15" s="1"/>
  <c r="J240" i="15" s="1"/>
  <c r="K240" i="15" s="1"/>
  <c r="L240" i="15" s="1"/>
  <c r="M240" i="15" s="1"/>
  <c r="N240" i="15" s="1"/>
  <c r="O240" i="15" s="1"/>
  <c r="P240" i="15" s="1"/>
  <c r="Q240" i="15" s="1"/>
  <c r="R240" i="15" s="1"/>
  <c r="S240" i="15" s="1"/>
  <c r="T240" i="15" s="1"/>
  <c r="U240" i="15" s="1"/>
  <c r="V240" i="15" s="1"/>
  <c r="W240" i="15" s="1"/>
  <c r="X240" i="15" s="1"/>
  <c r="Y240" i="15" s="1"/>
  <c r="Z240" i="15" s="1"/>
  <c r="AA240" i="15" s="1"/>
  <c r="AB240" i="15" s="1"/>
  <c r="AC240" i="15" s="1"/>
  <c r="AD240" i="15" s="1"/>
  <c r="AE240" i="15" s="1"/>
  <c r="AF240" i="15" s="1"/>
  <c r="B240" i="15" s="1"/>
  <c r="E239" i="15"/>
  <c r="D239" i="15"/>
  <c r="AG237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I130" i="15"/>
  <c r="AH130" i="15"/>
  <c r="AI129" i="15"/>
  <c r="AH129" i="15"/>
  <c r="AI128" i="15"/>
  <c r="AH128" i="15"/>
  <c r="AI127" i="15"/>
  <c r="AH127" i="15"/>
  <c r="AI126" i="15"/>
  <c r="AH126" i="15"/>
  <c r="M123" i="15"/>
  <c r="L123" i="15"/>
  <c r="K123" i="15"/>
  <c r="J123" i="15"/>
  <c r="I123" i="15"/>
  <c r="G123" i="15"/>
  <c r="F123" i="15"/>
  <c r="E123" i="15"/>
  <c r="D123" i="15"/>
  <c r="D118" i="15" s="1"/>
  <c r="C123" i="15"/>
  <c r="B123" i="15"/>
  <c r="AI122" i="15"/>
  <c r="AH122" i="15"/>
  <c r="L121" i="15"/>
  <c r="K121" i="15"/>
  <c r="J121" i="15"/>
  <c r="I121" i="15"/>
  <c r="H121" i="15"/>
  <c r="G121" i="15"/>
  <c r="F121" i="15"/>
  <c r="E121" i="15"/>
  <c r="D121" i="15"/>
  <c r="C121" i="15"/>
  <c r="B121" i="15"/>
  <c r="AI120" i="15"/>
  <c r="AH120" i="15"/>
  <c r="AI119" i="15"/>
  <c r="AH119" i="15"/>
  <c r="E118" i="15"/>
  <c r="AI117" i="15"/>
  <c r="AH117" i="15"/>
  <c r="AI116" i="15"/>
  <c r="AH116" i="15"/>
  <c r="AI115" i="15"/>
  <c r="AH115" i="15"/>
  <c r="AI114" i="15"/>
  <c r="AH114" i="15"/>
  <c r="AI113" i="15"/>
  <c r="AH113" i="15"/>
  <c r="AI112" i="15"/>
  <c r="AH112" i="15"/>
  <c r="AI111" i="15"/>
  <c r="AH111" i="15"/>
  <c r="AI110" i="15"/>
  <c r="AH110" i="15"/>
  <c r="AI109" i="15"/>
  <c r="AH109" i="15"/>
  <c r="AI106" i="15"/>
  <c r="AH106" i="15"/>
  <c r="AI98" i="15"/>
  <c r="AH98" i="15"/>
  <c r="AI96" i="15"/>
  <c r="AH96" i="15"/>
  <c r="AG96" i="15"/>
  <c r="AI95" i="15"/>
  <c r="AH95" i="15"/>
  <c r="AI94" i="15"/>
  <c r="AH94" i="15"/>
  <c r="AI93" i="15"/>
  <c r="AH93" i="15"/>
  <c r="AG92" i="15"/>
  <c r="AF92" i="15"/>
  <c r="AE92" i="15"/>
  <c r="AD92" i="15"/>
  <c r="AC5" i="15" s="1"/>
  <c r="AC92" i="15"/>
  <c r="AB5" i="15" s="1"/>
  <c r="AB92" i="15"/>
  <c r="AA5" i="15" s="1"/>
  <c r="AA92" i="15"/>
  <c r="Z5" i="15" s="1"/>
  <c r="Z92" i="15"/>
  <c r="Y92" i="15"/>
  <c r="X92" i="15"/>
  <c r="W92" i="15"/>
  <c r="V92" i="15"/>
  <c r="U5" i="15" s="1"/>
  <c r="U92" i="15"/>
  <c r="T5" i="15" s="1"/>
  <c r="T92" i="15"/>
  <c r="S5" i="15" s="1"/>
  <c r="S92" i="15"/>
  <c r="R5" i="15" s="1"/>
  <c r="R92" i="15"/>
  <c r="Q92" i="15"/>
  <c r="P92" i="15"/>
  <c r="O92" i="15"/>
  <c r="N92" i="15"/>
  <c r="M5" i="15" s="1"/>
  <c r="M92" i="15"/>
  <c r="L5" i="15" s="1"/>
  <c r="L92" i="15"/>
  <c r="K92" i="15"/>
  <c r="J92" i="15"/>
  <c r="I5" i="15" s="1"/>
  <c r="I92" i="15"/>
  <c r="H92" i="15"/>
  <c r="G92" i="15"/>
  <c r="F92" i="15"/>
  <c r="E5" i="15" s="1"/>
  <c r="E92" i="15"/>
  <c r="D5" i="15" s="1"/>
  <c r="D92" i="15"/>
  <c r="C92" i="15"/>
  <c r="B92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I83" i="15"/>
  <c r="AH83" i="15"/>
  <c r="AI82" i="15"/>
  <c r="AH82" i="15"/>
  <c r="AI81" i="15"/>
  <c r="AH81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I79" i="15"/>
  <c r="AH79" i="15"/>
  <c r="AI78" i="15"/>
  <c r="AH78" i="15"/>
  <c r="AI77" i="15"/>
  <c r="AH77" i="15"/>
  <c r="AF76" i="15"/>
  <c r="AE76" i="15"/>
  <c r="AD76" i="15"/>
  <c r="AC76" i="15"/>
  <c r="AB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I75" i="15"/>
  <c r="AH75" i="15"/>
  <c r="AG75" i="15"/>
  <c r="AG76" i="15" s="1"/>
  <c r="AG3" i="15" s="1"/>
  <c r="AI74" i="15"/>
  <c r="AH74" i="15"/>
  <c r="AI73" i="15"/>
  <c r="AH73" i="15"/>
  <c r="AI72" i="15"/>
  <c r="AH72" i="15"/>
  <c r="AI71" i="15"/>
  <c r="AH71" i="15"/>
  <c r="AI70" i="15"/>
  <c r="AH70" i="15"/>
  <c r="AI69" i="15"/>
  <c r="AH69" i="15"/>
  <c r="AI68" i="15"/>
  <c r="AH68" i="15"/>
  <c r="AI67" i="15"/>
  <c r="AH67" i="15"/>
  <c r="AI66" i="15"/>
  <c r="AH66" i="15"/>
  <c r="AI65" i="15"/>
  <c r="AH65" i="15"/>
  <c r="AI64" i="15"/>
  <c r="AH64" i="15"/>
  <c r="AI63" i="15"/>
  <c r="AH63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I61" i="15"/>
  <c r="AH61" i="15"/>
  <c r="AI60" i="15"/>
  <c r="AH60" i="15"/>
  <c r="AI59" i="15"/>
  <c r="AH59" i="15"/>
  <c r="AG58" i="15"/>
  <c r="AG2" i="15" s="1"/>
  <c r="AF58" i="15"/>
  <c r="AE58" i="15"/>
  <c r="AD58" i="15"/>
  <c r="AC58" i="15"/>
  <c r="AB58" i="15"/>
  <c r="Z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L97" i="15" s="1"/>
  <c r="L99" i="15" s="1"/>
  <c r="K58" i="15"/>
  <c r="J58" i="15"/>
  <c r="I58" i="15"/>
  <c r="H58" i="15"/>
  <c r="G58" i="15"/>
  <c r="F58" i="15"/>
  <c r="E58" i="15"/>
  <c r="D58" i="15"/>
  <c r="D97" i="15" s="1"/>
  <c r="D99" i="15" s="1"/>
  <c r="C58" i="15"/>
  <c r="B58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Y5" i="15"/>
  <c r="Q5" i="15"/>
  <c r="K5" i="15"/>
  <c r="J5" i="15"/>
  <c r="H5" i="15"/>
  <c r="G5" i="15"/>
  <c r="C5" i="15"/>
  <c r="B5" i="15"/>
  <c r="AG4" i="15"/>
  <c r="K4" i="15"/>
  <c r="E4" i="15"/>
  <c r="H4" i="15" s="1"/>
  <c r="B4" i="15"/>
  <c r="S256" i="15" s="1"/>
  <c r="AG6" i="16" l="1"/>
  <c r="J107" i="16"/>
  <c r="S97" i="16"/>
  <c r="S99" i="16" s="1"/>
  <c r="AA97" i="16"/>
  <c r="AA99" i="16" s="1"/>
  <c r="Z107" i="16"/>
  <c r="R107" i="16"/>
  <c r="D118" i="16"/>
  <c r="F246" i="16"/>
  <c r="G246" i="16" s="1"/>
  <c r="Y107" i="16"/>
  <c r="AE107" i="16"/>
  <c r="AE108" i="16" s="1"/>
  <c r="W107" i="16"/>
  <c r="W108" i="16" s="1"/>
  <c r="O107" i="16"/>
  <c r="O108" i="16" s="1"/>
  <c r="G107" i="16"/>
  <c r="I107" i="16"/>
  <c r="AE97" i="16"/>
  <c r="AE99" i="16" s="1"/>
  <c r="AF107" i="16"/>
  <c r="X107" i="16"/>
  <c r="X108" i="16" s="1"/>
  <c r="P107" i="16"/>
  <c r="H107" i="16"/>
  <c r="AD107" i="16"/>
  <c r="AD108" i="16" s="1"/>
  <c r="V107" i="16"/>
  <c r="V108" i="16" s="1"/>
  <c r="N107" i="16"/>
  <c r="N108" i="16" s="1"/>
  <c r="F107" i="16"/>
  <c r="F108" i="16" s="1"/>
  <c r="AI101" i="16"/>
  <c r="AC107" i="16"/>
  <c r="AC100" i="16" s="1"/>
  <c r="AC7" i="16" s="1"/>
  <c r="U107" i="16"/>
  <c r="U100" i="16" s="1"/>
  <c r="U7" i="16" s="1"/>
  <c r="M107" i="16"/>
  <c r="M100" i="16" s="1"/>
  <c r="M7" i="16" s="1"/>
  <c r="E107" i="16"/>
  <c r="E100" i="16" s="1"/>
  <c r="E7" i="16" s="1"/>
  <c r="B107" i="16"/>
  <c r="AB107" i="16"/>
  <c r="AB108" i="16" s="1"/>
  <c r="T107" i="16"/>
  <c r="L107" i="16"/>
  <c r="L108" i="16" s="1"/>
  <c r="D107" i="16"/>
  <c r="AA107" i="16"/>
  <c r="AA108" i="16" s="1"/>
  <c r="S107" i="16"/>
  <c r="S100" i="16" s="1"/>
  <c r="S7" i="16" s="1"/>
  <c r="K107" i="16"/>
  <c r="C107" i="16"/>
  <c r="C108" i="16" s="1"/>
  <c r="Q107" i="16"/>
  <c r="Q108" i="16" s="1"/>
  <c r="AG99" i="16"/>
  <c r="E251" i="16"/>
  <c r="E118" i="16" s="1"/>
  <c r="AA100" i="16"/>
  <c r="F97" i="16"/>
  <c r="F99" i="16" s="1"/>
  <c r="N97" i="16"/>
  <c r="N99" i="16" s="1"/>
  <c r="N100" i="16" s="1"/>
  <c r="V97" i="16"/>
  <c r="V99" i="16" s="1"/>
  <c r="V100" i="16" s="1"/>
  <c r="V7" i="16" s="1"/>
  <c r="AD97" i="16"/>
  <c r="AD99" i="16" s="1"/>
  <c r="AD100" i="16" s="1"/>
  <c r="T108" i="16"/>
  <c r="G97" i="16"/>
  <c r="G99" i="16" s="1"/>
  <c r="G100" i="16" s="1"/>
  <c r="G7" i="16" s="1"/>
  <c r="W97" i="16"/>
  <c r="W99" i="16" s="1"/>
  <c r="P97" i="16"/>
  <c r="P99" i="16" s="1"/>
  <c r="X97" i="16"/>
  <c r="X99" i="16" s="1"/>
  <c r="AF97" i="16"/>
  <c r="AF99" i="16" s="1"/>
  <c r="AF100" i="16" s="1"/>
  <c r="Z97" i="16"/>
  <c r="Z99" i="16" s="1"/>
  <c r="Z100" i="16" s="1"/>
  <c r="Z7" i="16" s="1"/>
  <c r="Q97" i="16"/>
  <c r="Q99" i="16" s="1"/>
  <c r="Y97" i="16"/>
  <c r="Y99" i="16" s="1"/>
  <c r="Y100" i="16" s="1"/>
  <c r="Y7" i="16" s="1"/>
  <c r="AG97" i="16"/>
  <c r="AH105" i="16"/>
  <c r="AI104" i="16"/>
  <c r="AI103" i="16"/>
  <c r="AH101" i="16"/>
  <c r="O97" i="16"/>
  <c r="O99" i="16" s="1"/>
  <c r="O100" i="16" s="1"/>
  <c r="O7" i="16" s="1"/>
  <c r="AH76" i="16"/>
  <c r="AH104" i="16"/>
  <c r="S5" i="16"/>
  <c r="T97" i="16"/>
  <c r="T99" i="16" s="1"/>
  <c r="AB97" i="16"/>
  <c r="AB99" i="16" s="1"/>
  <c r="W240" i="19"/>
  <c r="V245" i="19"/>
  <c r="U280" i="19"/>
  <c r="W244" i="19"/>
  <c r="Y239" i="19"/>
  <c r="R280" i="17"/>
  <c r="T244" i="17"/>
  <c r="T239" i="17"/>
  <c r="S245" i="17"/>
  <c r="AF107" i="15"/>
  <c r="AE107" i="15"/>
  <c r="AD107" i="15"/>
  <c r="AD97" i="15"/>
  <c r="AD99" i="15" s="1"/>
  <c r="AV259" i="15" s="1"/>
  <c r="AC107" i="15"/>
  <c r="AB107" i="15"/>
  <c r="M97" i="15"/>
  <c r="M99" i="15" s="1"/>
  <c r="M100" i="15" s="1"/>
  <c r="F97" i="15"/>
  <c r="F99" i="15" s="1"/>
  <c r="X259" i="15" s="1"/>
  <c r="I97" i="15"/>
  <c r="I99" i="15" s="1"/>
  <c r="I100" i="15" s="1"/>
  <c r="R97" i="15"/>
  <c r="R99" i="15" s="1"/>
  <c r="R100" i="15" s="1"/>
  <c r="AG6" i="15"/>
  <c r="B97" i="15"/>
  <c r="J97" i="15"/>
  <c r="J99" i="15" s="1"/>
  <c r="AB259" i="15" s="1"/>
  <c r="AC97" i="15"/>
  <c r="AC99" i="15" s="1"/>
  <c r="C118" i="15"/>
  <c r="C97" i="15"/>
  <c r="C99" i="15" s="1"/>
  <c r="C100" i="15" s="1"/>
  <c r="C7" i="15" s="1"/>
  <c r="K97" i="15"/>
  <c r="K99" i="15" s="1"/>
  <c r="K100" i="15" s="1"/>
  <c r="AB97" i="15"/>
  <c r="AB99" i="15" s="1"/>
  <c r="AB100" i="15" s="1"/>
  <c r="AB7" i="15" s="1"/>
  <c r="D100" i="15"/>
  <c r="L100" i="15"/>
  <c r="V107" i="15"/>
  <c r="AA107" i="15"/>
  <c r="Y108" i="15"/>
  <c r="X5" i="15"/>
  <c r="E97" i="15"/>
  <c r="E99" i="15" s="1"/>
  <c r="E100" i="15" s="1"/>
  <c r="F100" i="15"/>
  <c r="J100" i="15"/>
  <c r="X107" i="15"/>
  <c r="AA97" i="15"/>
  <c r="AA99" i="15" s="1"/>
  <c r="Y97" i="15"/>
  <c r="Y99" i="15" s="1"/>
  <c r="Y100" i="15" s="1"/>
  <c r="Y7" i="15" s="1"/>
  <c r="Z97" i="15"/>
  <c r="Z99" i="15" s="1"/>
  <c r="Z100" i="15" s="1"/>
  <c r="Z7" i="15" s="1"/>
  <c r="V97" i="15"/>
  <c r="V99" i="15" s="1"/>
  <c r="AN259" i="15" s="1"/>
  <c r="U107" i="15"/>
  <c r="U97" i="15"/>
  <c r="U99" i="15" s="1"/>
  <c r="U100" i="15" s="1"/>
  <c r="T97" i="15"/>
  <c r="T99" i="15" s="1"/>
  <c r="T100" i="15" s="1"/>
  <c r="AI105" i="15"/>
  <c r="AH105" i="15"/>
  <c r="S107" i="15"/>
  <c r="S97" i="15"/>
  <c r="S99" i="15" s="1"/>
  <c r="AK259" i="15" s="1"/>
  <c r="Q107" i="15"/>
  <c r="Q108" i="15" s="1"/>
  <c r="P5" i="15"/>
  <c r="Q97" i="15"/>
  <c r="Q99" i="15" s="1"/>
  <c r="N107" i="15"/>
  <c r="O107" i="15"/>
  <c r="AH103" i="15"/>
  <c r="AI101" i="15"/>
  <c r="P107" i="15"/>
  <c r="P108" i="15" s="1"/>
  <c r="AI102" i="15"/>
  <c r="AI76" i="15"/>
  <c r="N97" i="15"/>
  <c r="N99" i="15" s="1"/>
  <c r="AH104" i="15"/>
  <c r="K108" i="16"/>
  <c r="S108" i="16"/>
  <c r="J108" i="15"/>
  <c r="R108" i="15"/>
  <c r="AI104" i="15"/>
  <c r="AH101" i="15"/>
  <c r="AH102" i="15"/>
  <c r="AI103" i="15"/>
  <c r="AI105" i="16"/>
  <c r="AH103" i="16"/>
  <c r="AI102" i="16"/>
  <c r="AH102" i="16"/>
  <c r="B5" i="16"/>
  <c r="C5" i="16"/>
  <c r="H97" i="16"/>
  <c r="H99" i="16" s="1"/>
  <c r="H100" i="16" s="1"/>
  <c r="D108" i="16"/>
  <c r="C97" i="16"/>
  <c r="C99" i="16" s="1"/>
  <c r="K97" i="16"/>
  <c r="K99" i="16" s="1"/>
  <c r="K100" i="16" s="1"/>
  <c r="K7" i="16" s="1"/>
  <c r="D97" i="16"/>
  <c r="D99" i="16" s="1"/>
  <c r="AI80" i="16"/>
  <c r="AI58" i="16"/>
  <c r="AI62" i="16"/>
  <c r="I97" i="16"/>
  <c r="I99" i="16" s="1"/>
  <c r="L97" i="16"/>
  <c r="L99" i="16" s="1"/>
  <c r="AI76" i="16"/>
  <c r="S258" i="16"/>
  <c r="AA259" i="15"/>
  <c r="I7" i="15"/>
  <c r="W259" i="15"/>
  <c r="AM259" i="15"/>
  <c r="AD259" i="15"/>
  <c r="V259" i="15"/>
  <c r="M7" i="15"/>
  <c r="AE259" i="15"/>
  <c r="AF261" i="16"/>
  <c r="N7" i="16"/>
  <c r="X261" i="16"/>
  <c r="U259" i="15"/>
  <c r="W108" i="15"/>
  <c r="V5" i="15"/>
  <c r="AI121" i="15"/>
  <c r="AH121" i="15"/>
  <c r="AI92" i="15"/>
  <c r="Z108" i="15"/>
  <c r="H108" i="15"/>
  <c r="Y261" i="16"/>
  <c r="B108" i="16"/>
  <c r="AI92" i="16"/>
  <c r="AF5" i="16"/>
  <c r="J108" i="16"/>
  <c r="I5" i="16"/>
  <c r="Q5" i="16"/>
  <c r="R108" i="16"/>
  <c r="Y5" i="16"/>
  <c r="Z108" i="16"/>
  <c r="AH92" i="16"/>
  <c r="F5" i="15"/>
  <c r="G108" i="15"/>
  <c r="AE108" i="15"/>
  <c r="AD5" i="15"/>
  <c r="G97" i="15"/>
  <c r="G99" i="15" s="1"/>
  <c r="G100" i="15" s="1"/>
  <c r="O97" i="15"/>
  <c r="O99" i="15" s="1"/>
  <c r="O100" i="15" s="1"/>
  <c r="W97" i="15"/>
  <c r="W99" i="15" s="1"/>
  <c r="W100" i="15" s="1"/>
  <c r="AE97" i="15"/>
  <c r="AE99" i="15" s="1"/>
  <c r="AE100" i="15" s="1"/>
  <c r="C108" i="15"/>
  <c r="F244" i="15"/>
  <c r="AH62" i="16"/>
  <c r="N5" i="15"/>
  <c r="O108" i="15"/>
  <c r="AF108" i="15"/>
  <c r="AE5" i="15"/>
  <c r="H97" i="15"/>
  <c r="H99" i="15" s="1"/>
  <c r="H100" i="15" s="1"/>
  <c r="P97" i="15"/>
  <c r="P99" i="15" s="1"/>
  <c r="P100" i="15" s="1"/>
  <c r="X97" i="15"/>
  <c r="X99" i="15" s="1"/>
  <c r="X100" i="15" s="1"/>
  <c r="AF97" i="15"/>
  <c r="AF99" i="15" s="1"/>
  <c r="AF100" i="15" s="1"/>
  <c r="AI62" i="15"/>
  <c r="AI80" i="15"/>
  <c r="AG99" i="15"/>
  <c r="F239" i="15"/>
  <c r="AC259" i="15"/>
  <c r="K7" i="15"/>
  <c r="W5" i="15"/>
  <c r="AG97" i="15"/>
  <c r="J97" i="16"/>
  <c r="J99" i="16" s="1"/>
  <c r="J100" i="16" s="1"/>
  <c r="R97" i="16"/>
  <c r="R99" i="16" s="1"/>
  <c r="R100" i="16" s="1"/>
  <c r="AL259" i="15"/>
  <c r="AI57" i="15"/>
  <c r="AH57" i="15"/>
  <c r="O5" i="15"/>
  <c r="B99" i="15"/>
  <c r="B100" i="15" s="1"/>
  <c r="J7" i="15"/>
  <c r="R7" i="15"/>
  <c r="F108" i="15"/>
  <c r="X108" i="15"/>
  <c r="AI123" i="15"/>
  <c r="AH123" i="15"/>
  <c r="AS261" i="16"/>
  <c r="AA7" i="16"/>
  <c r="K108" i="15"/>
  <c r="B108" i="15"/>
  <c r="D256" i="15"/>
  <c r="B97" i="16"/>
  <c r="AH121" i="16"/>
  <c r="AK261" i="16"/>
  <c r="AH76" i="15"/>
  <c r="AH80" i="15"/>
  <c r="AH92" i="15"/>
  <c r="D7" i="15"/>
  <c r="L7" i="15"/>
  <c r="T108" i="15"/>
  <c r="D5" i="16"/>
  <c r="L5" i="16"/>
  <c r="M108" i="16"/>
  <c r="T5" i="16"/>
  <c r="U108" i="16"/>
  <c r="AB5" i="16"/>
  <c r="AH58" i="16"/>
  <c r="AH80" i="16"/>
  <c r="AW261" i="16"/>
  <c r="E108" i="15"/>
  <c r="M108" i="15"/>
  <c r="U108" i="15"/>
  <c r="AC108" i="15"/>
  <c r="E241" i="15"/>
  <c r="F241" i="15" s="1"/>
  <c r="G241" i="15" s="1"/>
  <c r="H241" i="15" s="1"/>
  <c r="I241" i="15" s="1"/>
  <c r="J241" i="15" s="1"/>
  <c r="K241" i="15" s="1"/>
  <c r="L241" i="15" s="1"/>
  <c r="M241" i="15" s="1"/>
  <c r="N241" i="15" s="1"/>
  <c r="O241" i="15" s="1"/>
  <c r="P241" i="15" s="1"/>
  <c r="Q241" i="15" s="1"/>
  <c r="R241" i="15" s="1"/>
  <c r="S241" i="15" s="1"/>
  <c r="T241" i="15" s="1"/>
  <c r="U241" i="15" s="1"/>
  <c r="V241" i="15" s="1"/>
  <c r="W241" i="15" s="1"/>
  <c r="X241" i="15" s="1"/>
  <c r="Y241" i="15" s="1"/>
  <c r="Z241" i="15" s="1"/>
  <c r="AA241" i="15" s="1"/>
  <c r="AB241" i="15" s="1"/>
  <c r="AC241" i="15" s="1"/>
  <c r="AD241" i="15" s="1"/>
  <c r="AE241" i="15" s="1"/>
  <c r="AF241" i="15" s="1"/>
  <c r="B241" i="15" s="1"/>
  <c r="W261" i="16"/>
  <c r="AE261" i="16"/>
  <c r="AM261" i="16"/>
  <c r="AU261" i="16"/>
  <c r="AV261" i="16"/>
  <c r="AD7" i="16"/>
  <c r="D252" i="16"/>
  <c r="E249" i="16"/>
  <c r="F249" i="16" s="1"/>
  <c r="G249" i="16" s="1"/>
  <c r="H249" i="16" s="1"/>
  <c r="I249" i="16" s="1"/>
  <c r="J249" i="16" s="1"/>
  <c r="K249" i="16" s="1"/>
  <c r="L249" i="16" s="1"/>
  <c r="M249" i="16" s="1"/>
  <c r="N249" i="16" s="1"/>
  <c r="O249" i="16" s="1"/>
  <c r="P249" i="16" s="1"/>
  <c r="Q249" i="16" s="1"/>
  <c r="R249" i="16" s="1"/>
  <c r="S249" i="16" s="1"/>
  <c r="T249" i="16" s="1"/>
  <c r="U249" i="16" s="1"/>
  <c r="V249" i="16" s="1"/>
  <c r="W249" i="16" s="1"/>
  <c r="X249" i="16" s="1"/>
  <c r="Y249" i="16" s="1"/>
  <c r="Z249" i="16" s="1"/>
  <c r="AA249" i="16" s="1"/>
  <c r="AB249" i="16" s="1"/>
  <c r="AC249" i="16" s="1"/>
  <c r="AD249" i="16" s="1"/>
  <c r="AE249" i="16" s="1"/>
  <c r="AF249" i="16" s="1"/>
  <c r="B249" i="16" s="1"/>
  <c r="F7" i="15"/>
  <c r="AD108" i="15"/>
  <c r="AH58" i="15"/>
  <c r="AH62" i="15"/>
  <c r="P108" i="16"/>
  <c r="AI58" i="15"/>
  <c r="AI57" i="16"/>
  <c r="AH261" i="16"/>
  <c r="AP261" i="16"/>
  <c r="AX261" i="16"/>
  <c r="I108" i="16"/>
  <c r="Y108" i="16"/>
  <c r="AH57" i="16"/>
  <c r="H108" i="16"/>
  <c r="AF108" i="16"/>
  <c r="AH123" i="16"/>
  <c r="Q100" i="16" l="1"/>
  <c r="Q7" i="16" s="1"/>
  <c r="AG261" i="16"/>
  <c r="AE100" i="16"/>
  <c r="AE7" i="16" s="1"/>
  <c r="AC261" i="16"/>
  <c r="F251" i="16"/>
  <c r="G251" i="16" s="1"/>
  <c r="X100" i="16"/>
  <c r="X7" i="16" s="1"/>
  <c r="F100" i="16"/>
  <c r="F7" i="16" s="1"/>
  <c r="D282" i="16"/>
  <c r="AQ261" i="16"/>
  <c r="P100" i="16"/>
  <c r="P7" i="16" s="1"/>
  <c r="AI261" i="16"/>
  <c r="W100" i="16"/>
  <c r="W7" i="16" s="1"/>
  <c r="Z261" i="16"/>
  <c r="U261" i="16"/>
  <c r="C100" i="16"/>
  <c r="C7" i="16" s="1"/>
  <c r="AT261" i="16"/>
  <c r="AB100" i="16"/>
  <c r="AB7" i="16" s="1"/>
  <c r="AD261" i="16"/>
  <c r="L100" i="16"/>
  <c r="L7" i="16" s="1"/>
  <c r="AL261" i="16"/>
  <c r="T100" i="16"/>
  <c r="T7" i="16" s="1"/>
  <c r="AA261" i="16"/>
  <c r="I100" i="16"/>
  <c r="I7" i="16" s="1"/>
  <c r="AN261" i="16"/>
  <c r="AO261" i="16"/>
  <c r="AR261" i="16"/>
  <c r="D100" i="16"/>
  <c r="D7" i="16" s="1"/>
  <c r="V261" i="16"/>
  <c r="Z239" i="19"/>
  <c r="V280" i="19"/>
  <c r="X244" i="19"/>
  <c r="X240" i="19"/>
  <c r="W245" i="19"/>
  <c r="T245" i="17"/>
  <c r="U239" i="17"/>
  <c r="S280" i="17"/>
  <c r="U244" i="17"/>
  <c r="AD100" i="15"/>
  <c r="AD7" i="15" s="1"/>
  <c r="AC100" i="15"/>
  <c r="AC7" i="15" s="1"/>
  <c r="AT259" i="15"/>
  <c r="AJ259" i="15"/>
  <c r="AA100" i="15"/>
  <c r="AA7" i="15" s="1"/>
  <c r="AU259" i="15"/>
  <c r="E245" i="15"/>
  <c r="AS259" i="15"/>
  <c r="AR259" i="15"/>
  <c r="AQ259" i="15"/>
  <c r="V100" i="15"/>
  <c r="V7" i="15" s="1"/>
  <c r="S100" i="15"/>
  <c r="S7" i="15" s="1"/>
  <c r="Q100" i="15"/>
  <c r="Q7" i="15" s="1"/>
  <c r="AI259" i="15"/>
  <c r="AI97" i="15"/>
  <c r="AF259" i="15"/>
  <c r="N100" i="15"/>
  <c r="N7" i="15" s="1"/>
  <c r="E108" i="16"/>
  <c r="AH108" i="16" s="1"/>
  <c r="G108" i="16"/>
  <c r="H7" i="16"/>
  <c r="C256" i="16"/>
  <c r="Y259" i="15"/>
  <c r="C254" i="15"/>
  <c r="G7" i="15"/>
  <c r="B254" i="15"/>
  <c r="AF7" i="16"/>
  <c r="AC108" i="16"/>
  <c r="AH107" i="15"/>
  <c r="AP259" i="15"/>
  <c r="X7" i="15"/>
  <c r="AA108" i="15"/>
  <c r="B256" i="16"/>
  <c r="U7" i="15"/>
  <c r="AX259" i="15"/>
  <c r="AF7" i="15"/>
  <c r="AI97" i="16"/>
  <c r="B99" i="16"/>
  <c r="B100" i="16" s="1"/>
  <c r="AH97" i="16"/>
  <c r="AB108" i="15"/>
  <c r="AH259" i="15"/>
  <c r="P7" i="15"/>
  <c r="S108" i="15"/>
  <c r="AG259" i="15"/>
  <c r="O7" i="15"/>
  <c r="E282" i="16"/>
  <c r="T7" i="15"/>
  <c r="Z259" i="15"/>
  <c r="H7" i="15"/>
  <c r="E7" i="15"/>
  <c r="L108" i="15"/>
  <c r="AI107" i="16"/>
  <c r="AH107" i="16"/>
  <c r="AB261" i="16"/>
  <c r="J7" i="16"/>
  <c r="F245" i="15"/>
  <c r="G239" i="15"/>
  <c r="F118" i="15"/>
  <c r="E252" i="16"/>
  <c r="V108" i="15"/>
  <c r="T259" i="15"/>
  <c r="AI99" i="15"/>
  <c r="AH99" i="15"/>
  <c r="D108" i="15"/>
  <c r="AW259" i="15"/>
  <c r="AE7" i="15"/>
  <c r="H246" i="16"/>
  <c r="N108" i="15"/>
  <c r="AH97" i="15"/>
  <c r="AJ261" i="16"/>
  <c r="R7" i="16"/>
  <c r="G244" i="15"/>
  <c r="E280" i="15"/>
  <c r="AO259" i="15"/>
  <c r="W7" i="15"/>
  <c r="AI107" i="15"/>
  <c r="G252" i="16" l="1"/>
  <c r="G118" i="16"/>
  <c r="F252" i="16"/>
  <c r="F118" i="16"/>
  <c r="AI108" i="16"/>
  <c r="AA239" i="19"/>
  <c r="W280" i="19"/>
  <c r="Y244" i="19"/>
  <c r="Y240" i="19"/>
  <c r="X245" i="19"/>
  <c r="V244" i="17"/>
  <c r="T280" i="17"/>
  <c r="V239" i="17"/>
  <c r="U245" i="17"/>
  <c r="K6" i="15"/>
  <c r="AI108" i="15"/>
  <c r="K6" i="16"/>
  <c r="T261" i="16"/>
  <c r="AH99" i="16"/>
  <c r="AI99" i="16"/>
  <c r="G245" i="15"/>
  <c r="H239" i="15"/>
  <c r="G118" i="15"/>
  <c r="B7" i="15"/>
  <c r="A7" i="15" s="1"/>
  <c r="AI100" i="15"/>
  <c r="AH100" i="15"/>
  <c r="I246" i="16"/>
  <c r="F280" i="15"/>
  <c r="H244" i="15"/>
  <c r="AH108" i="15"/>
  <c r="F282" i="16"/>
  <c r="H251" i="16"/>
  <c r="H252" i="16" s="1"/>
  <c r="H118" i="16" l="1"/>
  <c r="AB239" i="19"/>
  <c r="Z240" i="19"/>
  <c r="Y245" i="19"/>
  <c r="X280" i="19"/>
  <c r="Z244" i="19"/>
  <c r="W239" i="17"/>
  <c r="V245" i="17"/>
  <c r="U280" i="17"/>
  <c r="W244" i="17"/>
  <c r="H245" i="15"/>
  <c r="I239" i="15"/>
  <c r="H118" i="15"/>
  <c r="I118" i="16"/>
  <c r="J246" i="16"/>
  <c r="I252" i="16"/>
  <c r="G280" i="15"/>
  <c r="I244" i="15"/>
  <c r="G282" i="16"/>
  <c r="I251" i="16"/>
  <c r="B7" i="16"/>
  <c r="A7" i="16" s="1"/>
  <c r="AI100" i="16"/>
  <c r="AH100" i="16"/>
  <c r="AC239" i="19" l="1"/>
  <c r="AA244" i="19"/>
  <c r="Y280" i="19"/>
  <c r="AA240" i="19"/>
  <c r="Z245" i="19"/>
  <c r="V280" i="17"/>
  <c r="X244" i="17"/>
  <c r="W245" i="17"/>
  <c r="X239" i="17"/>
  <c r="K246" i="16"/>
  <c r="H280" i="15"/>
  <c r="J244" i="15"/>
  <c r="H282" i="16"/>
  <c r="J251" i="16"/>
  <c r="I245" i="15"/>
  <c r="J239" i="15"/>
  <c r="I118" i="15"/>
  <c r="AD239" i="19" l="1"/>
  <c r="AB240" i="19"/>
  <c r="AA245" i="19"/>
  <c r="AB244" i="19"/>
  <c r="Z280" i="19"/>
  <c r="Y239" i="17"/>
  <c r="X245" i="17"/>
  <c r="W280" i="17"/>
  <c r="Y244" i="17"/>
  <c r="I280" i="15"/>
  <c r="K244" i="15"/>
  <c r="K251" i="16"/>
  <c r="I282" i="16"/>
  <c r="K252" i="16"/>
  <c r="L246" i="16"/>
  <c r="K118" i="16"/>
  <c r="J118" i="16"/>
  <c r="K239" i="15"/>
  <c r="J245" i="15"/>
  <c r="J118" i="15"/>
  <c r="J252" i="16"/>
  <c r="AA280" i="19" l="1"/>
  <c r="AC244" i="19"/>
  <c r="AB118" i="19"/>
  <c r="AC240" i="19"/>
  <c r="AB245" i="19"/>
  <c r="AE239" i="19"/>
  <c r="X280" i="17"/>
  <c r="Z244" i="17"/>
  <c r="Y245" i="17"/>
  <c r="Z239" i="17"/>
  <c r="M246" i="16"/>
  <c r="J280" i="15"/>
  <c r="L244" i="15"/>
  <c r="L251" i="16"/>
  <c r="J282" i="16"/>
  <c r="K245" i="15"/>
  <c r="L239" i="15"/>
  <c r="K118" i="15"/>
  <c r="AF239" i="19" l="1"/>
  <c r="AD240" i="19"/>
  <c r="AC245" i="19"/>
  <c r="AB280" i="19"/>
  <c r="AD244" i="19"/>
  <c r="AC118" i="19"/>
  <c r="Z245" i="17"/>
  <c r="AA239" i="17"/>
  <c r="AA244" i="17"/>
  <c r="Y280" i="17"/>
  <c r="K282" i="16"/>
  <c r="M251" i="16"/>
  <c r="M252" i="16" s="1"/>
  <c r="K280" i="15"/>
  <c r="M244" i="15"/>
  <c r="L118" i="16"/>
  <c r="M118" i="16"/>
  <c r="N246" i="16"/>
  <c r="M239" i="15"/>
  <c r="L245" i="15"/>
  <c r="L118" i="15"/>
  <c r="L252" i="16"/>
  <c r="AE240" i="19" l="1"/>
  <c r="AD245" i="19"/>
  <c r="AC280" i="19"/>
  <c r="AE244" i="19"/>
  <c r="B239" i="19"/>
  <c r="Z280" i="17"/>
  <c r="AB244" i="17"/>
  <c r="AB239" i="17"/>
  <c r="AA245" i="17"/>
  <c r="O246" i="16"/>
  <c r="L280" i="15"/>
  <c r="N244" i="15"/>
  <c r="L282" i="16"/>
  <c r="N251" i="16"/>
  <c r="M245" i="15"/>
  <c r="N239" i="15"/>
  <c r="M118" i="15"/>
  <c r="AD280" i="19" l="1"/>
  <c r="AF244" i="19"/>
  <c r="AE118" i="19"/>
  <c r="AF240" i="19"/>
  <c r="AE245" i="19"/>
  <c r="AB245" i="17"/>
  <c r="AB118" i="17"/>
  <c r="AC239" i="17"/>
  <c r="AA280" i="17"/>
  <c r="AC244" i="17"/>
  <c r="O251" i="16"/>
  <c r="O252" i="16" s="1"/>
  <c r="M282" i="16"/>
  <c r="O244" i="15"/>
  <c r="M280" i="15"/>
  <c r="N252" i="16"/>
  <c r="P246" i="16"/>
  <c r="O118" i="16"/>
  <c r="N245" i="15"/>
  <c r="O239" i="15"/>
  <c r="N118" i="15"/>
  <c r="N118" i="16"/>
  <c r="B240" i="19" l="1"/>
  <c r="B245" i="19" s="1"/>
  <c r="AF245" i="19"/>
  <c r="B244" i="19"/>
  <c r="AE280" i="19"/>
  <c r="AD244" i="17"/>
  <c r="AB280" i="17"/>
  <c r="AD239" i="17"/>
  <c r="AC245" i="17"/>
  <c r="AC118" i="17"/>
  <c r="Q246" i="16"/>
  <c r="P252" i="16"/>
  <c r="N280" i="15"/>
  <c r="P244" i="15"/>
  <c r="O245" i="15"/>
  <c r="P239" i="15"/>
  <c r="O118" i="15"/>
  <c r="N282" i="16"/>
  <c r="P251" i="16"/>
  <c r="AF280" i="19" l="1"/>
  <c r="B118" i="19"/>
  <c r="AE239" i="17"/>
  <c r="AD245" i="17"/>
  <c r="AC280" i="17"/>
  <c r="AE244" i="17"/>
  <c r="O280" i="15"/>
  <c r="Q244" i="15"/>
  <c r="P245" i="15"/>
  <c r="Q239" i="15"/>
  <c r="O282" i="16"/>
  <c r="Q251" i="16"/>
  <c r="R246" i="16"/>
  <c r="Q252" i="16"/>
  <c r="Q118" i="16"/>
  <c r="AI118" i="19" l="1"/>
  <c r="AH118" i="19"/>
  <c r="AD280" i="17"/>
  <c r="AF244" i="17"/>
  <c r="AF239" i="17"/>
  <c r="AE245" i="17"/>
  <c r="AE118" i="17"/>
  <c r="S246" i="16"/>
  <c r="Q245" i="15"/>
  <c r="R239" i="15"/>
  <c r="Q118" i="15"/>
  <c r="P282" i="16"/>
  <c r="R251" i="16"/>
  <c r="R118" i="16" s="1"/>
  <c r="P280" i="15"/>
  <c r="R244" i="15"/>
  <c r="AF245" i="17" l="1"/>
  <c r="B239" i="17"/>
  <c r="AF118" i="17"/>
  <c r="B244" i="17"/>
  <c r="AF280" i="17" s="1"/>
  <c r="AE280" i="17"/>
  <c r="S239" i="15"/>
  <c r="R245" i="15"/>
  <c r="R118" i="15"/>
  <c r="T246" i="16"/>
  <c r="S251" i="16"/>
  <c r="S118" i="16" s="1"/>
  <c r="Q282" i="16"/>
  <c r="S244" i="15"/>
  <c r="Q280" i="15"/>
  <c r="R252" i="16"/>
  <c r="B118" i="17" l="1"/>
  <c r="B245" i="17"/>
  <c r="T251" i="16"/>
  <c r="R282" i="16"/>
  <c r="T252" i="16"/>
  <c r="U246" i="16"/>
  <c r="T118" i="16"/>
  <c r="S252" i="16"/>
  <c r="R280" i="15"/>
  <c r="T244" i="15"/>
  <c r="S245" i="15"/>
  <c r="T239" i="15"/>
  <c r="S118" i="15"/>
  <c r="AI118" i="17" l="1"/>
  <c r="AH118" i="17"/>
  <c r="S280" i="15"/>
  <c r="U244" i="15"/>
  <c r="U118" i="16"/>
  <c r="V246" i="16"/>
  <c r="T245" i="15"/>
  <c r="T118" i="15"/>
  <c r="U239" i="15"/>
  <c r="S282" i="16"/>
  <c r="U251" i="16"/>
  <c r="U252" i="16" s="1"/>
  <c r="U245" i="15" l="1"/>
  <c r="U118" i="15"/>
  <c r="V239" i="15"/>
  <c r="W246" i="16"/>
  <c r="T282" i="16"/>
  <c r="V251" i="16"/>
  <c r="V252" i="16" s="1"/>
  <c r="T280" i="15"/>
  <c r="V244" i="15"/>
  <c r="V118" i="16" l="1"/>
  <c r="X246" i="16"/>
  <c r="W251" i="16"/>
  <c r="W252" i="16" s="1"/>
  <c r="U282" i="16"/>
  <c r="W239" i="15"/>
  <c r="V245" i="15"/>
  <c r="V118" i="15"/>
  <c r="W244" i="15"/>
  <c r="U280" i="15"/>
  <c r="W245" i="15" l="1"/>
  <c r="X239" i="15"/>
  <c r="W118" i="15"/>
  <c r="V282" i="16"/>
  <c r="X251" i="16"/>
  <c r="Y246" i="16"/>
  <c r="X252" i="16"/>
  <c r="X118" i="16"/>
  <c r="X244" i="15"/>
  <c r="V280" i="15"/>
  <c r="W118" i="16"/>
  <c r="Z246" i="16" l="1"/>
  <c r="W282" i="16"/>
  <c r="Y251" i="16"/>
  <c r="Y118" i="16" s="1"/>
  <c r="X245" i="15"/>
  <c r="Y239" i="15"/>
  <c r="X118" i="15"/>
  <c r="W280" i="15"/>
  <c r="Y244" i="15"/>
  <c r="Y245" i="15" l="1"/>
  <c r="Z239" i="15"/>
  <c r="Y118" i="15"/>
  <c r="X282" i="16"/>
  <c r="Z251" i="16"/>
  <c r="Y252" i="16"/>
  <c r="X280" i="15"/>
  <c r="Z244" i="15"/>
  <c r="AA246" i="16"/>
  <c r="AA244" i="15" l="1"/>
  <c r="Y280" i="15"/>
  <c r="AA251" i="16"/>
  <c r="Y282" i="16"/>
  <c r="AA252" i="16"/>
  <c r="AA118" i="16"/>
  <c r="AB246" i="16"/>
  <c r="Z118" i="16"/>
  <c r="AA239" i="15"/>
  <c r="Z118" i="15"/>
  <c r="Z245" i="15"/>
  <c r="Z252" i="16"/>
  <c r="AC246" i="16" l="1"/>
  <c r="AB251" i="16"/>
  <c r="Z282" i="16"/>
  <c r="AA245" i="15"/>
  <c r="AB239" i="15"/>
  <c r="AA118" i="15"/>
  <c r="Z280" i="15"/>
  <c r="AB244" i="15"/>
  <c r="AA282" i="16" l="1"/>
  <c r="AC251" i="16"/>
  <c r="AC118" i="16" s="1"/>
  <c r="AB118" i="16"/>
  <c r="AB118" i="15"/>
  <c r="AB245" i="15"/>
  <c r="AC239" i="15"/>
  <c r="AA280" i="15"/>
  <c r="AC244" i="15"/>
  <c r="AD246" i="16"/>
  <c r="AB252" i="16"/>
  <c r="AC252" i="16" l="1"/>
  <c r="AB280" i="15"/>
  <c r="AD244" i="15"/>
  <c r="AC118" i="15"/>
  <c r="AC245" i="15"/>
  <c r="AD239" i="15"/>
  <c r="AE246" i="16"/>
  <c r="AD252" i="16"/>
  <c r="AB282" i="16"/>
  <c r="AD251" i="16"/>
  <c r="AF246" i="16" l="1"/>
  <c r="AE244" i="15"/>
  <c r="AC280" i="15"/>
  <c r="AD245" i="15"/>
  <c r="AE239" i="15"/>
  <c r="AE251" i="16"/>
  <c r="AC282" i="16"/>
  <c r="AD282" i="16" l="1"/>
  <c r="AF251" i="16"/>
  <c r="AE245" i="15"/>
  <c r="AF239" i="15"/>
  <c r="AE118" i="15"/>
  <c r="AE252" i="16"/>
  <c r="AF244" i="15"/>
  <c r="AD280" i="15"/>
  <c r="AE118" i="16"/>
  <c r="AF118" i="16"/>
  <c r="AF252" i="16"/>
  <c r="B246" i="16"/>
  <c r="AE280" i="15" l="1"/>
  <c r="B244" i="15"/>
  <c r="AF280" i="15" s="1"/>
  <c r="AF245" i="15"/>
  <c r="B239" i="15"/>
  <c r="AF118" i="15"/>
  <c r="B251" i="16"/>
  <c r="AF282" i="16" s="1"/>
  <c r="AE282" i="16"/>
  <c r="B245" i="15" l="1"/>
  <c r="B118" i="15"/>
  <c r="B118" i="16"/>
  <c r="B252" i="16"/>
  <c r="AH118" i="16" l="1"/>
  <c r="AI118" i="16"/>
  <c r="AI118" i="15"/>
  <c r="AH118" i="15"/>
  <c r="AE113" i="14" l="1"/>
  <c r="AE49" i="14"/>
  <c r="AF115" i="14"/>
  <c r="AF113" i="14"/>
  <c r="AF49" i="14"/>
  <c r="AE50" i="14"/>
  <c r="AF50" i="14"/>
  <c r="AE54" i="14"/>
  <c r="AF54" i="14"/>
  <c r="AE68" i="14"/>
  <c r="AF68" i="14"/>
  <c r="AE72" i="14"/>
  <c r="AF72" i="14"/>
  <c r="AE84" i="14"/>
  <c r="AE99" i="14" s="1"/>
  <c r="AF84" i="14"/>
  <c r="AD115" i="14"/>
  <c r="AD113" i="14"/>
  <c r="AD49" i="14"/>
  <c r="AE89" i="14" l="1"/>
  <c r="AE91" i="14" s="1"/>
  <c r="AE92" i="14" s="1"/>
  <c r="AE100" i="14"/>
  <c r="AF99" i="14"/>
  <c r="AF100" i="14" s="1"/>
  <c r="AF89" i="14"/>
  <c r="AF91" i="14" s="1"/>
  <c r="AF92" i="14" s="1"/>
  <c r="AC115" i="14"/>
  <c r="AC113" i="14"/>
  <c r="AC49" i="14"/>
  <c r="AB115" i="14"/>
  <c r="AB113" i="14"/>
  <c r="AB49" i="14"/>
  <c r="X68" i="14"/>
  <c r="X50" i="14"/>
  <c r="W49" i="14"/>
  <c r="U49" i="14"/>
  <c r="V49" i="14"/>
  <c r="T49" i="14"/>
  <c r="S115" i="14"/>
  <c r="S49" i="14"/>
  <c r="R50" i="14" l="1"/>
  <c r="R115" i="14"/>
  <c r="R49" i="14"/>
  <c r="R54" i="14"/>
  <c r="Q49" i="14" l="1"/>
  <c r="Q50" i="14"/>
  <c r="Q54" i="14"/>
  <c r="P115" i="14"/>
  <c r="P49" i="14"/>
  <c r="P50" i="14"/>
  <c r="P54" i="14"/>
  <c r="P68" i="14"/>
  <c r="P72" i="14"/>
  <c r="O49" i="14" l="1"/>
  <c r="O115" i="14"/>
  <c r="N115" i="14"/>
  <c r="M115" i="14"/>
  <c r="L115" i="14" l="1"/>
  <c r="L50" i="14"/>
  <c r="L54" i="14"/>
  <c r="L68" i="14"/>
  <c r="L72" i="14"/>
  <c r="L84" i="14"/>
  <c r="L99" i="14" s="1"/>
  <c r="L110" i="14"/>
  <c r="K115" i="14"/>
  <c r="K50" i="14"/>
  <c r="K54" i="14"/>
  <c r="K68" i="14"/>
  <c r="K72" i="14"/>
  <c r="K84" i="14"/>
  <c r="K110" i="14"/>
  <c r="J50" i="14"/>
  <c r="J54" i="14"/>
  <c r="J68" i="14"/>
  <c r="J72" i="14"/>
  <c r="J84" i="14"/>
  <c r="J99" i="14" s="1"/>
  <c r="J110" i="14"/>
  <c r="J115" i="14"/>
  <c r="L100" i="14" l="1"/>
  <c r="L89" i="14"/>
  <c r="L91" i="14" s="1"/>
  <c r="L92" i="14" s="1"/>
  <c r="J89" i="14"/>
  <c r="J91" i="14" s="1"/>
  <c r="J92" i="14" s="1"/>
  <c r="K89" i="14"/>
  <c r="K91" i="14" s="1"/>
  <c r="K99" i="14"/>
  <c r="K100" i="14" s="1"/>
  <c r="J100" i="14"/>
  <c r="K92" i="14" l="1"/>
  <c r="I115" i="14" l="1"/>
  <c r="H115" i="14"/>
  <c r="I50" i="14"/>
  <c r="I54" i="14"/>
  <c r="I68" i="14"/>
  <c r="I72" i="14"/>
  <c r="I84" i="14"/>
  <c r="I99" i="14" s="1"/>
  <c r="I110" i="14"/>
  <c r="H50" i="14"/>
  <c r="H54" i="14"/>
  <c r="H68" i="14"/>
  <c r="H72" i="14"/>
  <c r="H84" i="14"/>
  <c r="H99" i="14" s="1"/>
  <c r="H110" i="14"/>
  <c r="G50" i="14"/>
  <c r="G54" i="14"/>
  <c r="G68" i="14"/>
  <c r="G72" i="14"/>
  <c r="G84" i="14"/>
  <c r="G99" i="14" s="1"/>
  <c r="G110" i="14"/>
  <c r="F115" i="14"/>
  <c r="F50" i="14"/>
  <c r="F54" i="14"/>
  <c r="F68" i="14"/>
  <c r="F72" i="14"/>
  <c r="F84" i="14"/>
  <c r="F99" i="14" s="1"/>
  <c r="F110" i="14"/>
  <c r="E115" i="14"/>
  <c r="E50" i="14"/>
  <c r="E54" i="14"/>
  <c r="E68" i="14"/>
  <c r="E72" i="14"/>
  <c r="E84" i="14"/>
  <c r="E110" i="14"/>
  <c r="I89" i="14" l="1"/>
  <c r="I91" i="14" s="1"/>
  <c r="I92" i="14" s="1"/>
  <c r="I100" i="14"/>
  <c r="H89" i="14"/>
  <c r="H91" i="14" s="1"/>
  <c r="H92" i="14" s="1"/>
  <c r="H100" i="14"/>
  <c r="G89" i="14"/>
  <c r="G91" i="14" s="1"/>
  <c r="G92" i="14" s="1"/>
  <c r="G100" i="14"/>
  <c r="F89" i="14"/>
  <c r="F91" i="14" s="1"/>
  <c r="F92" i="14"/>
  <c r="F100" i="14"/>
  <c r="E99" i="14"/>
  <c r="E100" i="14" s="1"/>
  <c r="E89" i="14"/>
  <c r="E91" i="14" s="1"/>
  <c r="E92" i="14" s="1"/>
  <c r="D50" i="14"/>
  <c r="D54" i="14"/>
  <c r="D68" i="14"/>
  <c r="D72" i="14"/>
  <c r="D84" i="14"/>
  <c r="D99" i="14" s="1"/>
  <c r="D110" i="14"/>
  <c r="C50" i="14"/>
  <c r="C54" i="14"/>
  <c r="C68" i="14"/>
  <c r="C72" i="14"/>
  <c r="C84" i="14"/>
  <c r="C99" i="14" s="1"/>
  <c r="C110" i="14"/>
  <c r="B110" i="14"/>
  <c r="B84" i="14"/>
  <c r="B72" i="14"/>
  <c r="B68" i="14"/>
  <c r="B54" i="14"/>
  <c r="B50" i="14"/>
  <c r="AH11" i="14"/>
  <c r="AI11" i="14"/>
  <c r="D89" i="14" l="1"/>
  <c r="D91" i="14" s="1"/>
  <c r="D92" i="14" s="1"/>
  <c r="D100" i="14"/>
  <c r="C89" i="14"/>
  <c r="C91" i="14" s="1"/>
  <c r="C92" i="14" s="1"/>
  <c r="C100" i="14"/>
  <c r="B89" i="14"/>
  <c r="B91" i="14" s="1"/>
  <c r="B99" i="14"/>
  <c r="B100" i="14" s="1"/>
  <c r="B92" i="14" l="1"/>
  <c r="AF276" i="14" l="1"/>
  <c r="AE276" i="14"/>
  <c r="AD276" i="14"/>
  <c r="AC276" i="14"/>
  <c r="AB276" i="14"/>
  <c r="AA276" i="14"/>
  <c r="Z276" i="14"/>
  <c r="Y276" i="14"/>
  <c r="X276" i="14"/>
  <c r="W276" i="14"/>
  <c r="V276" i="14"/>
  <c r="U276" i="14"/>
  <c r="T276" i="14"/>
  <c r="S276" i="14"/>
  <c r="R276" i="14"/>
  <c r="Q276" i="14"/>
  <c r="P276" i="14"/>
  <c r="O276" i="14"/>
  <c r="N276" i="14"/>
  <c r="M276" i="14"/>
  <c r="L276" i="14"/>
  <c r="K276" i="14"/>
  <c r="J276" i="14"/>
  <c r="I276" i="14"/>
  <c r="H276" i="14"/>
  <c r="G276" i="14"/>
  <c r="F276" i="14"/>
  <c r="E276" i="14"/>
  <c r="D276" i="14"/>
  <c r="C276" i="14"/>
  <c r="B276" i="14"/>
  <c r="A276" i="14"/>
  <c r="AF275" i="14"/>
  <c r="AE275" i="14"/>
  <c r="AD275" i="14"/>
  <c r="AC275" i="14"/>
  <c r="AB275" i="14"/>
  <c r="AA275" i="14"/>
  <c r="Z275" i="14"/>
  <c r="Y275" i="14"/>
  <c r="X275" i="14"/>
  <c r="W275" i="14"/>
  <c r="V275" i="14"/>
  <c r="U275" i="14"/>
  <c r="T275" i="14"/>
  <c r="S275" i="14"/>
  <c r="R275" i="14"/>
  <c r="Q275" i="14"/>
  <c r="P275" i="14"/>
  <c r="O275" i="14"/>
  <c r="N275" i="14"/>
  <c r="M275" i="14"/>
  <c r="L275" i="14"/>
  <c r="K275" i="14"/>
  <c r="J275" i="14"/>
  <c r="I275" i="14"/>
  <c r="H275" i="14"/>
  <c r="G275" i="14"/>
  <c r="F275" i="14"/>
  <c r="E275" i="14"/>
  <c r="D275" i="14"/>
  <c r="C275" i="14"/>
  <c r="B275" i="14"/>
  <c r="A275" i="14"/>
  <c r="AF274" i="14"/>
  <c r="AE274" i="14"/>
  <c r="AD274" i="14"/>
  <c r="AC274" i="14"/>
  <c r="AB274" i="14"/>
  <c r="AA274" i="14"/>
  <c r="Z274" i="14"/>
  <c r="Y274" i="14"/>
  <c r="X274" i="14"/>
  <c r="W274" i="14"/>
  <c r="V274" i="14"/>
  <c r="U274" i="14"/>
  <c r="T274" i="14"/>
  <c r="S274" i="14"/>
  <c r="R274" i="14"/>
  <c r="Q274" i="14"/>
  <c r="P274" i="14"/>
  <c r="O274" i="14"/>
  <c r="N274" i="14"/>
  <c r="M274" i="14"/>
  <c r="L274" i="14"/>
  <c r="K274" i="14"/>
  <c r="J274" i="14"/>
  <c r="I274" i="14"/>
  <c r="H274" i="14"/>
  <c r="G274" i="14"/>
  <c r="F274" i="14"/>
  <c r="E274" i="14"/>
  <c r="D274" i="14"/>
  <c r="C274" i="14"/>
  <c r="B274" i="14"/>
  <c r="A274" i="14"/>
  <c r="AF273" i="14"/>
  <c r="AE273" i="14"/>
  <c r="AD273" i="14"/>
  <c r="AC273" i="14"/>
  <c r="AB273" i="14"/>
  <c r="AA273" i="14"/>
  <c r="Z273" i="14"/>
  <c r="Y273" i="14"/>
  <c r="X273" i="14"/>
  <c r="W273" i="14"/>
  <c r="V273" i="14"/>
  <c r="U273" i="14"/>
  <c r="T273" i="14"/>
  <c r="S273" i="14"/>
  <c r="R273" i="14"/>
  <c r="Q273" i="14"/>
  <c r="P273" i="14"/>
  <c r="O273" i="14"/>
  <c r="N273" i="14"/>
  <c r="M273" i="14"/>
  <c r="L273" i="14"/>
  <c r="K273" i="14"/>
  <c r="J273" i="14"/>
  <c r="I273" i="14"/>
  <c r="H273" i="14"/>
  <c r="G273" i="14"/>
  <c r="F273" i="14"/>
  <c r="E273" i="14"/>
  <c r="D273" i="14"/>
  <c r="C273" i="14"/>
  <c r="B273" i="14"/>
  <c r="A273" i="14"/>
  <c r="B272" i="14"/>
  <c r="S247" i="14"/>
  <c r="AG237" i="14"/>
  <c r="C237" i="14"/>
  <c r="D236" i="14"/>
  <c r="C272" i="14" s="1"/>
  <c r="D235" i="14"/>
  <c r="E235" i="14" s="1"/>
  <c r="F235" i="14" s="1"/>
  <c r="G235" i="14" s="1"/>
  <c r="H235" i="14" s="1"/>
  <c r="I235" i="14" s="1"/>
  <c r="J235" i="14" s="1"/>
  <c r="K235" i="14" s="1"/>
  <c r="L235" i="14" s="1"/>
  <c r="M235" i="14" s="1"/>
  <c r="N235" i="14" s="1"/>
  <c r="O235" i="14" s="1"/>
  <c r="P235" i="14" s="1"/>
  <c r="Q235" i="14" s="1"/>
  <c r="R235" i="14" s="1"/>
  <c r="S235" i="14" s="1"/>
  <c r="T235" i="14" s="1"/>
  <c r="U235" i="14" s="1"/>
  <c r="V235" i="14" s="1"/>
  <c r="W235" i="14" s="1"/>
  <c r="X235" i="14" s="1"/>
  <c r="Y235" i="14" s="1"/>
  <c r="Z235" i="14" s="1"/>
  <c r="AA235" i="14" s="1"/>
  <c r="AB235" i="14" s="1"/>
  <c r="AC235" i="14" s="1"/>
  <c r="AD235" i="14" s="1"/>
  <c r="AE235" i="14" s="1"/>
  <c r="AF235" i="14" s="1"/>
  <c r="B235" i="14" s="1"/>
  <c r="H234" i="14"/>
  <c r="I234" i="14" s="1"/>
  <c r="J234" i="14" s="1"/>
  <c r="K234" i="14" s="1"/>
  <c r="L234" i="14" s="1"/>
  <c r="M234" i="14" s="1"/>
  <c r="N234" i="14" s="1"/>
  <c r="O234" i="14" s="1"/>
  <c r="P234" i="14" s="1"/>
  <c r="Q234" i="14" s="1"/>
  <c r="R234" i="14" s="1"/>
  <c r="S234" i="14" s="1"/>
  <c r="T234" i="14" s="1"/>
  <c r="U234" i="14" s="1"/>
  <c r="V234" i="14" s="1"/>
  <c r="W234" i="14" s="1"/>
  <c r="X234" i="14" s="1"/>
  <c r="Y234" i="14" s="1"/>
  <c r="Z234" i="14" s="1"/>
  <c r="AA234" i="14" s="1"/>
  <c r="AB234" i="14" s="1"/>
  <c r="AC234" i="14" s="1"/>
  <c r="AD234" i="14" s="1"/>
  <c r="AE234" i="14" s="1"/>
  <c r="AF234" i="14" s="1"/>
  <c r="B234" i="14" s="1"/>
  <c r="E234" i="14"/>
  <c r="F234" i="14" s="1"/>
  <c r="G234" i="14" s="1"/>
  <c r="D234" i="14"/>
  <c r="F233" i="14"/>
  <c r="G233" i="14" s="1"/>
  <c r="H233" i="14" s="1"/>
  <c r="I233" i="14" s="1"/>
  <c r="J233" i="14" s="1"/>
  <c r="K233" i="14" s="1"/>
  <c r="L233" i="14" s="1"/>
  <c r="M233" i="14" s="1"/>
  <c r="N233" i="14" s="1"/>
  <c r="O233" i="14" s="1"/>
  <c r="P233" i="14" s="1"/>
  <c r="Q233" i="14" s="1"/>
  <c r="R233" i="14" s="1"/>
  <c r="S233" i="14" s="1"/>
  <c r="T233" i="14" s="1"/>
  <c r="U233" i="14" s="1"/>
  <c r="V233" i="14" s="1"/>
  <c r="W233" i="14" s="1"/>
  <c r="X233" i="14" s="1"/>
  <c r="Y233" i="14" s="1"/>
  <c r="Z233" i="14" s="1"/>
  <c r="AA233" i="14" s="1"/>
  <c r="AB233" i="14" s="1"/>
  <c r="AC233" i="14" s="1"/>
  <c r="AD233" i="14" s="1"/>
  <c r="AE233" i="14" s="1"/>
  <c r="AF233" i="14" s="1"/>
  <c r="B233" i="14" s="1"/>
  <c r="E233" i="14"/>
  <c r="D233" i="14"/>
  <c r="D232" i="14"/>
  <c r="E232" i="14" s="1"/>
  <c r="F232" i="14" s="1"/>
  <c r="G232" i="14" s="1"/>
  <c r="H232" i="14" s="1"/>
  <c r="I232" i="14" s="1"/>
  <c r="J232" i="14" s="1"/>
  <c r="K232" i="14" s="1"/>
  <c r="L232" i="14" s="1"/>
  <c r="M232" i="14" s="1"/>
  <c r="N232" i="14" s="1"/>
  <c r="O232" i="14" s="1"/>
  <c r="P232" i="14" s="1"/>
  <c r="Q232" i="14" s="1"/>
  <c r="R232" i="14" s="1"/>
  <c r="S232" i="14" s="1"/>
  <c r="T232" i="14" s="1"/>
  <c r="U232" i="14" s="1"/>
  <c r="V232" i="14" s="1"/>
  <c r="W232" i="14" s="1"/>
  <c r="X232" i="14" s="1"/>
  <c r="Y232" i="14" s="1"/>
  <c r="Z232" i="14" s="1"/>
  <c r="AA232" i="14" s="1"/>
  <c r="AB232" i="14" s="1"/>
  <c r="AC232" i="14" s="1"/>
  <c r="AD232" i="14" s="1"/>
  <c r="AE232" i="14" s="1"/>
  <c r="AF232" i="14" s="1"/>
  <c r="B232" i="14" s="1"/>
  <c r="D231" i="14"/>
  <c r="AG229" i="14"/>
  <c r="AF229" i="14"/>
  <c r="AE229" i="14"/>
  <c r="AD229" i="14"/>
  <c r="AC229" i="14"/>
  <c r="AB229" i="14"/>
  <c r="AA229" i="14"/>
  <c r="Z229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AI122" i="14"/>
  <c r="AH122" i="14"/>
  <c r="AI121" i="14"/>
  <c r="AH121" i="14"/>
  <c r="AI120" i="14"/>
  <c r="AH120" i="14"/>
  <c r="AI119" i="14"/>
  <c r="AH119" i="14"/>
  <c r="AI118" i="14"/>
  <c r="AH118" i="14"/>
  <c r="AI115" i="14"/>
  <c r="AH115" i="14"/>
  <c r="AI114" i="14"/>
  <c r="AH114" i="14"/>
  <c r="AI113" i="14"/>
  <c r="AH113" i="14"/>
  <c r="AI112" i="14"/>
  <c r="AH112" i="14"/>
  <c r="AI111" i="14"/>
  <c r="AH111" i="14"/>
  <c r="AI109" i="14"/>
  <c r="AH109" i="14"/>
  <c r="AI108" i="14"/>
  <c r="AH108" i="14"/>
  <c r="AI107" i="14"/>
  <c r="AH107" i="14"/>
  <c r="AI106" i="14"/>
  <c r="AH106" i="14"/>
  <c r="AI105" i="14"/>
  <c r="AH105" i="14"/>
  <c r="AI104" i="14"/>
  <c r="AH104" i="14"/>
  <c r="AI103" i="14"/>
  <c r="AH103" i="14"/>
  <c r="AI102" i="14"/>
  <c r="AH102" i="14"/>
  <c r="AI101" i="14"/>
  <c r="AH101" i="14"/>
  <c r="AI98" i="14"/>
  <c r="AH98" i="14"/>
  <c r="AI97" i="14"/>
  <c r="AH97" i="14"/>
  <c r="AI96" i="14"/>
  <c r="AH96" i="14"/>
  <c r="AI95" i="14"/>
  <c r="AH95" i="14"/>
  <c r="AI94" i="14"/>
  <c r="AH94" i="14"/>
  <c r="AI93" i="14"/>
  <c r="AH93" i="14"/>
  <c r="AI90" i="14"/>
  <c r="AH90" i="14"/>
  <c r="AI88" i="14"/>
  <c r="AH88" i="14"/>
  <c r="AG88" i="14"/>
  <c r="AI87" i="14"/>
  <c r="AH87" i="14"/>
  <c r="AI86" i="14"/>
  <c r="AH86" i="14"/>
  <c r="AI85" i="14"/>
  <c r="AH85" i="14"/>
  <c r="AG84" i="14"/>
  <c r="AE5" i="14"/>
  <c r="AD84" i="14"/>
  <c r="AC84" i="14"/>
  <c r="AB5" i="14" s="1"/>
  <c r="AB84" i="14"/>
  <c r="AA5" i="14" s="1"/>
  <c r="AA84" i="14"/>
  <c r="AA99" i="14" s="1"/>
  <c r="Z84" i="14"/>
  <c r="Y5" i="14" s="1"/>
  <c r="Y84" i="14"/>
  <c r="X5" i="14" s="1"/>
  <c r="X84" i="14"/>
  <c r="W5" i="14" s="1"/>
  <c r="W84" i="14"/>
  <c r="V84" i="14"/>
  <c r="U84" i="14"/>
  <c r="T5" i="14" s="1"/>
  <c r="T84" i="14"/>
  <c r="S5" i="14" s="1"/>
  <c r="S84" i="14"/>
  <c r="R84" i="14"/>
  <c r="R99" i="14" s="1"/>
  <c r="R100" i="14" s="1"/>
  <c r="Q84" i="14"/>
  <c r="P5" i="14" s="1"/>
  <c r="P84" i="14"/>
  <c r="O5" i="14" s="1"/>
  <c r="O84" i="14"/>
  <c r="N84" i="14"/>
  <c r="M84" i="14"/>
  <c r="L5" i="14" s="1"/>
  <c r="G5" i="14"/>
  <c r="AI83" i="14"/>
  <c r="AH83" i="14"/>
  <c r="AI82" i="14"/>
  <c r="AH82" i="14"/>
  <c r="AI81" i="14"/>
  <c r="AH81" i="14"/>
  <c r="AI80" i="14"/>
  <c r="AH80" i="14"/>
  <c r="AI79" i="14"/>
  <c r="AH79" i="14"/>
  <c r="AI78" i="14"/>
  <c r="AH78" i="14"/>
  <c r="AI77" i="14"/>
  <c r="AH77" i="14"/>
  <c r="AI76" i="14"/>
  <c r="AH76" i="14"/>
  <c r="AI75" i="14"/>
  <c r="AH75" i="14"/>
  <c r="AI74" i="14"/>
  <c r="AH74" i="14"/>
  <c r="AI73" i="14"/>
  <c r="AH73" i="14"/>
  <c r="AG72" i="14"/>
  <c r="AD72" i="14"/>
  <c r="AC72" i="14"/>
  <c r="AB72" i="14"/>
  <c r="AA72" i="14"/>
  <c r="Z72" i="14"/>
  <c r="Y72" i="14"/>
  <c r="W72" i="14"/>
  <c r="V72" i="14"/>
  <c r="U72" i="14"/>
  <c r="T72" i="14"/>
  <c r="S72" i="14"/>
  <c r="R72" i="14"/>
  <c r="Q72" i="14"/>
  <c r="O72" i="14"/>
  <c r="N72" i="14"/>
  <c r="M72" i="14"/>
  <c r="AI71" i="14"/>
  <c r="AH71" i="14"/>
  <c r="AI70" i="14"/>
  <c r="AH70" i="14"/>
  <c r="AI69" i="14"/>
  <c r="AH69" i="14"/>
  <c r="AD68" i="14"/>
  <c r="AC68" i="14"/>
  <c r="AB68" i="14"/>
  <c r="AA68" i="14"/>
  <c r="Z68" i="14"/>
  <c r="Y68" i="14"/>
  <c r="W68" i="14"/>
  <c r="V68" i="14"/>
  <c r="U68" i="14"/>
  <c r="T68" i="14"/>
  <c r="S68" i="14"/>
  <c r="R68" i="14"/>
  <c r="Q68" i="14"/>
  <c r="O68" i="14"/>
  <c r="N68" i="14"/>
  <c r="M68" i="14"/>
  <c r="AI67" i="14"/>
  <c r="AH67" i="14"/>
  <c r="AG67" i="14"/>
  <c r="AG68" i="14" s="1"/>
  <c r="AG91" i="14" s="1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I56" i="14"/>
  <c r="AH56" i="14"/>
  <c r="AI55" i="14"/>
  <c r="AH55" i="14"/>
  <c r="AG54" i="14"/>
  <c r="AD54" i="14"/>
  <c r="AC54" i="14"/>
  <c r="AB54" i="14"/>
  <c r="AA54" i="14"/>
  <c r="Z54" i="14"/>
  <c r="Y54" i="14"/>
  <c r="W54" i="14"/>
  <c r="V54" i="14"/>
  <c r="U54" i="14"/>
  <c r="T54" i="14"/>
  <c r="S54" i="14"/>
  <c r="O54" i="14"/>
  <c r="N54" i="14"/>
  <c r="M54" i="14"/>
  <c r="AI53" i="14"/>
  <c r="AH53" i="14"/>
  <c r="AI52" i="14"/>
  <c r="AH52" i="14"/>
  <c r="AI51" i="14"/>
  <c r="AH51" i="14"/>
  <c r="AG50" i="14"/>
  <c r="AD50" i="14"/>
  <c r="AC50" i="14"/>
  <c r="AB50" i="14"/>
  <c r="AA50" i="14"/>
  <c r="Z50" i="14"/>
  <c r="Y50" i="14"/>
  <c r="W50" i="14"/>
  <c r="V50" i="14"/>
  <c r="U50" i="14"/>
  <c r="T50" i="14"/>
  <c r="S50" i="14"/>
  <c r="O50" i="14"/>
  <c r="N50" i="14"/>
  <c r="M50" i="14"/>
  <c r="X251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F5" i="14"/>
  <c r="K5" i="14"/>
  <c r="J5" i="14"/>
  <c r="I5" i="14"/>
  <c r="H5" i="14"/>
  <c r="D5" i="14"/>
  <c r="C5" i="14"/>
  <c r="B5" i="14"/>
  <c r="AG4" i="14"/>
  <c r="K4" i="14"/>
  <c r="E4" i="14"/>
  <c r="H4" i="14" s="1"/>
  <c r="B4" i="14"/>
  <c r="S248" i="14" s="1"/>
  <c r="AG3" i="14"/>
  <c r="AG2" i="14"/>
  <c r="AG6" i="14" s="1"/>
  <c r="AF50" i="13"/>
  <c r="AF54" i="13"/>
  <c r="AF68" i="13"/>
  <c r="AF72" i="13"/>
  <c r="AF84" i="13"/>
  <c r="AF99" i="13" s="1"/>
  <c r="AF110" i="13"/>
  <c r="AD89" i="14" l="1"/>
  <c r="AD91" i="14" s="1"/>
  <c r="AV251" i="14" s="1"/>
  <c r="AC89" i="14"/>
  <c r="AC91" i="14" s="1"/>
  <c r="AU251" i="14" s="1"/>
  <c r="AB89" i="14"/>
  <c r="AB91" i="14" s="1"/>
  <c r="Z5" i="14"/>
  <c r="AA100" i="14"/>
  <c r="Z99" i="14"/>
  <c r="Z100" i="14" s="1"/>
  <c r="Z89" i="14"/>
  <c r="Z91" i="14" s="1"/>
  <c r="AA89" i="14"/>
  <c r="AA91" i="14" s="1"/>
  <c r="AA92" i="14" s="1"/>
  <c r="AA7" i="14" s="1"/>
  <c r="Y99" i="14"/>
  <c r="Y100" i="14"/>
  <c r="Y89" i="14"/>
  <c r="Y91" i="14" s="1"/>
  <c r="AQ251" i="14" s="1"/>
  <c r="X99" i="14"/>
  <c r="V89" i="14"/>
  <c r="V91" i="14" s="1"/>
  <c r="AN251" i="14" s="1"/>
  <c r="U89" i="14"/>
  <c r="U91" i="14" s="1"/>
  <c r="U92" i="14" s="1"/>
  <c r="U7" i="14" s="1"/>
  <c r="T89" i="14"/>
  <c r="T91" i="14" s="1"/>
  <c r="R5" i="14"/>
  <c r="S99" i="14"/>
  <c r="S100" i="14" s="1"/>
  <c r="S89" i="14"/>
  <c r="S91" i="14" s="1"/>
  <c r="R89" i="14"/>
  <c r="R91" i="14" s="1"/>
  <c r="Q5" i="14"/>
  <c r="Q89" i="14"/>
  <c r="Q91" i="14" s="1"/>
  <c r="Q99" i="14"/>
  <c r="Q100" i="14" s="1"/>
  <c r="AI68" i="14"/>
  <c r="N89" i="14"/>
  <c r="N91" i="14" s="1"/>
  <c r="AF251" i="14" s="1"/>
  <c r="AI54" i="14"/>
  <c r="AI50" i="14"/>
  <c r="M89" i="14"/>
  <c r="M91" i="14" s="1"/>
  <c r="AE251" i="14" s="1"/>
  <c r="D248" i="14"/>
  <c r="S92" i="14"/>
  <c r="S7" i="14" s="1"/>
  <c r="AK251" i="14"/>
  <c r="AL251" i="14"/>
  <c r="W251" i="14"/>
  <c r="E7" i="14"/>
  <c r="AT251" i="14"/>
  <c r="I7" i="14"/>
  <c r="AA251" i="14"/>
  <c r="K7" i="14"/>
  <c r="AC251" i="14"/>
  <c r="V251" i="14"/>
  <c r="AD251" i="14"/>
  <c r="F5" i="14"/>
  <c r="D237" i="14"/>
  <c r="E231" i="14"/>
  <c r="O89" i="14"/>
  <c r="O91" i="14" s="1"/>
  <c r="P89" i="14"/>
  <c r="P91" i="14" s="1"/>
  <c r="X89" i="14"/>
  <c r="X91" i="14" s="1"/>
  <c r="AI84" i="14"/>
  <c r="W99" i="14"/>
  <c r="W100" i="14" s="1"/>
  <c r="V5" i="14"/>
  <c r="W89" i="14"/>
  <c r="W91" i="14" s="1"/>
  <c r="AG89" i="14"/>
  <c r="AH54" i="14"/>
  <c r="E236" i="14"/>
  <c r="AI251" i="14"/>
  <c r="J7" i="14"/>
  <c r="AB251" i="14"/>
  <c r="R92" i="14"/>
  <c r="R7" i="14" s="1"/>
  <c r="AJ251" i="14"/>
  <c r="Z92" i="14"/>
  <c r="Z7" i="14" s="1"/>
  <c r="AR251" i="14"/>
  <c r="AI72" i="14"/>
  <c r="AB100" i="14"/>
  <c r="P99" i="14"/>
  <c r="P100" i="14" s="1"/>
  <c r="AD5" i="14"/>
  <c r="O99" i="14"/>
  <c r="O100" i="14" s="1"/>
  <c r="N5" i="14"/>
  <c r="F7" i="14"/>
  <c r="E5" i="14"/>
  <c r="N99" i="14"/>
  <c r="M5" i="14"/>
  <c r="V99" i="14"/>
  <c r="V100" i="14" s="1"/>
  <c r="U5" i="14"/>
  <c r="AD99" i="14"/>
  <c r="AC5" i="14"/>
  <c r="X100" i="14"/>
  <c r="AH68" i="14"/>
  <c r="AH72" i="14"/>
  <c r="AH84" i="14"/>
  <c r="D7" i="14"/>
  <c r="T99" i="14"/>
  <c r="T92" i="14" s="1"/>
  <c r="T7" i="14" s="1"/>
  <c r="AB99" i="14"/>
  <c r="M99" i="14"/>
  <c r="M100" i="14" s="1"/>
  <c r="U99" i="14"/>
  <c r="U100" i="14" s="1"/>
  <c r="AC99" i="14"/>
  <c r="AC100" i="14" s="1"/>
  <c r="AH50" i="14"/>
  <c r="AF89" i="13"/>
  <c r="AF91" i="13" s="1"/>
  <c r="AF92" i="13" s="1"/>
  <c r="AF100" i="13"/>
  <c r="AE50" i="13"/>
  <c r="AE54" i="13"/>
  <c r="AE68" i="13"/>
  <c r="AE72" i="13"/>
  <c r="AE84" i="13"/>
  <c r="AE110" i="13"/>
  <c r="AD92" i="14" l="1"/>
  <c r="AD7" i="14" s="1"/>
  <c r="AC92" i="14"/>
  <c r="AC7" i="14" s="1"/>
  <c r="AB92" i="14"/>
  <c r="AB7" i="14" s="1"/>
  <c r="AS251" i="14"/>
  <c r="Y92" i="14"/>
  <c r="Y7" i="14" s="1"/>
  <c r="V92" i="14"/>
  <c r="V7" i="14" s="1"/>
  <c r="AM251" i="14"/>
  <c r="Q92" i="14"/>
  <c r="Q7" i="14" s="1"/>
  <c r="AH89" i="14"/>
  <c r="N92" i="14"/>
  <c r="N7" i="14" s="1"/>
  <c r="AI99" i="14"/>
  <c r="AI91" i="14"/>
  <c r="AH91" i="14"/>
  <c r="T251" i="14"/>
  <c r="X92" i="14"/>
  <c r="X7" i="14" s="1"/>
  <c r="AP251" i="14"/>
  <c r="N100" i="14"/>
  <c r="Y251" i="14"/>
  <c r="C246" i="14"/>
  <c r="B246" i="14"/>
  <c r="G7" i="14"/>
  <c r="P92" i="14"/>
  <c r="P7" i="14" s="1"/>
  <c r="AH251" i="14"/>
  <c r="M92" i="14"/>
  <c r="M7" i="14" s="1"/>
  <c r="AH99" i="14"/>
  <c r="AD100" i="14"/>
  <c r="D272" i="14"/>
  <c r="F236" i="14"/>
  <c r="H7" i="14"/>
  <c r="Z251" i="14"/>
  <c r="AH100" i="14"/>
  <c r="AW251" i="14"/>
  <c r="AE7" i="14"/>
  <c r="L7" i="14"/>
  <c r="T100" i="14"/>
  <c r="AG251" i="14"/>
  <c r="O92" i="14"/>
  <c r="O7" i="14" s="1"/>
  <c r="AF7" i="14"/>
  <c r="AX251" i="14"/>
  <c r="AO251" i="14"/>
  <c r="W92" i="14"/>
  <c r="W7" i="14" s="1"/>
  <c r="AI89" i="14"/>
  <c r="F231" i="14"/>
  <c r="E237" i="14"/>
  <c r="AE99" i="13"/>
  <c r="AE100" i="13" s="1"/>
  <c r="AE89" i="13"/>
  <c r="AE91" i="13" s="1"/>
  <c r="AE92" i="13" s="1"/>
  <c r="AD50" i="13"/>
  <c r="AD54" i="13"/>
  <c r="AD68" i="13"/>
  <c r="AD72" i="13"/>
  <c r="AD84" i="13"/>
  <c r="AD99" i="13" s="1"/>
  <c r="AD110" i="13"/>
  <c r="AC50" i="13"/>
  <c r="AC54" i="13"/>
  <c r="AC68" i="13"/>
  <c r="AC72" i="13"/>
  <c r="AC84" i="13"/>
  <c r="AC99" i="13" s="1"/>
  <c r="AC110" i="13"/>
  <c r="AB50" i="13"/>
  <c r="AB54" i="13"/>
  <c r="AB68" i="13"/>
  <c r="AB72" i="13"/>
  <c r="AB84" i="13"/>
  <c r="AB99" i="13" s="1"/>
  <c r="AB110" i="13"/>
  <c r="AA115" i="13"/>
  <c r="Y115" i="13"/>
  <c r="Z115" i="13"/>
  <c r="K6" i="14" l="1"/>
  <c r="E272" i="14"/>
  <c r="G236" i="14"/>
  <c r="AI92" i="14"/>
  <c r="AH92" i="14"/>
  <c r="B7" i="14"/>
  <c r="A7" i="14" s="1"/>
  <c r="G231" i="14"/>
  <c r="F237" i="14"/>
  <c r="C7" i="14"/>
  <c r="U251" i="14"/>
  <c r="AI100" i="14"/>
  <c r="AD89" i="13"/>
  <c r="AD91" i="13" s="1"/>
  <c r="AD92" i="13" s="1"/>
  <c r="AD100" i="13"/>
  <c r="AC100" i="13"/>
  <c r="AC89" i="13"/>
  <c r="AC91" i="13" s="1"/>
  <c r="AC92" i="13" s="1"/>
  <c r="AB100" i="13"/>
  <c r="AB89" i="13"/>
  <c r="AB91" i="13" s="1"/>
  <c r="AB92" i="13" s="1"/>
  <c r="X115" i="13"/>
  <c r="X72" i="13"/>
  <c r="X68" i="13"/>
  <c r="X54" i="13"/>
  <c r="X50" i="13"/>
  <c r="H231" i="14" l="1"/>
  <c r="G237" i="14"/>
  <c r="F272" i="14"/>
  <c r="H236" i="14"/>
  <c r="G272" i="14" l="1"/>
  <c r="I236" i="14"/>
  <c r="I231" i="14"/>
  <c r="H237" i="14"/>
  <c r="I237" i="14" l="1"/>
  <c r="J231" i="14"/>
  <c r="H272" i="14"/>
  <c r="J236" i="14"/>
  <c r="J237" i="14" l="1"/>
  <c r="K231" i="14"/>
  <c r="K236" i="14"/>
  <c r="I272" i="14"/>
  <c r="L236" i="14" l="1"/>
  <c r="J272" i="14"/>
  <c r="K237" i="14"/>
  <c r="L231" i="14"/>
  <c r="L237" i="14" l="1"/>
  <c r="M231" i="14"/>
  <c r="M236" i="14"/>
  <c r="K272" i="14"/>
  <c r="L272" i="14" l="1"/>
  <c r="N236" i="14"/>
  <c r="N231" i="14"/>
  <c r="M237" i="14"/>
  <c r="M110" i="14"/>
  <c r="O231" i="14" l="1"/>
  <c r="N110" i="14"/>
  <c r="N237" i="14"/>
  <c r="M272" i="14"/>
  <c r="O236" i="14"/>
  <c r="N272" i="14" l="1"/>
  <c r="P236" i="14"/>
  <c r="P231" i="14"/>
  <c r="O110" i="14"/>
  <c r="O237" i="14"/>
  <c r="O272" i="14" l="1"/>
  <c r="Q236" i="14"/>
  <c r="Q231" i="14"/>
  <c r="P237" i="14"/>
  <c r="Q237" i="14" l="1"/>
  <c r="Q110" i="14"/>
  <c r="R231" i="14"/>
  <c r="P272" i="14"/>
  <c r="R236" i="14"/>
  <c r="S236" i="14" l="1"/>
  <c r="Q272" i="14"/>
  <c r="R237" i="14"/>
  <c r="R110" i="14"/>
  <c r="S231" i="14"/>
  <c r="S237" i="14" l="1"/>
  <c r="S110" i="14"/>
  <c r="T231" i="14"/>
  <c r="T236" i="14"/>
  <c r="R272" i="14"/>
  <c r="S272" i="14" l="1"/>
  <c r="U236" i="14"/>
  <c r="T237" i="14"/>
  <c r="T110" i="14"/>
  <c r="U231" i="14"/>
  <c r="V231" i="14" l="1"/>
  <c r="U110" i="14"/>
  <c r="U237" i="14"/>
  <c r="T272" i="14"/>
  <c r="V236" i="14"/>
  <c r="U272" i="14" l="1"/>
  <c r="W236" i="14"/>
  <c r="W231" i="14"/>
  <c r="V110" i="14"/>
  <c r="V237" i="14"/>
  <c r="X231" i="14" l="1"/>
  <c r="W237" i="14"/>
  <c r="W110" i="14"/>
  <c r="V272" i="14"/>
  <c r="X236" i="14"/>
  <c r="W272" i="14" l="1"/>
  <c r="Y236" i="14"/>
  <c r="Y231" i="14"/>
  <c r="X237" i="14"/>
  <c r="X110" i="14"/>
  <c r="V49" i="13"/>
  <c r="Y237" i="14" l="1"/>
  <c r="Y110" i="14"/>
  <c r="Z231" i="14"/>
  <c r="X272" i="14"/>
  <c r="Z236" i="14"/>
  <c r="AA236" i="14" l="1"/>
  <c r="Y272" i="14"/>
  <c r="Z237" i="14"/>
  <c r="Z110" i="14"/>
  <c r="AA231" i="14"/>
  <c r="AA237" i="14" l="1"/>
  <c r="AA110" i="14"/>
  <c r="AB231" i="14"/>
  <c r="Z272" i="14"/>
  <c r="AB236" i="14"/>
  <c r="AA272" i="14" l="1"/>
  <c r="AC236" i="14"/>
  <c r="AB237" i="14"/>
  <c r="AB110" i="14"/>
  <c r="AC231" i="14"/>
  <c r="AD231" i="14" l="1"/>
  <c r="AC237" i="14"/>
  <c r="AC110" i="14"/>
  <c r="AB272" i="14"/>
  <c r="AD236" i="14"/>
  <c r="AC272" i="14" l="1"/>
  <c r="AE236" i="14"/>
  <c r="AE231" i="14"/>
  <c r="AD237" i="14"/>
  <c r="AF231" i="14" l="1"/>
  <c r="AE237" i="14"/>
  <c r="AD272" i="14"/>
  <c r="AF236" i="14"/>
  <c r="B236" i="14" l="1"/>
  <c r="AF272" i="14" s="1"/>
  <c r="AE272" i="14"/>
  <c r="AF237" i="14"/>
  <c r="B231" i="14"/>
  <c r="B237" i="14" l="1"/>
  <c r="AI110" i="14" l="1"/>
  <c r="AH110" i="14"/>
  <c r="U115" i="13" l="1"/>
  <c r="U113" i="13"/>
  <c r="U49" i="13"/>
  <c r="T115" i="13"/>
  <c r="T113" i="13"/>
  <c r="T49" i="13"/>
  <c r="S115" i="13"/>
  <c r="S113" i="13"/>
  <c r="S49" i="13"/>
  <c r="R115" i="13"/>
  <c r="R113" i="13"/>
  <c r="R49" i="13"/>
  <c r="Q115" i="13"/>
  <c r="Q113" i="13"/>
  <c r="Q49" i="13"/>
  <c r="P115" i="13"/>
  <c r="P113" i="13"/>
  <c r="P49" i="13"/>
  <c r="P50" i="13"/>
  <c r="O115" i="13"/>
  <c r="O113" i="13"/>
  <c r="O49" i="13"/>
  <c r="N115" i="13" l="1"/>
  <c r="N113" i="13"/>
  <c r="N49" i="13"/>
  <c r="M115" i="13" l="1"/>
  <c r="M113" i="13"/>
  <c r="M49" i="13"/>
  <c r="L115" i="13"/>
  <c r="L49" i="13"/>
  <c r="K115" i="13"/>
  <c r="K49" i="13"/>
  <c r="J115" i="13"/>
  <c r="I115" i="13"/>
  <c r="H115" i="13"/>
  <c r="G115" i="13"/>
  <c r="G49" i="13"/>
  <c r="F115" i="13"/>
  <c r="E115" i="13" l="1"/>
  <c r="E49" i="13"/>
  <c r="AH117" i="13" l="1"/>
  <c r="AI117" i="13"/>
  <c r="AH116" i="13"/>
  <c r="AI116" i="13"/>
  <c r="AF276" i="13"/>
  <c r="AE276" i="13"/>
  <c r="AD276" i="13"/>
  <c r="AC276" i="13"/>
  <c r="AB276" i="13"/>
  <c r="AA276" i="13"/>
  <c r="Z276" i="13"/>
  <c r="Y276" i="13"/>
  <c r="X276" i="13"/>
  <c r="W276" i="13"/>
  <c r="V276" i="13"/>
  <c r="U276" i="13"/>
  <c r="T276" i="13"/>
  <c r="S276" i="13"/>
  <c r="R276" i="13"/>
  <c r="Q276" i="13"/>
  <c r="P276" i="13"/>
  <c r="O276" i="13"/>
  <c r="N276" i="13"/>
  <c r="M276" i="13"/>
  <c r="L276" i="13"/>
  <c r="K276" i="13"/>
  <c r="J276" i="13"/>
  <c r="I276" i="13"/>
  <c r="H276" i="13"/>
  <c r="G276" i="13"/>
  <c r="F276" i="13"/>
  <c r="E276" i="13"/>
  <c r="D276" i="13"/>
  <c r="C276" i="13"/>
  <c r="B276" i="13"/>
  <c r="A276" i="13"/>
  <c r="AF275" i="13"/>
  <c r="AE275" i="13"/>
  <c r="AD275" i="13"/>
  <c r="AC275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O275" i="13"/>
  <c r="N275" i="13"/>
  <c r="M275" i="13"/>
  <c r="L275" i="13"/>
  <c r="K275" i="13"/>
  <c r="J275" i="13"/>
  <c r="I275" i="13"/>
  <c r="H275" i="13"/>
  <c r="G275" i="13"/>
  <c r="F275" i="13"/>
  <c r="E275" i="13"/>
  <c r="D275" i="13"/>
  <c r="C275" i="13"/>
  <c r="B275" i="13"/>
  <c r="A275" i="13"/>
  <c r="AF274" i="13"/>
  <c r="AE274" i="13"/>
  <c r="AD274" i="13"/>
  <c r="AC274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O274" i="13"/>
  <c r="N274" i="13"/>
  <c r="M274" i="13"/>
  <c r="L274" i="13"/>
  <c r="K274" i="13"/>
  <c r="J274" i="13"/>
  <c r="I274" i="13"/>
  <c r="H274" i="13"/>
  <c r="G274" i="13"/>
  <c r="F274" i="13"/>
  <c r="E274" i="13"/>
  <c r="D274" i="13"/>
  <c r="C274" i="13"/>
  <c r="B274" i="13"/>
  <c r="A274" i="13"/>
  <c r="AF273" i="13"/>
  <c r="AE273" i="13"/>
  <c r="AD273" i="13"/>
  <c r="AC273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O273" i="13"/>
  <c r="N273" i="13"/>
  <c r="M273" i="13"/>
  <c r="L273" i="13"/>
  <c r="K273" i="13"/>
  <c r="J273" i="13"/>
  <c r="I273" i="13"/>
  <c r="H273" i="13"/>
  <c r="G273" i="13"/>
  <c r="F273" i="13"/>
  <c r="E273" i="13"/>
  <c r="D273" i="13"/>
  <c r="C273" i="13"/>
  <c r="B273" i="13"/>
  <c r="A273" i="13"/>
  <c r="B272" i="13"/>
  <c r="S247" i="13"/>
  <c r="AG237" i="13"/>
  <c r="C237" i="13"/>
  <c r="D236" i="13"/>
  <c r="C272" i="13" s="1"/>
  <c r="E235" i="13"/>
  <c r="F235" i="13" s="1"/>
  <c r="G235" i="13" s="1"/>
  <c r="H235" i="13" s="1"/>
  <c r="I235" i="13" s="1"/>
  <c r="J235" i="13" s="1"/>
  <c r="K235" i="13" s="1"/>
  <c r="L235" i="13" s="1"/>
  <c r="M235" i="13" s="1"/>
  <c r="N235" i="13" s="1"/>
  <c r="O235" i="13" s="1"/>
  <c r="P235" i="13" s="1"/>
  <c r="Q235" i="13" s="1"/>
  <c r="R235" i="13" s="1"/>
  <c r="S235" i="13" s="1"/>
  <c r="T235" i="13" s="1"/>
  <c r="U235" i="13" s="1"/>
  <c r="V235" i="13" s="1"/>
  <c r="W235" i="13" s="1"/>
  <c r="X235" i="13" s="1"/>
  <c r="Y235" i="13" s="1"/>
  <c r="Z235" i="13" s="1"/>
  <c r="AA235" i="13" s="1"/>
  <c r="AB235" i="13" s="1"/>
  <c r="AC235" i="13" s="1"/>
  <c r="AD235" i="13" s="1"/>
  <c r="AE235" i="13" s="1"/>
  <c r="AF235" i="13" s="1"/>
  <c r="B235" i="13" s="1"/>
  <c r="D235" i="13"/>
  <c r="H234" i="13"/>
  <c r="I234" i="13" s="1"/>
  <c r="J234" i="13" s="1"/>
  <c r="K234" i="13" s="1"/>
  <c r="L234" i="13" s="1"/>
  <c r="M234" i="13" s="1"/>
  <c r="N234" i="13" s="1"/>
  <c r="O234" i="13" s="1"/>
  <c r="P234" i="13" s="1"/>
  <c r="Q234" i="13" s="1"/>
  <c r="R234" i="13" s="1"/>
  <c r="S234" i="13" s="1"/>
  <c r="T234" i="13" s="1"/>
  <c r="U234" i="13" s="1"/>
  <c r="V234" i="13" s="1"/>
  <c r="W234" i="13" s="1"/>
  <c r="X234" i="13" s="1"/>
  <c r="Y234" i="13" s="1"/>
  <c r="Z234" i="13" s="1"/>
  <c r="AA234" i="13" s="1"/>
  <c r="AB234" i="13" s="1"/>
  <c r="AC234" i="13" s="1"/>
  <c r="AD234" i="13" s="1"/>
  <c r="AE234" i="13" s="1"/>
  <c r="AF234" i="13" s="1"/>
  <c r="B234" i="13" s="1"/>
  <c r="E234" i="13"/>
  <c r="F234" i="13" s="1"/>
  <c r="G234" i="13" s="1"/>
  <c r="D234" i="13"/>
  <c r="F233" i="13"/>
  <c r="G233" i="13" s="1"/>
  <c r="H233" i="13" s="1"/>
  <c r="I233" i="13" s="1"/>
  <c r="J233" i="13" s="1"/>
  <c r="K233" i="13" s="1"/>
  <c r="L233" i="13" s="1"/>
  <c r="M233" i="13" s="1"/>
  <c r="N233" i="13" s="1"/>
  <c r="O233" i="13" s="1"/>
  <c r="P233" i="13" s="1"/>
  <c r="Q233" i="13" s="1"/>
  <c r="R233" i="13" s="1"/>
  <c r="S233" i="13" s="1"/>
  <c r="T233" i="13" s="1"/>
  <c r="U233" i="13" s="1"/>
  <c r="V233" i="13" s="1"/>
  <c r="W233" i="13" s="1"/>
  <c r="X233" i="13" s="1"/>
  <c r="Y233" i="13" s="1"/>
  <c r="Z233" i="13" s="1"/>
  <c r="AA233" i="13" s="1"/>
  <c r="AB233" i="13" s="1"/>
  <c r="AC233" i="13" s="1"/>
  <c r="AD233" i="13" s="1"/>
  <c r="AE233" i="13" s="1"/>
  <c r="AF233" i="13" s="1"/>
  <c r="B233" i="13" s="1"/>
  <c r="E233" i="13"/>
  <c r="D233" i="13"/>
  <c r="L232" i="13"/>
  <c r="M232" i="13" s="1"/>
  <c r="N232" i="13" s="1"/>
  <c r="O232" i="13" s="1"/>
  <c r="P232" i="13" s="1"/>
  <c r="Q232" i="13" s="1"/>
  <c r="R232" i="13" s="1"/>
  <c r="S232" i="13" s="1"/>
  <c r="T232" i="13" s="1"/>
  <c r="U232" i="13" s="1"/>
  <c r="V232" i="13" s="1"/>
  <c r="W232" i="13" s="1"/>
  <c r="X232" i="13" s="1"/>
  <c r="Y232" i="13" s="1"/>
  <c r="Z232" i="13" s="1"/>
  <c r="AA232" i="13" s="1"/>
  <c r="AB232" i="13" s="1"/>
  <c r="AC232" i="13" s="1"/>
  <c r="AD232" i="13" s="1"/>
  <c r="AE232" i="13" s="1"/>
  <c r="AF232" i="13" s="1"/>
  <c r="B232" i="13" s="1"/>
  <c r="E232" i="13"/>
  <c r="F232" i="13" s="1"/>
  <c r="G232" i="13" s="1"/>
  <c r="H232" i="13" s="1"/>
  <c r="I232" i="13" s="1"/>
  <c r="J232" i="13" s="1"/>
  <c r="K232" i="13" s="1"/>
  <c r="D232" i="13"/>
  <c r="E231" i="13"/>
  <c r="F231" i="13" s="1"/>
  <c r="D231" i="13"/>
  <c r="AG229" i="13"/>
  <c r="AF229" i="13"/>
  <c r="AE229" i="13"/>
  <c r="AD229" i="13"/>
  <c r="AC229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AI122" i="13"/>
  <c r="AH122" i="13"/>
  <c r="AI121" i="13"/>
  <c r="AH121" i="13"/>
  <c r="AI120" i="13"/>
  <c r="AH120" i="13"/>
  <c r="AI119" i="13"/>
  <c r="AH119" i="13"/>
  <c r="AI118" i="13"/>
  <c r="AH118" i="13"/>
  <c r="AI115" i="13"/>
  <c r="AH115" i="13"/>
  <c r="AI114" i="13"/>
  <c r="AH114" i="13"/>
  <c r="AI113" i="13"/>
  <c r="AH113" i="13"/>
  <c r="AI112" i="13"/>
  <c r="AH112" i="13"/>
  <c r="AI111" i="13"/>
  <c r="AH111" i="13"/>
  <c r="C110" i="13"/>
  <c r="AI109" i="13"/>
  <c r="AH109" i="13"/>
  <c r="AI108" i="13"/>
  <c r="AH108" i="13"/>
  <c r="AI107" i="13"/>
  <c r="AH107" i="13"/>
  <c r="AI106" i="13"/>
  <c r="AH106" i="13"/>
  <c r="AI105" i="13"/>
  <c r="AH105" i="13"/>
  <c r="AI104" i="13"/>
  <c r="AH104" i="13"/>
  <c r="AI103" i="13"/>
  <c r="AH103" i="13"/>
  <c r="AI102" i="13"/>
  <c r="AH102" i="13"/>
  <c r="AI101" i="13"/>
  <c r="AH101" i="13"/>
  <c r="Y99" i="13"/>
  <c r="AI98" i="13"/>
  <c r="AH98" i="13"/>
  <c r="AI97" i="13"/>
  <c r="AH97" i="13"/>
  <c r="AI96" i="13"/>
  <c r="AH96" i="13"/>
  <c r="AI95" i="13"/>
  <c r="AH95" i="13"/>
  <c r="AI94" i="13"/>
  <c r="AH94" i="13"/>
  <c r="AI93" i="13"/>
  <c r="AH93" i="13"/>
  <c r="AF7" i="13"/>
  <c r="AI90" i="13"/>
  <c r="AH90" i="13"/>
  <c r="AI88" i="13"/>
  <c r="AH88" i="13"/>
  <c r="AG88" i="13"/>
  <c r="AI87" i="13"/>
  <c r="AH87" i="13"/>
  <c r="AI86" i="13"/>
  <c r="AH86" i="13"/>
  <c r="AI85" i="13"/>
  <c r="AH85" i="13"/>
  <c r="AG84" i="13"/>
  <c r="AC5" i="13"/>
  <c r="AA84" i="13"/>
  <c r="Z5" i="13" s="1"/>
  <c r="Z84" i="13"/>
  <c r="Z99" i="13" s="1"/>
  <c r="Z100" i="13" s="1"/>
  <c r="Y84" i="13"/>
  <c r="X84" i="13"/>
  <c r="X99" i="13" s="1"/>
  <c r="X100" i="13" s="1"/>
  <c r="W84" i="13"/>
  <c r="V84" i="13"/>
  <c r="U84" i="13"/>
  <c r="T5" i="13" s="1"/>
  <c r="T84" i="13"/>
  <c r="S5" i="13" s="1"/>
  <c r="S84" i="13"/>
  <c r="S99" i="13" s="1"/>
  <c r="R84" i="13"/>
  <c r="R99" i="13" s="1"/>
  <c r="Q84" i="13"/>
  <c r="P84" i="13"/>
  <c r="P99" i="13" s="1"/>
  <c r="O84" i="13"/>
  <c r="N84" i="13"/>
  <c r="M84" i="13"/>
  <c r="L5" i="13" s="1"/>
  <c r="L84" i="13"/>
  <c r="K5" i="13" s="1"/>
  <c r="K84" i="13"/>
  <c r="K99" i="13" s="1"/>
  <c r="J84" i="13"/>
  <c r="J99" i="13" s="1"/>
  <c r="I84" i="13"/>
  <c r="I99" i="13" s="1"/>
  <c r="H84" i="13"/>
  <c r="G5" i="13" s="1"/>
  <c r="G84" i="13"/>
  <c r="F84" i="13"/>
  <c r="E84" i="13"/>
  <c r="D5" i="13" s="1"/>
  <c r="D84" i="13"/>
  <c r="C5" i="13" s="1"/>
  <c r="C84" i="13"/>
  <c r="C99" i="13" s="1"/>
  <c r="B84" i="13"/>
  <c r="AF5" i="13" s="1"/>
  <c r="AI83" i="13"/>
  <c r="AH83" i="13"/>
  <c r="AI82" i="13"/>
  <c r="AH82" i="13"/>
  <c r="AI81" i="13"/>
  <c r="AH81" i="13"/>
  <c r="AI80" i="13"/>
  <c r="AH80" i="13"/>
  <c r="AI79" i="13"/>
  <c r="AH79" i="13"/>
  <c r="AI78" i="13"/>
  <c r="AH78" i="13"/>
  <c r="AI77" i="13"/>
  <c r="AH77" i="13"/>
  <c r="AI76" i="13"/>
  <c r="AH76" i="13"/>
  <c r="AI75" i="13"/>
  <c r="AH75" i="13"/>
  <c r="AI74" i="13"/>
  <c r="AH74" i="13"/>
  <c r="AI73" i="13"/>
  <c r="AH73" i="13"/>
  <c r="AG72" i="13"/>
  <c r="AG4" i="13" s="1"/>
  <c r="AA72" i="13"/>
  <c r="Z72" i="13"/>
  <c r="Y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AI71" i="13"/>
  <c r="AH71" i="13"/>
  <c r="AI70" i="13"/>
  <c r="AH70" i="13"/>
  <c r="AI69" i="13"/>
  <c r="AH69" i="13"/>
  <c r="AG68" i="13"/>
  <c r="AG3" i="13" s="1"/>
  <c r="AG6" i="13" s="1"/>
  <c r="AA68" i="13"/>
  <c r="Z68" i="13"/>
  <c r="Y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I67" i="13"/>
  <c r="AH67" i="13"/>
  <c r="AG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G54" i="13"/>
  <c r="AA54" i="13"/>
  <c r="Z54" i="13"/>
  <c r="Y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I53" i="13"/>
  <c r="AH53" i="13"/>
  <c r="AI52" i="13"/>
  <c r="AH52" i="13"/>
  <c r="AI51" i="13"/>
  <c r="AH51" i="13"/>
  <c r="AG50" i="13"/>
  <c r="AU251" i="13"/>
  <c r="AA50" i="13"/>
  <c r="Z50" i="13"/>
  <c r="Y50" i="13"/>
  <c r="W50" i="13"/>
  <c r="V50" i="13"/>
  <c r="U50" i="13"/>
  <c r="T50" i="13"/>
  <c r="S50" i="13"/>
  <c r="R50" i="13"/>
  <c r="Q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E5" i="13"/>
  <c r="AB5" i="13"/>
  <c r="AA5" i="13"/>
  <c r="O5" i="13"/>
  <c r="K4" i="13"/>
  <c r="E4" i="13"/>
  <c r="H4" i="13" s="1"/>
  <c r="B4" i="13"/>
  <c r="S248" i="13" s="1"/>
  <c r="AG2" i="13"/>
  <c r="AA99" i="13" l="1"/>
  <c r="AA89" i="13"/>
  <c r="AA91" i="13" s="1"/>
  <c r="Y5" i="13"/>
  <c r="Z89" i="13"/>
  <c r="Z91" i="13" s="1"/>
  <c r="AR251" i="13" s="1"/>
  <c r="X89" i="13"/>
  <c r="X91" i="13" s="1"/>
  <c r="AP251" i="13" s="1"/>
  <c r="W5" i="13"/>
  <c r="V89" i="13"/>
  <c r="V91" i="13" s="1"/>
  <c r="U89" i="13"/>
  <c r="U91" i="13" s="1"/>
  <c r="AM251" i="13" s="1"/>
  <c r="T89" i="13"/>
  <c r="T91" i="13" s="1"/>
  <c r="AL251" i="13" s="1"/>
  <c r="R5" i="13"/>
  <c r="S89" i="13"/>
  <c r="S91" i="13" s="1"/>
  <c r="Q5" i="13"/>
  <c r="R100" i="13"/>
  <c r="R89" i="13"/>
  <c r="R91" i="13" s="1"/>
  <c r="R92" i="13" s="1"/>
  <c r="R7" i="13" s="1"/>
  <c r="P100" i="13"/>
  <c r="P89" i="13"/>
  <c r="P91" i="13" s="1"/>
  <c r="P92" i="13" s="1"/>
  <c r="P7" i="13" s="1"/>
  <c r="N89" i="13"/>
  <c r="N91" i="13" s="1"/>
  <c r="N92" i="13" s="1"/>
  <c r="N7" i="13" s="1"/>
  <c r="M89" i="13"/>
  <c r="M91" i="13" s="1"/>
  <c r="AE251" i="13" s="1"/>
  <c r="I5" i="13"/>
  <c r="F89" i="13"/>
  <c r="F91" i="13" s="1"/>
  <c r="X251" i="13" s="1"/>
  <c r="L89" i="13"/>
  <c r="L91" i="13" s="1"/>
  <c r="AD251" i="13" s="1"/>
  <c r="J5" i="13"/>
  <c r="K89" i="13"/>
  <c r="K91" i="13" s="1"/>
  <c r="K92" i="13" s="1"/>
  <c r="K7" i="13" s="1"/>
  <c r="J89" i="13"/>
  <c r="J91" i="13" s="1"/>
  <c r="J92" i="13" s="1"/>
  <c r="J7" i="13" s="1"/>
  <c r="H99" i="13"/>
  <c r="H100" i="13" s="1"/>
  <c r="J100" i="13"/>
  <c r="H89" i="13"/>
  <c r="H91" i="13" s="1"/>
  <c r="E89" i="13"/>
  <c r="E91" i="13" s="1"/>
  <c r="W251" i="13" s="1"/>
  <c r="D89" i="13"/>
  <c r="D91" i="13" s="1"/>
  <c r="V251" i="13" s="1"/>
  <c r="B5" i="13"/>
  <c r="C89" i="13"/>
  <c r="C91" i="13" s="1"/>
  <c r="AI68" i="13"/>
  <c r="B89" i="13"/>
  <c r="B91" i="13" s="1"/>
  <c r="T251" i="13" s="1"/>
  <c r="AI54" i="13"/>
  <c r="AJ251" i="13"/>
  <c r="AA92" i="13"/>
  <c r="AA7" i="13" s="1"/>
  <c r="AS251" i="13"/>
  <c r="AV251" i="13"/>
  <c r="AF251" i="13"/>
  <c r="X92" i="13"/>
  <c r="X7" i="13" s="1"/>
  <c r="AB7" i="13"/>
  <c r="AT251" i="13"/>
  <c r="AN251" i="13"/>
  <c r="G231" i="13"/>
  <c r="D248" i="13"/>
  <c r="AX251" i="13"/>
  <c r="AD7" i="13"/>
  <c r="AD5" i="13"/>
  <c r="G89" i="13"/>
  <c r="G91" i="13" s="1"/>
  <c r="O89" i="13"/>
  <c r="O91" i="13" s="1"/>
  <c r="W89" i="13"/>
  <c r="W91" i="13" s="1"/>
  <c r="AG91" i="13"/>
  <c r="V99" i="13"/>
  <c r="V100" i="13" s="1"/>
  <c r="U5" i="13"/>
  <c r="S92" i="13"/>
  <c r="S7" i="13" s="1"/>
  <c r="AK251" i="13"/>
  <c r="AH251" i="13"/>
  <c r="N99" i="13"/>
  <c r="N100" i="13" s="1"/>
  <c r="H5" i="13"/>
  <c r="I100" i="13"/>
  <c r="Q89" i="13"/>
  <c r="Q91" i="13" s="1"/>
  <c r="AI84" i="13"/>
  <c r="E236" i="13"/>
  <c r="O99" i="13"/>
  <c r="O100" i="13" s="1"/>
  <c r="N5" i="13"/>
  <c r="M5" i="13"/>
  <c r="X5" i="13"/>
  <c r="Y100" i="13"/>
  <c r="AH54" i="13"/>
  <c r="AI50" i="13"/>
  <c r="C100" i="13"/>
  <c r="K100" i="13"/>
  <c r="S100" i="13"/>
  <c r="AA100" i="13"/>
  <c r="D110" i="13"/>
  <c r="E237" i="13"/>
  <c r="F99" i="13"/>
  <c r="G99" i="13"/>
  <c r="G100" i="13" s="1"/>
  <c r="F5" i="13"/>
  <c r="W99" i="13"/>
  <c r="W100" i="13" s="1"/>
  <c r="V5" i="13"/>
  <c r="P5" i="13"/>
  <c r="I89" i="13"/>
  <c r="I91" i="13" s="1"/>
  <c r="Y89" i="13"/>
  <c r="Y91" i="13" s="1"/>
  <c r="AG89" i="13"/>
  <c r="E5" i="13"/>
  <c r="AI72" i="13"/>
  <c r="Q99" i="13"/>
  <c r="Q100" i="13" s="1"/>
  <c r="D237" i="13"/>
  <c r="B99" i="13"/>
  <c r="AH68" i="13"/>
  <c r="AH72" i="13"/>
  <c r="AH84" i="13"/>
  <c r="D99" i="13"/>
  <c r="L99" i="13"/>
  <c r="T99" i="13"/>
  <c r="E99" i="13"/>
  <c r="M99" i="13"/>
  <c r="M100" i="13" s="1"/>
  <c r="U99" i="13"/>
  <c r="AC7" i="13"/>
  <c r="AH50" i="13"/>
  <c r="Z92" i="13" l="1"/>
  <c r="Z7" i="13" s="1"/>
  <c r="T92" i="13"/>
  <c r="T7" i="13" s="1"/>
  <c r="U92" i="13"/>
  <c r="U7" i="13" s="1"/>
  <c r="T100" i="13"/>
  <c r="L92" i="13"/>
  <c r="L7" i="13" s="1"/>
  <c r="AB251" i="13"/>
  <c r="H92" i="13"/>
  <c r="H7" i="13" s="1"/>
  <c r="F92" i="13"/>
  <c r="F7" i="13" s="1"/>
  <c r="L100" i="13"/>
  <c r="AC251" i="13"/>
  <c r="E92" i="13"/>
  <c r="E7" i="13" s="1"/>
  <c r="Z251" i="13"/>
  <c r="F100" i="13"/>
  <c r="D92" i="13"/>
  <c r="D7" i="13" s="1"/>
  <c r="D100" i="13"/>
  <c r="AH91" i="13"/>
  <c r="AH89" i="13"/>
  <c r="AW251" i="13"/>
  <c r="AE7" i="13"/>
  <c r="C92" i="13"/>
  <c r="C7" i="13" s="1"/>
  <c r="U251" i="13"/>
  <c r="AI99" i="13"/>
  <c r="B100" i="13"/>
  <c r="AH99" i="13"/>
  <c r="M92" i="13"/>
  <c r="M7" i="13" s="1"/>
  <c r="AO251" i="13"/>
  <c r="W92" i="13"/>
  <c r="W7" i="13" s="1"/>
  <c r="U100" i="13"/>
  <c r="D272" i="13"/>
  <c r="F236" i="13"/>
  <c r="AG251" i="13"/>
  <c r="O92" i="13"/>
  <c r="O7" i="13" s="1"/>
  <c r="AI91" i="13"/>
  <c r="Q92" i="13"/>
  <c r="Q7" i="13" s="1"/>
  <c r="AI251" i="13"/>
  <c r="Y251" i="13"/>
  <c r="C246" i="13"/>
  <c r="B246" i="13"/>
  <c r="G92" i="13"/>
  <c r="G7" i="13" s="1"/>
  <c r="E100" i="13"/>
  <c r="B92" i="13"/>
  <c r="E110" i="13"/>
  <c r="H231" i="13"/>
  <c r="V92" i="13"/>
  <c r="V7" i="13" s="1"/>
  <c r="AI89" i="13"/>
  <c r="I92" i="13"/>
  <c r="I7" i="13" s="1"/>
  <c r="AA251" i="13"/>
  <c r="Y92" i="13"/>
  <c r="Y7" i="13" s="1"/>
  <c r="AQ251" i="13"/>
  <c r="AH100" i="13" l="1"/>
  <c r="AI100" i="13"/>
  <c r="I231" i="13"/>
  <c r="AI92" i="13"/>
  <c r="AH92" i="13"/>
  <c r="B7" i="13"/>
  <c r="A7" i="13" s="1"/>
  <c r="K6" i="13"/>
  <c r="G236" i="13"/>
  <c r="E272" i="13"/>
  <c r="F110" i="13"/>
  <c r="F237" i="13"/>
  <c r="AC115" i="12"/>
  <c r="AB115" i="12"/>
  <c r="AB49" i="12"/>
  <c r="AA115" i="12"/>
  <c r="AA49" i="12"/>
  <c r="AA50" i="12"/>
  <c r="AA54" i="12"/>
  <c r="AA68" i="12"/>
  <c r="AA72" i="12"/>
  <c r="AA84" i="12"/>
  <c r="AA99" i="12" s="1"/>
  <c r="AA110" i="12"/>
  <c r="Z115" i="12"/>
  <c r="Z49" i="12"/>
  <c r="Z50" i="12"/>
  <c r="Z54" i="12"/>
  <c r="Z68" i="12"/>
  <c r="Z72" i="12"/>
  <c r="Z84" i="12"/>
  <c r="Z110" i="12"/>
  <c r="Y115" i="12"/>
  <c r="Y49" i="12"/>
  <c r="Y50" i="12"/>
  <c r="Y54" i="12"/>
  <c r="Y68" i="12"/>
  <c r="Y72" i="12"/>
  <c r="Y84" i="12"/>
  <c r="Y99" i="12" s="1"/>
  <c r="Y110" i="12"/>
  <c r="X115" i="12"/>
  <c r="X110" i="12"/>
  <c r="X84" i="12"/>
  <c r="X72" i="12"/>
  <c r="X68" i="12"/>
  <c r="X54" i="12"/>
  <c r="X50" i="12"/>
  <c r="X49" i="12"/>
  <c r="J231" i="13" l="1"/>
  <c r="F272" i="13"/>
  <c r="H236" i="13"/>
  <c r="G237" i="13"/>
  <c r="G110" i="13"/>
  <c r="AA89" i="12"/>
  <c r="AA91" i="12" s="1"/>
  <c r="AA92" i="12" s="1"/>
  <c r="AA100" i="12"/>
  <c r="Z89" i="12"/>
  <c r="Z91" i="12" s="1"/>
  <c r="Z99" i="12"/>
  <c r="Z100" i="12" s="1"/>
  <c r="Y89" i="12"/>
  <c r="Y91" i="12" s="1"/>
  <c r="Y92" i="12" s="1"/>
  <c r="Y100" i="12"/>
  <c r="X89" i="12"/>
  <c r="X91" i="12" s="1"/>
  <c r="X92" i="12" s="1"/>
  <c r="X99" i="12"/>
  <c r="X100" i="12" s="1"/>
  <c r="G272" i="13" l="1"/>
  <c r="I236" i="13"/>
  <c r="H110" i="13"/>
  <c r="H237" i="13"/>
  <c r="K231" i="13"/>
  <c r="Z92" i="12"/>
  <c r="W115" i="12"/>
  <c r="W49" i="12"/>
  <c r="W50" i="12"/>
  <c r="W54" i="12"/>
  <c r="W68" i="12"/>
  <c r="W72" i="12"/>
  <c r="W84" i="12"/>
  <c r="W110" i="12"/>
  <c r="V115" i="12"/>
  <c r="V49" i="12"/>
  <c r="V50" i="12"/>
  <c r="V54" i="12"/>
  <c r="V68" i="12"/>
  <c r="V72" i="12"/>
  <c r="V84" i="12"/>
  <c r="V99" i="12" s="1"/>
  <c r="V110" i="12"/>
  <c r="U49" i="12"/>
  <c r="U50" i="12"/>
  <c r="U54" i="12"/>
  <c r="U68" i="12"/>
  <c r="U72" i="12"/>
  <c r="U84" i="12"/>
  <c r="U99" i="12" s="1"/>
  <c r="U110" i="12"/>
  <c r="T49" i="12"/>
  <c r="T50" i="12"/>
  <c r="T54" i="12"/>
  <c r="T68" i="12"/>
  <c r="T72" i="12"/>
  <c r="T84" i="12"/>
  <c r="T99" i="12" s="1"/>
  <c r="T110" i="12"/>
  <c r="S49" i="12"/>
  <c r="S50" i="12"/>
  <c r="S54" i="12"/>
  <c r="S68" i="12"/>
  <c r="S72" i="12"/>
  <c r="S84" i="12"/>
  <c r="S99" i="12" s="1"/>
  <c r="S113" i="12"/>
  <c r="S110" i="12" s="1"/>
  <c r="S115" i="12"/>
  <c r="R115" i="12"/>
  <c r="R113" i="12"/>
  <c r="R49" i="12"/>
  <c r="L231" i="13" l="1"/>
  <c r="H272" i="13"/>
  <c r="J236" i="13"/>
  <c r="I110" i="13"/>
  <c r="I237" i="13"/>
  <c r="W89" i="12"/>
  <c r="W91" i="12" s="1"/>
  <c r="W99" i="12"/>
  <c r="V89" i="12"/>
  <c r="V91" i="12" s="1"/>
  <c r="V92" i="12" s="1"/>
  <c r="V100" i="12"/>
  <c r="U89" i="12"/>
  <c r="U91" i="12" s="1"/>
  <c r="U92" i="12" s="1"/>
  <c r="U100" i="12"/>
  <c r="T89" i="12"/>
  <c r="T91" i="12" s="1"/>
  <c r="T92" i="12" s="1"/>
  <c r="T100" i="12"/>
  <c r="S100" i="12"/>
  <c r="S89" i="12"/>
  <c r="S91" i="12" s="1"/>
  <c r="S92" i="12" s="1"/>
  <c r="Q115" i="12"/>
  <c r="Q113" i="12"/>
  <c r="Q49" i="12"/>
  <c r="P115" i="12"/>
  <c r="P113" i="12"/>
  <c r="P49" i="12"/>
  <c r="O115" i="12"/>
  <c r="O113" i="12"/>
  <c r="O49" i="12"/>
  <c r="N115" i="12"/>
  <c r="N49" i="12"/>
  <c r="M231" i="13" l="1"/>
  <c r="K236" i="13"/>
  <c r="I272" i="13"/>
  <c r="J110" i="13"/>
  <c r="J237" i="13"/>
  <c r="W92" i="12"/>
  <c r="W100" i="12"/>
  <c r="M115" i="12"/>
  <c r="M49" i="12"/>
  <c r="J50" i="12"/>
  <c r="K50" i="12"/>
  <c r="J54" i="12"/>
  <c r="K54" i="12"/>
  <c r="J68" i="12"/>
  <c r="K68" i="12"/>
  <c r="J72" i="12"/>
  <c r="K72" i="12"/>
  <c r="G50" i="12"/>
  <c r="G54" i="12"/>
  <c r="L236" i="13" l="1"/>
  <c r="J272" i="13"/>
  <c r="K110" i="13"/>
  <c r="K237" i="13"/>
  <c r="N231" i="13"/>
  <c r="AH117" i="12"/>
  <c r="AI117" i="12"/>
  <c r="AH116" i="12"/>
  <c r="AI116" i="12"/>
  <c r="AF276" i="12"/>
  <c r="AE276" i="12"/>
  <c r="AD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M276" i="12"/>
  <c r="L276" i="12"/>
  <c r="K276" i="12"/>
  <c r="J276" i="12"/>
  <c r="I276" i="12"/>
  <c r="H276" i="12"/>
  <c r="G276" i="12"/>
  <c r="F276" i="12"/>
  <c r="E276" i="12"/>
  <c r="D276" i="12"/>
  <c r="C276" i="12"/>
  <c r="B276" i="12"/>
  <c r="A276" i="12"/>
  <c r="AF275" i="12"/>
  <c r="AE275" i="12"/>
  <c r="AD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G275" i="12"/>
  <c r="F275" i="12"/>
  <c r="E275" i="12"/>
  <c r="D275" i="12"/>
  <c r="C275" i="12"/>
  <c r="B275" i="12"/>
  <c r="A275" i="12"/>
  <c r="AF274" i="12"/>
  <c r="AE274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D274" i="12"/>
  <c r="C274" i="12"/>
  <c r="B274" i="12"/>
  <c r="A274" i="12"/>
  <c r="AF273" i="12"/>
  <c r="AE273" i="12"/>
  <c r="AD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M273" i="12"/>
  <c r="L273" i="12"/>
  <c r="K273" i="12"/>
  <c r="J273" i="12"/>
  <c r="I273" i="12"/>
  <c r="H273" i="12"/>
  <c r="G273" i="12"/>
  <c r="F273" i="12"/>
  <c r="E273" i="12"/>
  <c r="D273" i="12"/>
  <c r="C273" i="12"/>
  <c r="B273" i="12"/>
  <c r="A273" i="12"/>
  <c r="C272" i="12"/>
  <c r="B272" i="12"/>
  <c r="S247" i="12"/>
  <c r="AG237" i="12"/>
  <c r="AG67" i="12" s="1"/>
  <c r="AG68" i="12" s="1"/>
  <c r="C237" i="12"/>
  <c r="E236" i="12"/>
  <c r="D236" i="12"/>
  <c r="D235" i="12"/>
  <c r="E235" i="12" s="1"/>
  <c r="F235" i="12" s="1"/>
  <c r="G235" i="12" s="1"/>
  <c r="H235" i="12" s="1"/>
  <c r="I235" i="12" s="1"/>
  <c r="J235" i="12" s="1"/>
  <c r="K235" i="12" s="1"/>
  <c r="L235" i="12" s="1"/>
  <c r="M235" i="12" s="1"/>
  <c r="N235" i="12" s="1"/>
  <c r="O235" i="12" s="1"/>
  <c r="P235" i="12" s="1"/>
  <c r="Q235" i="12" s="1"/>
  <c r="R235" i="12" s="1"/>
  <c r="S235" i="12" s="1"/>
  <c r="T235" i="12" s="1"/>
  <c r="U235" i="12" s="1"/>
  <c r="V235" i="12" s="1"/>
  <c r="W235" i="12" s="1"/>
  <c r="X235" i="12" s="1"/>
  <c r="Y235" i="12" s="1"/>
  <c r="Z235" i="12" s="1"/>
  <c r="AA235" i="12" s="1"/>
  <c r="AB235" i="12" s="1"/>
  <c r="AC235" i="12" s="1"/>
  <c r="AD235" i="12" s="1"/>
  <c r="AE235" i="12" s="1"/>
  <c r="AF235" i="12" s="1"/>
  <c r="B235" i="12" s="1"/>
  <c r="I234" i="12"/>
  <c r="J234" i="12" s="1"/>
  <c r="K234" i="12" s="1"/>
  <c r="L234" i="12" s="1"/>
  <c r="M234" i="12" s="1"/>
  <c r="N234" i="12" s="1"/>
  <c r="O234" i="12" s="1"/>
  <c r="P234" i="12" s="1"/>
  <c r="Q234" i="12" s="1"/>
  <c r="R234" i="12" s="1"/>
  <c r="S234" i="12" s="1"/>
  <c r="T234" i="12" s="1"/>
  <c r="U234" i="12" s="1"/>
  <c r="V234" i="12" s="1"/>
  <c r="W234" i="12" s="1"/>
  <c r="X234" i="12" s="1"/>
  <c r="Y234" i="12" s="1"/>
  <c r="Z234" i="12" s="1"/>
  <c r="AA234" i="12" s="1"/>
  <c r="AB234" i="12" s="1"/>
  <c r="AC234" i="12" s="1"/>
  <c r="AD234" i="12" s="1"/>
  <c r="AE234" i="12" s="1"/>
  <c r="AF234" i="12" s="1"/>
  <c r="B234" i="12" s="1"/>
  <c r="D234" i="12"/>
  <c r="E234" i="12" s="1"/>
  <c r="F234" i="12" s="1"/>
  <c r="G234" i="12" s="1"/>
  <c r="H234" i="12" s="1"/>
  <c r="G233" i="12"/>
  <c r="H233" i="12" s="1"/>
  <c r="I233" i="12" s="1"/>
  <c r="J233" i="12" s="1"/>
  <c r="K233" i="12" s="1"/>
  <c r="L233" i="12" s="1"/>
  <c r="M233" i="12" s="1"/>
  <c r="N233" i="12" s="1"/>
  <c r="O233" i="12" s="1"/>
  <c r="P233" i="12" s="1"/>
  <c r="Q233" i="12" s="1"/>
  <c r="R233" i="12" s="1"/>
  <c r="S233" i="12" s="1"/>
  <c r="T233" i="12" s="1"/>
  <c r="U233" i="12" s="1"/>
  <c r="V233" i="12" s="1"/>
  <c r="W233" i="12" s="1"/>
  <c r="X233" i="12" s="1"/>
  <c r="Y233" i="12" s="1"/>
  <c r="Z233" i="12" s="1"/>
  <c r="AA233" i="12" s="1"/>
  <c r="AB233" i="12" s="1"/>
  <c r="AC233" i="12" s="1"/>
  <c r="AD233" i="12" s="1"/>
  <c r="AE233" i="12" s="1"/>
  <c r="AF233" i="12" s="1"/>
  <c r="B233" i="12" s="1"/>
  <c r="D233" i="12"/>
  <c r="E233" i="12" s="1"/>
  <c r="F233" i="12" s="1"/>
  <c r="H232" i="12"/>
  <c r="I232" i="12" s="1"/>
  <c r="J232" i="12" s="1"/>
  <c r="K232" i="12" s="1"/>
  <c r="L232" i="12" s="1"/>
  <c r="M232" i="12" s="1"/>
  <c r="N232" i="12" s="1"/>
  <c r="O232" i="12" s="1"/>
  <c r="P232" i="12" s="1"/>
  <c r="Q232" i="12" s="1"/>
  <c r="R232" i="12" s="1"/>
  <c r="S232" i="12" s="1"/>
  <c r="T232" i="12" s="1"/>
  <c r="U232" i="12" s="1"/>
  <c r="V232" i="12" s="1"/>
  <c r="W232" i="12" s="1"/>
  <c r="X232" i="12" s="1"/>
  <c r="Y232" i="12" s="1"/>
  <c r="Z232" i="12" s="1"/>
  <c r="AA232" i="12" s="1"/>
  <c r="AB232" i="12" s="1"/>
  <c r="AC232" i="12" s="1"/>
  <c r="AD232" i="12" s="1"/>
  <c r="AE232" i="12" s="1"/>
  <c r="AF232" i="12" s="1"/>
  <c r="B232" i="12" s="1"/>
  <c r="E232" i="12"/>
  <c r="F232" i="12" s="1"/>
  <c r="G232" i="12" s="1"/>
  <c r="D232" i="12"/>
  <c r="D231" i="12"/>
  <c r="D237" i="12" s="1"/>
  <c r="AG229" i="12"/>
  <c r="AF229" i="12"/>
  <c r="AE229" i="12"/>
  <c r="AD229" i="12"/>
  <c r="AC229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G229" i="12"/>
  <c r="F229" i="12"/>
  <c r="E229" i="12"/>
  <c r="D229" i="12"/>
  <c r="C229" i="12"/>
  <c r="B229" i="12"/>
  <c r="AI122" i="12"/>
  <c r="AH122" i="12"/>
  <c r="AI121" i="12"/>
  <c r="AH121" i="12"/>
  <c r="AI120" i="12"/>
  <c r="AH120" i="12"/>
  <c r="AI119" i="12"/>
  <c r="AH119" i="12"/>
  <c r="AI118" i="12"/>
  <c r="AH118" i="12"/>
  <c r="AH115" i="12"/>
  <c r="D110" i="12"/>
  <c r="AI114" i="12"/>
  <c r="AH114" i="12"/>
  <c r="AI113" i="12"/>
  <c r="AH113" i="12"/>
  <c r="AI112" i="12"/>
  <c r="AH112" i="12"/>
  <c r="AI111" i="12"/>
  <c r="AH111" i="12"/>
  <c r="C110" i="12"/>
  <c r="AI109" i="12"/>
  <c r="AH109" i="12"/>
  <c r="AI108" i="12"/>
  <c r="AH108" i="12"/>
  <c r="AI107" i="12"/>
  <c r="AH107" i="12"/>
  <c r="AI106" i="12"/>
  <c r="AH106" i="12"/>
  <c r="AI105" i="12"/>
  <c r="AH105" i="12"/>
  <c r="AI104" i="12"/>
  <c r="AH104" i="12"/>
  <c r="AI103" i="12"/>
  <c r="AH103" i="12"/>
  <c r="AI102" i="12"/>
  <c r="AH102" i="12"/>
  <c r="AI101" i="12"/>
  <c r="AH101" i="12"/>
  <c r="AI98" i="12"/>
  <c r="AH98" i="12"/>
  <c r="AI97" i="12"/>
  <c r="AH97" i="12"/>
  <c r="AI96" i="12"/>
  <c r="AH96" i="12"/>
  <c r="AI95" i="12"/>
  <c r="AH95" i="12"/>
  <c r="AI94" i="12"/>
  <c r="AH94" i="12"/>
  <c r="AI93" i="12"/>
  <c r="AH93" i="12"/>
  <c r="AG91" i="12"/>
  <c r="AI90" i="12"/>
  <c r="AH90" i="12"/>
  <c r="AI88" i="12"/>
  <c r="AH88" i="12"/>
  <c r="AG88" i="12"/>
  <c r="AI87" i="12"/>
  <c r="AH87" i="12"/>
  <c r="AI86" i="12"/>
  <c r="AH86" i="12"/>
  <c r="AI85" i="12"/>
  <c r="AH85" i="12"/>
  <c r="AG84" i="12"/>
  <c r="AF84" i="12"/>
  <c r="AE84" i="12"/>
  <c r="AE99" i="12" s="1"/>
  <c r="AE100" i="12" s="1"/>
  <c r="AD84" i="12"/>
  <c r="AD99" i="12" s="1"/>
  <c r="AC84" i="12"/>
  <c r="AB5" i="12" s="1"/>
  <c r="AB84" i="12"/>
  <c r="AA5" i="12" s="1"/>
  <c r="R84" i="12"/>
  <c r="Q5" i="12" s="1"/>
  <c r="Q84" i="12"/>
  <c r="Q99" i="12" s="1"/>
  <c r="Q100" i="12" s="1"/>
  <c r="P84" i="12"/>
  <c r="O84" i="12"/>
  <c r="O99" i="12" s="1"/>
  <c r="O100" i="12" s="1"/>
  <c r="N84" i="12"/>
  <c r="N99" i="12" s="1"/>
  <c r="M84" i="12"/>
  <c r="L84" i="12"/>
  <c r="K5" i="12" s="1"/>
  <c r="K84" i="12"/>
  <c r="J5" i="12" s="1"/>
  <c r="J84" i="12"/>
  <c r="I5" i="12" s="1"/>
  <c r="I84" i="12"/>
  <c r="I99" i="12" s="1"/>
  <c r="I100" i="12" s="1"/>
  <c r="H84" i="12"/>
  <c r="G84" i="12"/>
  <c r="G99" i="12" s="1"/>
  <c r="G100" i="12" s="1"/>
  <c r="F84" i="12"/>
  <c r="F99" i="12" s="1"/>
  <c r="F100" i="12" s="1"/>
  <c r="E84" i="12"/>
  <c r="D5" i="12" s="1"/>
  <c r="D84" i="12"/>
  <c r="C5" i="12" s="1"/>
  <c r="C84" i="12"/>
  <c r="B5" i="12" s="1"/>
  <c r="B84" i="12"/>
  <c r="B99" i="12" s="1"/>
  <c r="AI83" i="12"/>
  <c r="AH83" i="12"/>
  <c r="AI82" i="12"/>
  <c r="AH82" i="12"/>
  <c r="AI81" i="12"/>
  <c r="AH81" i="12"/>
  <c r="AI80" i="12"/>
  <c r="AH80" i="12"/>
  <c r="AI79" i="12"/>
  <c r="AH79" i="12"/>
  <c r="AI78" i="12"/>
  <c r="AH78" i="12"/>
  <c r="AI77" i="12"/>
  <c r="AH77" i="12"/>
  <c r="AI76" i="12"/>
  <c r="AH76" i="12"/>
  <c r="AI75" i="12"/>
  <c r="AH75" i="12"/>
  <c r="AI74" i="12"/>
  <c r="AH74" i="12"/>
  <c r="AI73" i="12"/>
  <c r="AH73" i="12"/>
  <c r="AG72" i="12"/>
  <c r="AF72" i="12"/>
  <c r="AE72" i="12"/>
  <c r="AD72" i="12"/>
  <c r="AC72" i="12"/>
  <c r="AB72" i="12"/>
  <c r="R72" i="12"/>
  <c r="Q72" i="12"/>
  <c r="P72" i="12"/>
  <c r="O72" i="12"/>
  <c r="N72" i="12"/>
  <c r="M72" i="12"/>
  <c r="L72" i="12"/>
  <c r="I72" i="12"/>
  <c r="H72" i="12"/>
  <c r="G72" i="12"/>
  <c r="F72" i="12"/>
  <c r="E72" i="12"/>
  <c r="D72" i="12"/>
  <c r="C72" i="12"/>
  <c r="B72" i="12"/>
  <c r="AI71" i="12"/>
  <c r="AH71" i="12"/>
  <c r="AI70" i="12"/>
  <c r="AH70" i="12"/>
  <c r="AI69" i="12"/>
  <c r="AH69" i="12"/>
  <c r="AF68" i="12"/>
  <c r="AE68" i="12"/>
  <c r="AD68" i="12"/>
  <c r="AC68" i="12"/>
  <c r="AB68" i="12"/>
  <c r="R68" i="12"/>
  <c r="Q68" i="12"/>
  <c r="P68" i="12"/>
  <c r="O68" i="12"/>
  <c r="N68" i="12"/>
  <c r="M68" i="12"/>
  <c r="L68" i="12"/>
  <c r="I68" i="12"/>
  <c r="H68" i="12"/>
  <c r="G68" i="12"/>
  <c r="F68" i="12"/>
  <c r="E68" i="12"/>
  <c r="D68" i="12"/>
  <c r="C68" i="12"/>
  <c r="B68" i="12"/>
  <c r="AI67" i="12"/>
  <c r="AH67" i="12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G54" i="12"/>
  <c r="AF54" i="12"/>
  <c r="AE54" i="12"/>
  <c r="AD54" i="12"/>
  <c r="AC54" i="12"/>
  <c r="AB54" i="12"/>
  <c r="R54" i="12"/>
  <c r="Q54" i="12"/>
  <c r="P54" i="12"/>
  <c r="O54" i="12"/>
  <c r="N54" i="12"/>
  <c r="M54" i="12"/>
  <c r="L54" i="12"/>
  <c r="I54" i="12"/>
  <c r="H54" i="12"/>
  <c r="F54" i="12"/>
  <c r="E54" i="12"/>
  <c r="D54" i="12"/>
  <c r="C54" i="12"/>
  <c r="B54" i="12"/>
  <c r="AI53" i="12"/>
  <c r="AH53" i="12"/>
  <c r="AI52" i="12"/>
  <c r="AH52" i="12"/>
  <c r="AI51" i="12"/>
  <c r="AH51" i="12"/>
  <c r="AG50" i="12"/>
  <c r="AG89" i="12" s="1"/>
  <c r="AF50" i="12"/>
  <c r="AE50" i="12"/>
  <c r="AD50" i="12"/>
  <c r="AC50" i="12"/>
  <c r="AB50" i="12"/>
  <c r="AL251" i="12"/>
  <c r="R50" i="12"/>
  <c r="Q50" i="12"/>
  <c r="P50" i="12"/>
  <c r="O50" i="12"/>
  <c r="N50" i="12"/>
  <c r="M50" i="12"/>
  <c r="L50" i="12"/>
  <c r="J89" i="12"/>
  <c r="J91" i="12" s="1"/>
  <c r="I50" i="12"/>
  <c r="H50" i="12"/>
  <c r="F50" i="12"/>
  <c r="E50" i="12"/>
  <c r="D50" i="12"/>
  <c r="C50" i="12"/>
  <c r="B50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Z5" i="12"/>
  <c r="Y5" i="12"/>
  <c r="X5" i="12"/>
  <c r="V5" i="12"/>
  <c r="U5" i="12"/>
  <c r="T5" i="12"/>
  <c r="S5" i="12"/>
  <c r="R5" i="12"/>
  <c r="AG4" i="12"/>
  <c r="K4" i="12"/>
  <c r="E4" i="12"/>
  <c r="H4" i="12" s="1"/>
  <c r="B4" i="12"/>
  <c r="D248" i="12" s="1"/>
  <c r="AG3" i="12"/>
  <c r="AG6" i="12" s="1"/>
  <c r="AG2" i="12"/>
  <c r="O231" i="13" l="1"/>
  <c r="K272" i="13"/>
  <c r="M236" i="13"/>
  <c r="L237" i="13"/>
  <c r="L110" i="13"/>
  <c r="AD5" i="12"/>
  <c r="AC5" i="12"/>
  <c r="AB89" i="12"/>
  <c r="AB91" i="12" s="1"/>
  <c r="AT251" i="12" s="1"/>
  <c r="R89" i="12"/>
  <c r="R91" i="12" s="1"/>
  <c r="P5" i="12"/>
  <c r="Q89" i="12"/>
  <c r="Q91" i="12" s="1"/>
  <c r="AI251" i="12" s="1"/>
  <c r="N5" i="12"/>
  <c r="M5" i="12"/>
  <c r="M89" i="12"/>
  <c r="M91" i="12" s="1"/>
  <c r="AE251" i="12" s="1"/>
  <c r="L89" i="12"/>
  <c r="L91" i="12" s="1"/>
  <c r="AD251" i="12" s="1"/>
  <c r="H5" i="12"/>
  <c r="I89" i="12"/>
  <c r="I91" i="12" s="1"/>
  <c r="I92" i="12" s="1"/>
  <c r="I7" i="12" s="1"/>
  <c r="F5" i="12"/>
  <c r="E5" i="12"/>
  <c r="E89" i="12"/>
  <c r="E91" i="12" s="1"/>
  <c r="D89" i="12"/>
  <c r="D91" i="12" s="1"/>
  <c r="V251" i="12" s="1"/>
  <c r="AF5" i="12"/>
  <c r="N100" i="12"/>
  <c r="J99" i="12"/>
  <c r="J100" i="12" s="1"/>
  <c r="AD100" i="12"/>
  <c r="R99" i="12"/>
  <c r="R100" i="12" s="1"/>
  <c r="AC89" i="12"/>
  <c r="AC91" i="12" s="1"/>
  <c r="AU251" i="12" s="1"/>
  <c r="AR251" i="12"/>
  <c r="F89" i="12"/>
  <c r="F91" i="12" s="1"/>
  <c r="X251" i="12" s="1"/>
  <c r="N89" i="12"/>
  <c r="N91" i="12" s="1"/>
  <c r="N92" i="12" s="1"/>
  <c r="N7" i="12" s="1"/>
  <c r="AN251" i="12"/>
  <c r="AD89" i="12"/>
  <c r="AD91" i="12" s="1"/>
  <c r="AD92" i="12" s="1"/>
  <c r="AD7" i="12" s="1"/>
  <c r="G89" i="12"/>
  <c r="G91" i="12" s="1"/>
  <c r="G92" i="12" s="1"/>
  <c r="G7" i="12" s="1"/>
  <c r="AE89" i="12"/>
  <c r="AE91" i="12" s="1"/>
  <c r="AW251" i="12" s="1"/>
  <c r="O89" i="12"/>
  <c r="O91" i="12" s="1"/>
  <c r="AG251" i="12" s="1"/>
  <c r="AO251" i="12"/>
  <c r="C89" i="12"/>
  <c r="C91" i="12" s="1"/>
  <c r="U251" i="12" s="1"/>
  <c r="K89" i="12"/>
  <c r="K91" i="12" s="1"/>
  <c r="AC251" i="12" s="1"/>
  <c r="AK251" i="12"/>
  <c r="AS251" i="12"/>
  <c r="AH50" i="12"/>
  <c r="S248" i="12"/>
  <c r="AA251" i="12"/>
  <c r="Y7" i="12"/>
  <c r="AQ251" i="12"/>
  <c r="AB251" i="12"/>
  <c r="W251" i="12"/>
  <c r="AJ251" i="12"/>
  <c r="AM251" i="12"/>
  <c r="O5" i="12"/>
  <c r="P99" i="12"/>
  <c r="P100" i="12" s="1"/>
  <c r="AI84" i="12"/>
  <c r="T7" i="12"/>
  <c r="H89" i="12"/>
  <c r="H91" i="12" s="1"/>
  <c r="P89" i="12"/>
  <c r="P91" i="12" s="1"/>
  <c r="AF89" i="12"/>
  <c r="AF91" i="12" s="1"/>
  <c r="B89" i="12"/>
  <c r="D272" i="12"/>
  <c r="F236" i="12"/>
  <c r="G5" i="12"/>
  <c r="H99" i="12"/>
  <c r="H100" i="12" s="1"/>
  <c r="AI54" i="12"/>
  <c r="AH54" i="12"/>
  <c r="AI72" i="12"/>
  <c r="AI115" i="12"/>
  <c r="AE5" i="12"/>
  <c r="AF99" i="12"/>
  <c r="AF100" i="12" s="1"/>
  <c r="W5" i="12"/>
  <c r="E99" i="12"/>
  <c r="E100" i="12" s="1"/>
  <c r="M99" i="12"/>
  <c r="M100" i="12" s="1"/>
  <c r="AC99" i="12"/>
  <c r="AC100" i="12"/>
  <c r="L5" i="12"/>
  <c r="AI49" i="12"/>
  <c r="Z7" i="12"/>
  <c r="AI50" i="12"/>
  <c r="AI68" i="12"/>
  <c r="E231" i="12"/>
  <c r="C99" i="12"/>
  <c r="K99" i="12"/>
  <c r="B100" i="12"/>
  <c r="AH68" i="12"/>
  <c r="AH72" i="12"/>
  <c r="AH84" i="12"/>
  <c r="D99" i="12"/>
  <c r="L99" i="12"/>
  <c r="L92" i="12" s="1"/>
  <c r="L7" i="12" s="1"/>
  <c r="AB99" i="12"/>
  <c r="AB100" i="12" s="1"/>
  <c r="J92" i="12" l="1"/>
  <c r="J7" i="12" s="1"/>
  <c r="L272" i="13"/>
  <c r="N236" i="13"/>
  <c r="M237" i="13"/>
  <c r="M110" i="13"/>
  <c r="P231" i="13"/>
  <c r="AV251" i="12"/>
  <c r="Q92" i="12"/>
  <c r="Q7" i="12" s="1"/>
  <c r="AF251" i="12"/>
  <c r="M92" i="12"/>
  <c r="M7" i="12" s="1"/>
  <c r="K92" i="12"/>
  <c r="K7" i="12" s="1"/>
  <c r="K100" i="12"/>
  <c r="Y251" i="12"/>
  <c r="F92" i="12"/>
  <c r="F7" i="12" s="1"/>
  <c r="AH99" i="12"/>
  <c r="D92" i="12"/>
  <c r="D7" i="12" s="1"/>
  <c r="D100" i="12"/>
  <c r="O92" i="12"/>
  <c r="O7" i="12" s="1"/>
  <c r="U7" i="12"/>
  <c r="AC92" i="12"/>
  <c r="AC7" i="12" s="1"/>
  <c r="C100" i="12"/>
  <c r="AA7" i="12"/>
  <c r="R92" i="12"/>
  <c r="R7" i="12" s="1"/>
  <c r="L100" i="12"/>
  <c r="V7" i="12"/>
  <c r="C246" i="12"/>
  <c r="W7" i="12"/>
  <c r="AE92" i="12"/>
  <c r="AE7" i="12" s="1"/>
  <c r="B246" i="12"/>
  <c r="E272" i="12"/>
  <c r="G236" i="12"/>
  <c r="S7" i="12"/>
  <c r="AF92" i="12"/>
  <c r="AF7" i="12" s="1"/>
  <c r="AX251" i="12"/>
  <c r="P92" i="12"/>
  <c r="P7" i="12" s="1"/>
  <c r="AH251" i="12"/>
  <c r="E237" i="12"/>
  <c r="F231" i="12"/>
  <c r="AB92" i="12"/>
  <c r="AB7" i="12" s="1"/>
  <c r="B91" i="12"/>
  <c r="AI89" i="12"/>
  <c r="AH89" i="12"/>
  <c r="H92" i="12"/>
  <c r="H7" i="12" s="1"/>
  <c r="Z251" i="12"/>
  <c r="X7" i="12"/>
  <c r="AP251" i="12"/>
  <c r="C92" i="12"/>
  <c r="C7" i="12" s="1"/>
  <c r="AI99" i="12"/>
  <c r="E92" i="12"/>
  <c r="E7" i="12" s="1"/>
  <c r="E110" i="12"/>
  <c r="Q231" i="13" l="1"/>
  <c r="O236" i="13"/>
  <c r="M272" i="13"/>
  <c r="N110" i="13"/>
  <c r="N237" i="13"/>
  <c r="AI100" i="12"/>
  <c r="AH100" i="12"/>
  <c r="K6" i="12"/>
  <c r="B92" i="12"/>
  <c r="AI91" i="12"/>
  <c r="AH91" i="12"/>
  <c r="T251" i="12"/>
  <c r="G231" i="12"/>
  <c r="F237" i="12"/>
  <c r="F110" i="12"/>
  <c r="F272" i="12"/>
  <c r="H236" i="12"/>
  <c r="N272" i="13" l="1"/>
  <c r="P236" i="13"/>
  <c r="O237" i="13"/>
  <c r="O110" i="13"/>
  <c r="R231" i="13"/>
  <c r="H231" i="12"/>
  <c r="G237" i="12"/>
  <c r="G110" i="12"/>
  <c r="G272" i="12"/>
  <c r="I236" i="12"/>
  <c r="AI92" i="12"/>
  <c r="AH92" i="12"/>
  <c r="B7" i="12"/>
  <c r="A7" i="12" s="1"/>
  <c r="S231" i="13" l="1"/>
  <c r="O272" i="13"/>
  <c r="Q236" i="13"/>
  <c r="P237" i="13"/>
  <c r="H272" i="12"/>
  <c r="J236" i="12"/>
  <c r="I231" i="12"/>
  <c r="H110" i="12"/>
  <c r="H237" i="12"/>
  <c r="P272" i="13" l="1"/>
  <c r="R236" i="13"/>
  <c r="Q110" i="13"/>
  <c r="Q237" i="13"/>
  <c r="T231" i="13"/>
  <c r="I110" i="12"/>
  <c r="I237" i="12"/>
  <c r="J231" i="12"/>
  <c r="K236" i="12"/>
  <c r="I272" i="12"/>
  <c r="U231" i="13" l="1"/>
  <c r="S236" i="13"/>
  <c r="Q272" i="13"/>
  <c r="R237" i="13"/>
  <c r="R110" i="13"/>
  <c r="J237" i="12"/>
  <c r="J110" i="12"/>
  <c r="K231" i="12"/>
  <c r="L236" i="12"/>
  <c r="J272" i="12"/>
  <c r="R272" i="13" l="1"/>
  <c r="T236" i="13"/>
  <c r="S237" i="13"/>
  <c r="S110" i="13"/>
  <c r="V231" i="13"/>
  <c r="K272" i="12"/>
  <c r="M236" i="12"/>
  <c r="K237" i="12"/>
  <c r="L231" i="12"/>
  <c r="K110" i="12"/>
  <c r="AA115" i="11"/>
  <c r="AA50" i="11"/>
  <c r="AA54" i="11"/>
  <c r="AA68" i="11"/>
  <c r="AA72" i="11"/>
  <c r="AA84" i="11"/>
  <c r="AA99" i="11" s="1"/>
  <c r="AA110" i="11"/>
  <c r="Z115" i="11"/>
  <c r="Z110" i="11" s="1"/>
  <c r="Z50" i="11"/>
  <c r="Z54" i="11"/>
  <c r="Z68" i="11"/>
  <c r="Z72" i="11"/>
  <c r="Z84" i="11"/>
  <c r="Z99" i="11" s="1"/>
  <c r="Y115" i="11"/>
  <c r="Y50" i="11"/>
  <c r="Y54" i="11"/>
  <c r="Y68" i="11"/>
  <c r="Y72" i="11"/>
  <c r="Y84" i="11"/>
  <c r="Y110" i="11"/>
  <c r="X115" i="11"/>
  <c r="X110" i="11" s="1"/>
  <c r="X99" i="11"/>
  <c r="X89" i="11"/>
  <c r="X91" i="11" s="1"/>
  <c r="X92" i="11" s="1"/>
  <c r="X84" i="11"/>
  <c r="X100" i="11" s="1"/>
  <c r="X72" i="11"/>
  <c r="X68" i="11"/>
  <c r="X54" i="11"/>
  <c r="X50" i="11"/>
  <c r="W115" i="11"/>
  <c r="W110" i="11" s="1"/>
  <c r="W50" i="11"/>
  <c r="W54" i="11"/>
  <c r="W68" i="11"/>
  <c r="W72" i="11"/>
  <c r="W84" i="11"/>
  <c r="W99" i="11" s="1"/>
  <c r="V115" i="11"/>
  <c r="V50" i="11"/>
  <c r="V54" i="11"/>
  <c r="V68" i="11"/>
  <c r="V72" i="11"/>
  <c r="V84" i="11"/>
  <c r="V99" i="11" s="1"/>
  <c r="V110" i="11"/>
  <c r="U115" i="11"/>
  <c r="U50" i="11"/>
  <c r="U54" i="11"/>
  <c r="U68" i="11"/>
  <c r="U72" i="11"/>
  <c r="U84" i="11"/>
  <c r="U110" i="11"/>
  <c r="T116" i="11"/>
  <c r="T115" i="11"/>
  <c r="T50" i="11"/>
  <c r="T54" i="11"/>
  <c r="T68" i="11"/>
  <c r="T72" i="11"/>
  <c r="T84" i="11"/>
  <c r="T110" i="11"/>
  <c r="S115" i="11"/>
  <c r="S50" i="11"/>
  <c r="S54" i="11"/>
  <c r="S68" i="11"/>
  <c r="S72" i="11"/>
  <c r="S84" i="11"/>
  <c r="S99" i="11" s="1"/>
  <c r="S100" i="11" s="1"/>
  <c r="S110" i="11"/>
  <c r="W231" i="13" l="1"/>
  <c r="S272" i="13"/>
  <c r="U236" i="13"/>
  <c r="T237" i="13"/>
  <c r="T110" i="13"/>
  <c r="L272" i="12"/>
  <c r="N236" i="12"/>
  <c r="L237" i="12"/>
  <c r="M231" i="12"/>
  <c r="L110" i="12"/>
  <c r="AA100" i="11"/>
  <c r="AA89" i="11"/>
  <c r="AA91" i="11" s="1"/>
  <c r="AA92" i="11" s="1"/>
  <c r="Z89" i="11"/>
  <c r="Z91" i="11" s="1"/>
  <c r="Z92" i="11" s="1"/>
  <c r="Z100" i="11"/>
  <c r="Y89" i="11"/>
  <c r="Y91" i="11" s="1"/>
  <c r="Y99" i="11"/>
  <c r="Y100" i="11" s="1"/>
  <c r="W89" i="11"/>
  <c r="W91" i="11" s="1"/>
  <c r="W92" i="11" s="1"/>
  <c r="W100" i="11"/>
  <c r="V89" i="11"/>
  <c r="V91" i="11" s="1"/>
  <c r="V92" i="11" s="1"/>
  <c r="S89" i="11"/>
  <c r="S91" i="11" s="1"/>
  <c r="S92" i="11" s="1"/>
  <c r="V100" i="11"/>
  <c r="U89" i="11"/>
  <c r="U91" i="11" s="1"/>
  <c r="U92" i="11" s="1"/>
  <c r="U99" i="11"/>
  <c r="U100" i="11" s="1"/>
  <c r="T89" i="11"/>
  <c r="T91" i="11" s="1"/>
  <c r="T99" i="11"/>
  <c r="T100" i="11" s="1"/>
  <c r="T272" i="13" l="1"/>
  <c r="V236" i="13"/>
  <c r="U237" i="13"/>
  <c r="U110" i="13"/>
  <c r="X231" i="13"/>
  <c r="M110" i="12"/>
  <c r="M237" i="12"/>
  <c r="N231" i="12"/>
  <c r="O236" i="12"/>
  <c r="M272" i="12"/>
  <c r="Y92" i="11"/>
  <c r="T92" i="11"/>
  <c r="Y231" i="13" l="1"/>
  <c r="U272" i="13"/>
  <c r="W236" i="13"/>
  <c r="V237" i="13"/>
  <c r="V110" i="13"/>
  <c r="N272" i="12"/>
  <c r="P236" i="12"/>
  <c r="O231" i="12"/>
  <c r="N110" i="12"/>
  <c r="N237" i="12"/>
  <c r="P115" i="11"/>
  <c r="P50" i="11"/>
  <c r="P54" i="11"/>
  <c r="P68" i="11"/>
  <c r="O115" i="11"/>
  <c r="N115" i="11"/>
  <c r="V272" i="13" l="1"/>
  <c r="X236" i="13"/>
  <c r="W237" i="13"/>
  <c r="W110" i="13"/>
  <c r="Z231" i="13"/>
  <c r="O272" i="12"/>
  <c r="Q236" i="12"/>
  <c r="P231" i="12"/>
  <c r="O237" i="12"/>
  <c r="O110" i="12"/>
  <c r="M50" i="11"/>
  <c r="M54" i="11"/>
  <c r="L115" i="11"/>
  <c r="L113" i="11"/>
  <c r="L49" i="11"/>
  <c r="K113" i="11"/>
  <c r="K49" i="11"/>
  <c r="J113" i="11"/>
  <c r="J49" i="11"/>
  <c r="I115" i="11"/>
  <c r="I113" i="11"/>
  <c r="I49" i="11"/>
  <c r="H115" i="11"/>
  <c r="H113" i="11"/>
  <c r="H49" i="11"/>
  <c r="G115" i="11"/>
  <c r="G113" i="11"/>
  <c r="G49" i="11"/>
  <c r="F115" i="11"/>
  <c r="F113" i="11"/>
  <c r="F49" i="11"/>
  <c r="E115" i="11"/>
  <c r="E113" i="11"/>
  <c r="E49" i="11"/>
  <c r="AA231" i="13" l="1"/>
  <c r="W272" i="13"/>
  <c r="Y236" i="13"/>
  <c r="X237" i="13"/>
  <c r="X110" i="13"/>
  <c r="P272" i="12"/>
  <c r="R236" i="12"/>
  <c r="Q231" i="12"/>
  <c r="P237" i="12"/>
  <c r="D115" i="11"/>
  <c r="AH113" i="11"/>
  <c r="C115" i="11"/>
  <c r="B115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B272" i="11"/>
  <c r="S247" i="11"/>
  <c r="AG237" i="11"/>
  <c r="C237" i="11"/>
  <c r="D236" i="11"/>
  <c r="J235" i="11"/>
  <c r="K235" i="11" s="1"/>
  <c r="L235" i="11" s="1"/>
  <c r="M235" i="11" s="1"/>
  <c r="N235" i="11" s="1"/>
  <c r="O235" i="11" s="1"/>
  <c r="P235" i="11" s="1"/>
  <c r="Q235" i="11" s="1"/>
  <c r="R235" i="11" s="1"/>
  <c r="S235" i="11" s="1"/>
  <c r="T235" i="11" s="1"/>
  <c r="U235" i="11" s="1"/>
  <c r="V235" i="11" s="1"/>
  <c r="W235" i="11" s="1"/>
  <c r="X235" i="11" s="1"/>
  <c r="Y235" i="11" s="1"/>
  <c r="Z235" i="11" s="1"/>
  <c r="AA235" i="11" s="1"/>
  <c r="AB235" i="11" s="1"/>
  <c r="AC235" i="11" s="1"/>
  <c r="AD235" i="11" s="1"/>
  <c r="AE235" i="11" s="1"/>
  <c r="AF235" i="11" s="1"/>
  <c r="B235" i="11" s="1"/>
  <c r="E235" i="11"/>
  <c r="F235" i="11" s="1"/>
  <c r="G235" i="11" s="1"/>
  <c r="H235" i="11" s="1"/>
  <c r="I235" i="11" s="1"/>
  <c r="D235" i="11"/>
  <c r="D234" i="11"/>
  <c r="E234" i="11" s="1"/>
  <c r="F234" i="11" s="1"/>
  <c r="G234" i="11" s="1"/>
  <c r="H234" i="11" s="1"/>
  <c r="I234" i="11" s="1"/>
  <c r="J234" i="11" s="1"/>
  <c r="K234" i="11" s="1"/>
  <c r="L234" i="11" s="1"/>
  <c r="M234" i="11" s="1"/>
  <c r="N234" i="11" s="1"/>
  <c r="O234" i="11" s="1"/>
  <c r="P234" i="11" s="1"/>
  <c r="Q234" i="11" s="1"/>
  <c r="R234" i="11" s="1"/>
  <c r="S234" i="11" s="1"/>
  <c r="T234" i="11" s="1"/>
  <c r="U234" i="11" s="1"/>
  <c r="V234" i="11" s="1"/>
  <c r="W234" i="11" s="1"/>
  <c r="X234" i="11" s="1"/>
  <c r="Y234" i="11" s="1"/>
  <c r="Z234" i="11" s="1"/>
  <c r="AA234" i="11" s="1"/>
  <c r="AB234" i="11" s="1"/>
  <c r="AC234" i="11" s="1"/>
  <c r="AD234" i="11" s="1"/>
  <c r="AE234" i="11" s="1"/>
  <c r="AF234" i="11" s="1"/>
  <c r="B234" i="11" s="1"/>
  <c r="F233" i="11"/>
  <c r="G233" i="11" s="1"/>
  <c r="H233" i="11" s="1"/>
  <c r="I233" i="11" s="1"/>
  <c r="J233" i="11" s="1"/>
  <c r="K233" i="11" s="1"/>
  <c r="L233" i="11" s="1"/>
  <c r="M233" i="11" s="1"/>
  <c r="N233" i="11" s="1"/>
  <c r="O233" i="11" s="1"/>
  <c r="P233" i="11" s="1"/>
  <c r="Q233" i="11" s="1"/>
  <c r="R233" i="11" s="1"/>
  <c r="S233" i="11" s="1"/>
  <c r="T233" i="11" s="1"/>
  <c r="U233" i="11" s="1"/>
  <c r="V233" i="11" s="1"/>
  <c r="W233" i="11" s="1"/>
  <c r="X233" i="11" s="1"/>
  <c r="Y233" i="11" s="1"/>
  <c r="Z233" i="11" s="1"/>
  <c r="AA233" i="11" s="1"/>
  <c r="AB233" i="11" s="1"/>
  <c r="AC233" i="11" s="1"/>
  <c r="AD233" i="11" s="1"/>
  <c r="AE233" i="11" s="1"/>
  <c r="AF233" i="11" s="1"/>
  <c r="B233" i="11" s="1"/>
  <c r="E233" i="11"/>
  <c r="D233" i="11"/>
  <c r="D232" i="11"/>
  <c r="E231" i="11"/>
  <c r="D231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I122" i="11"/>
  <c r="AH122" i="11"/>
  <c r="AI121" i="11"/>
  <c r="AH121" i="11"/>
  <c r="AI120" i="11"/>
  <c r="AH120" i="11"/>
  <c r="AI119" i="11"/>
  <c r="AH119" i="11"/>
  <c r="AI118" i="11"/>
  <c r="AH118" i="11"/>
  <c r="AI115" i="11"/>
  <c r="AH115" i="11"/>
  <c r="AI114" i="11"/>
  <c r="AH114" i="11"/>
  <c r="AI113" i="11"/>
  <c r="AI112" i="11"/>
  <c r="AH112" i="11"/>
  <c r="AI111" i="11"/>
  <c r="AH111" i="11"/>
  <c r="D110" i="11"/>
  <c r="C110" i="11"/>
  <c r="AI109" i="11"/>
  <c r="AH109" i="11"/>
  <c r="AI108" i="11"/>
  <c r="AH108" i="11"/>
  <c r="AI107" i="11"/>
  <c r="AH107" i="11"/>
  <c r="AI106" i="11"/>
  <c r="AH106" i="11"/>
  <c r="AI105" i="11"/>
  <c r="AH105" i="11"/>
  <c r="AI104" i="11"/>
  <c r="AH104" i="11"/>
  <c r="AI103" i="11"/>
  <c r="AH103" i="11"/>
  <c r="AI102" i="11"/>
  <c r="AH102" i="11"/>
  <c r="AI101" i="11"/>
  <c r="AH101" i="11"/>
  <c r="AI98" i="11"/>
  <c r="AH98" i="11"/>
  <c r="AI97" i="11"/>
  <c r="AH97" i="11"/>
  <c r="AI96" i="11"/>
  <c r="AH96" i="11"/>
  <c r="AI95" i="11"/>
  <c r="AH95" i="11"/>
  <c r="AI94" i="11"/>
  <c r="AH94" i="11"/>
  <c r="AI93" i="11"/>
  <c r="AH93" i="11"/>
  <c r="AI90" i="11"/>
  <c r="AH90" i="11"/>
  <c r="AI88" i="11"/>
  <c r="AH88" i="11"/>
  <c r="AG88" i="11"/>
  <c r="AI87" i="11"/>
  <c r="AH87" i="11"/>
  <c r="AI86" i="11"/>
  <c r="AH86" i="11"/>
  <c r="AI85" i="11"/>
  <c r="AH85" i="11"/>
  <c r="AG84" i="11"/>
  <c r="AG91" i="11" s="1"/>
  <c r="AF84" i="11"/>
  <c r="AF99" i="11" s="1"/>
  <c r="AF100" i="11" s="1"/>
  <c r="AE84" i="11"/>
  <c r="AE99" i="11" s="1"/>
  <c r="AE100" i="11" s="1"/>
  <c r="AD84" i="11"/>
  <c r="AC5" i="11" s="1"/>
  <c r="AC84" i="11"/>
  <c r="AB84" i="11"/>
  <c r="AA5" i="11" s="1"/>
  <c r="U5" i="11"/>
  <c r="R84" i="11"/>
  <c r="R99" i="11" s="1"/>
  <c r="Q84" i="11"/>
  <c r="P84" i="11"/>
  <c r="O5" i="11" s="1"/>
  <c r="O84" i="11"/>
  <c r="O99" i="11" s="1"/>
  <c r="O100" i="11" s="1"/>
  <c r="N84" i="11"/>
  <c r="M5" i="11" s="1"/>
  <c r="M84" i="11"/>
  <c r="L84" i="11"/>
  <c r="K5" i="11" s="1"/>
  <c r="K84" i="11"/>
  <c r="J5" i="11" s="1"/>
  <c r="J84" i="11"/>
  <c r="J99" i="11" s="1"/>
  <c r="J100" i="11" s="1"/>
  <c r="I84" i="11"/>
  <c r="H84" i="11"/>
  <c r="G5" i="11" s="1"/>
  <c r="G84" i="11"/>
  <c r="G99" i="11" s="1"/>
  <c r="G100" i="11" s="1"/>
  <c r="F84" i="11"/>
  <c r="E5" i="11" s="1"/>
  <c r="E84" i="11"/>
  <c r="D84" i="11"/>
  <c r="C84" i="11"/>
  <c r="B84" i="11"/>
  <c r="AI83" i="11"/>
  <c r="AH83" i="11"/>
  <c r="AI82" i="11"/>
  <c r="AH82" i="11"/>
  <c r="AI81" i="11"/>
  <c r="AH81" i="11"/>
  <c r="AI80" i="11"/>
  <c r="AH80" i="11"/>
  <c r="AI79" i="11"/>
  <c r="AH79" i="11"/>
  <c r="AI78" i="11"/>
  <c r="AH78" i="11"/>
  <c r="AI77" i="11"/>
  <c r="AH77" i="11"/>
  <c r="AI76" i="11"/>
  <c r="AH76" i="11"/>
  <c r="AI75" i="11"/>
  <c r="AH75" i="11"/>
  <c r="AI74" i="11"/>
  <c r="AH74" i="11"/>
  <c r="AI73" i="11"/>
  <c r="AH73" i="11"/>
  <c r="AG72" i="11"/>
  <c r="AG4" i="11" s="1"/>
  <c r="AF72" i="11"/>
  <c r="AE72" i="11"/>
  <c r="AD72" i="11"/>
  <c r="AC72" i="11"/>
  <c r="AB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I71" i="11"/>
  <c r="AH71" i="11"/>
  <c r="AI70" i="11"/>
  <c r="AH70" i="11"/>
  <c r="AI69" i="11"/>
  <c r="AH69" i="11"/>
  <c r="AG68" i="11"/>
  <c r="AG3" i="11" s="1"/>
  <c r="AF68" i="11"/>
  <c r="AE68" i="11"/>
  <c r="AD68" i="11"/>
  <c r="AC68" i="11"/>
  <c r="AB68" i="11"/>
  <c r="R68" i="11"/>
  <c r="Q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I67" i="11"/>
  <c r="AH67" i="11"/>
  <c r="AG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G54" i="11"/>
  <c r="AF54" i="11"/>
  <c r="AE54" i="11"/>
  <c r="AD54" i="11"/>
  <c r="AC54" i="11"/>
  <c r="AB54" i="11"/>
  <c r="R54" i="11"/>
  <c r="Q54" i="11"/>
  <c r="O54" i="11"/>
  <c r="N54" i="11"/>
  <c r="L54" i="11"/>
  <c r="K54" i="11"/>
  <c r="J54" i="11"/>
  <c r="I54" i="11"/>
  <c r="H54" i="11"/>
  <c r="G54" i="11"/>
  <c r="F54" i="11"/>
  <c r="E54" i="11"/>
  <c r="D54" i="11"/>
  <c r="C54" i="11"/>
  <c r="B54" i="11"/>
  <c r="AI53" i="11"/>
  <c r="AH53" i="11"/>
  <c r="AI52" i="11"/>
  <c r="AH52" i="11"/>
  <c r="AI51" i="11"/>
  <c r="AH51" i="11"/>
  <c r="AG50" i="11"/>
  <c r="AG89" i="11" s="1"/>
  <c r="AF50" i="11"/>
  <c r="AE50" i="11"/>
  <c r="AD50" i="11"/>
  <c r="AC50" i="11"/>
  <c r="AB50" i="11"/>
  <c r="X7" i="11"/>
  <c r="R50" i="11"/>
  <c r="Q50" i="11"/>
  <c r="O50" i="11"/>
  <c r="N50" i="11"/>
  <c r="L50" i="11"/>
  <c r="K50" i="11"/>
  <c r="J50" i="11"/>
  <c r="I50" i="11"/>
  <c r="H50" i="11"/>
  <c r="G50" i="11"/>
  <c r="F50" i="11"/>
  <c r="E50" i="11"/>
  <c r="D50" i="11"/>
  <c r="D89" i="11" s="1"/>
  <c r="D91" i="11" s="1"/>
  <c r="C50" i="11"/>
  <c r="B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F5" i="11"/>
  <c r="Z5" i="11"/>
  <c r="Y5" i="11"/>
  <c r="W5" i="11"/>
  <c r="S5" i="11"/>
  <c r="R5" i="11"/>
  <c r="C5" i="11"/>
  <c r="B5" i="11"/>
  <c r="K4" i="11"/>
  <c r="E4" i="11"/>
  <c r="H4" i="11" s="1"/>
  <c r="B4" i="11"/>
  <c r="S248" i="11" s="1"/>
  <c r="AG2" i="11"/>
  <c r="AF115" i="10"/>
  <c r="AE115" i="10"/>
  <c r="AD115" i="10"/>
  <c r="AC115" i="10"/>
  <c r="AB115" i="10"/>
  <c r="X272" i="13" l="1"/>
  <c r="Z236" i="13"/>
  <c r="Y237" i="13"/>
  <c r="Y110" i="13"/>
  <c r="AB231" i="13"/>
  <c r="Q110" i="12"/>
  <c r="Q237" i="12"/>
  <c r="R231" i="12"/>
  <c r="S236" i="12"/>
  <c r="Q272" i="12"/>
  <c r="AE5" i="11"/>
  <c r="AF89" i="11"/>
  <c r="AF91" i="11" s="1"/>
  <c r="AF92" i="11" s="1"/>
  <c r="AF7" i="11" s="1"/>
  <c r="AB89" i="11"/>
  <c r="AB91" i="11" s="1"/>
  <c r="AT251" i="11" s="1"/>
  <c r="Q5" i="11"/>
  <c r="R89" i="11"/>
  <c r="R91" i="11" s="1"/>
  <c r="Q89" i="11"/>
  <c r="Q91" i="11" s="1"/>
  <c r="Q92" i="11" s="1"/>
  <c r="Q7" i="11" s="1"/>
  <c r="P89" i="11"/>
  <c r="P91" i="11" s="1"/>
  <c r="AH251" i="11" s="1"/>
  <c r="P99" i="11"/>
  <c r="P100" i="11" s="1"/>
  <c r="L89" i="11"/>
  <c r="L91" i="11" s="1"/>
  <c r="K89" i="11"/>
  <c r="K91" i="11" s="1"/>
  <c r="AD89" i="11"/>
  <c r="AD91" i="11" s="1"/>
  <c r="AV251" i="11" s="1"/>
  <c r="N89" i="11"/>
  <c r="N91" i="11" s="1"/>
  <c r="AF251" i="11" s="1"/>
  <c r="O89" i="11"/>
  <c r="O91" i="11" s="1"/>
  <c r="AG251" i="11" s="1"/>
  <c r="AE89" i="11"/>
  <c r="AE91" i="11" s="1"/>
  <c r="AW251" i="11" s="1"/>
  <c r="R100" i="11"/>
  <c r="K99" i="11"/>
  <c r="K100" i="11" s="1"/>
  <c r="I5" i="11"/>
  <c r="J89" i="11"/>
  <c r="J91" i="11" s="1"/>
  <c r="AB251" i="11" s="1"/>
  <c r="I89" i="11"/>
  <c r="I91" i="11" s="1"/>
  <c r="AA251" i="11" s="1"/>
  <c r="H99" i="11"/>
  <c r="H100" i="11" s="1"/>
  <c r="H89" i="11"/>
  <c r="H91" i="11" s="1"/>
  <c r="H92" i="11" s="1"/>
  <c r="H7" i="11" s="1"/>
  <c r="G89" i="11"/>
  <c r="G91" i="11" s="1"/>
  <c r="F89" i="11"/>
  <c r="F91" i="11" s="1"/>
  <c r="AI84" i="11"/>
  <c r="C99" i="11"/>
  <c r="C100" i="11" s="1"/>
  <c r="AI54" i="11"/>
  <c r="C89" i="11"/>
  <c r="C91" i="11" s="1"/>
  <c r="U251" i="11" s="1"/>
  <c r="B89" i="11"/>
  <c r="B91" i="11" s="1"/>
  <c r="AA7" i="11"/>
  <c r="AS251" i="11"/>
  <c r="AG6" i="11"/>
  <c r="X251" i="11"/>
  <c r="K92" i="11"/>
  <c r="K7" i="11" s="1"/>
  <c r="AC251" i="11"/>
  <c r="AN251" i="11"/>
  <c r="R92" i="11"/>
  <c r="R7" i="11" s="1"/>
  <c r="AJ251" i="11"/>
  <c r="Z7" i="11"/>
  <c r="AR251" i="11"/>
  <c r="AH50" i="11"/>
  <c r="AH54" i="11"/>
  <c r="H5" i="11"/>
  <c r="I99" i="11"/>
  <c r="I100" i="11" s="1"/>
  <c r="P5" i="11"/>
  <c r="Q99" i="11"/>
  <c r="Q100" i="11" s="1"/>
  <c r="X5" i="11"/>
  <c r="AP251" i="11"/>
  <c r="D237" i="11"/>
  <c r="E232" i="11"/>
  <c r="C272" i="11"/>
  <c r="E236" i="11"/>
  <c r="Y7" i="11"/>
  <c r="AQ251" i="11"/>
  <c r="E89" i="11"/>
  <c r="E91" i="11" s="1"/>
  <c r="M89" i="11"/>
  <c r="M91" i="11" s="1"/>
  <c r="AC89" i="11"/>
  <c r="AC91" i="11" s="1"/>
  <c r="AI72" i="11"/>
  <c r="F231" i="11"/>
  <c r="E110" i="11"/>
  <c r="AD251" i="11"/>
  <c r="AO251" i="11"/>
  <c r="W7" i="11"/>
  <c r="S7" i="11"/>
  <c r="AK251" i="11"/>
  <c r="Y251" i="11"/>
  <c r="G92" i="11"/>
  <c r="G7" i="11" s="1"/>
  <c r="AI50" i="11"/>
  <c r="D92" i="11"/>
  <c r="D7" i="11" s="1"/>
  <c r="V251" i="11"/>
  <c r="AL251" i="11"/>
  <c r="AI68" i="11"/>
  <c r="F99" i="11"/>
  <c r="F92" i="11" s="1"/>
  <c r="F7" i="11" s="1"/>
  <c r="N99" i="11"/>
  <c r="AD99" i="11"/>
  <c r="AD100" i="11" s="1"/>
  <c r="D248" i="11"/>
  <c r="D5" i="11"/>
  <c r="L5" i="11"/>
  <c r="T5" i="11"/>
  <c r="AB5" i="11"/>
  <c r="B99" i="11"/>
  <c r="F5" i="11"/>
  <c r="N5" i="11"/>
  <c r="V5" i="11"/>
  <c r="AD5" i="11"/>
  <c r="AH68" i="11"/>
  <c r="AH72" i="11"/>
  <c r="AH84" i="11"/>
  <c r="D99" i="11"/>
  <c r="D100" i="11" s="1"/>
  <c r="L99" i="11"/>
  <c r="L92" i="11" s="1"/>
  <c r="L7" i="11" s="1"/>
  <c r="AB99" i="11"/>
  <c r="AB100" i="11" s="1"/>
  <c r="E99" i="11"/>
  <c r="E100" i="11" s="1"/>
  <c r="M99" i="11"/>
  <c r="M100" i="11" s="1"/>
  <c r="AC99" i="11"/>
  <c r="AC100" i="11" s="1"/>
  <c r="AA236" i="13" l="1"/>
  <c r="Y272" i="13"/>
  <c r="Z237" i="13"/>
  <c r="Z110" i="13"/>
  <c r="AC231" i="13"/>
  <c r="T236" i="12"/>
  <c r="R272" i="12"/>
  <c r="R110" i="12"/>
  <c r="R237" i="12"/>
  <c r="S231" i="12"/>
  <c r="AX251" i="11"/>
  <c r="AI251" i="11"/>
  <c r="P92" i="11"/>
  <c r="P7" i="11" s="1"/>
  <c r="N92" i="11"/>
  <c r="N7" i="11" s="1"/>
  <c r="L100" i="11"/>
  <c r="Z251" i="11"/>
  <c r="J92" i="11"/>
  <c r="J7" i="11" s="1"/>
  <c r="O92" i="11"/>
  <c r="O7" i="11" s="1"/>
  <c r="AE92" i="11"/>
  <c r="AE7" i="11" s="1"/>
  <c r="T7" i="11"/>
  <c r="B246" i="11"/>
  <c r="C92" i="11"/>
  <c r="C7" i="11" s="1"/>
  <c r="F100" i="11"/>
  <c r="AU251" i="11"/>
  <c r="AC92" i="11"/>
  <c r="AC7" i="11" s="1"/>
  <c r="V7" i="11"/>
  <c r="AH89" i="11"/>
  <c r="D272" i="11"/>
  <c r="F236" i="11"/>
  <c r="AD92" i="11"/>
  <c r="AD7" i="11" s="1"/>
  <c r="B92" i="11"/>
  <c r="AI91" i="11"/>
  <c r="T251" i="11"/>
  <c r="AH91" i="11"/>
  <c r="AI99" i="11"/>
  <c r="AH99" i="11"/>
  <c r="B100" i="11"/>
  <c r="I92" i="11"/>
  <c r="I7" i="11" s="1"/>
  <c r="AB92" i="11"/>
  <c r="AB7" i="11" s="1"/>
  <c r="F232" i="11"/>
  <c r="G232" i="11" s="1"/>
  <c r="H232" i="11" s="1"/>
  <c r="I232" i="11" s="1"/>
  <c r="J232" i="11" s="1"/>
  <c r="K232" i="11" s="1"/>
  <c r="L232" i="11" s="1"/>
  <c r="M232" i="11" s="1"/>
  <c r="N232" i="11" s="1"/>
  <c r="O232" i="11" s="1"/>
  <c r="P232" i="11" s="1"/>
  <c r="Q232" i="11" s="1"/>
  <c r="R232" i="11" s="1"/>
  <c r="S232" i="11" s="1"/>
  <c r="T232" i="11" s="1"/>
  <c r="U232" i="11" s="1"/>
  <c r="V232" i="11" s="1"/>
  <c r="W232" i="11" s="1"/>
  <c r="X232" i="11" s="1"/>
  <c r="Y232" i="11" s="1"/>
  <c r="Z232" i="11" s="1"/>
  <c r="AA232" i="11" s="1"/>
  <c r="AB232" i="11" s="1"/>
  <c r="AC232" i="11" s="1"/>
  <c r="AD232" i="11" s="1"/>
  <c r="AE232" i="11" s="1"/>
  <c r="AF232" i="11" s="1"/>
  <c r="B232" i="11" s="1"/>
  <c r="E237" i="11"/>
  <c r="AM251" i="11"/>
  <c r="U7" i="11"/>
  <c r="AE251" i="11"/>
  <c r="M92" i="11"/>
  <c r="M7" i="11" s="1"/>
  <c r="N100" i="11"/>
  <c r="C246" i="11"/>
  <c r="W251" i="11"/>
  <c r="E92" i="11"/>
  <c r="E7" i="11" s="1"/>
  <c r="AI89" i="11"/>
  <c r="G231" i="11"/>
  <c r="F110" i="11"/>
  <c r="F237" i="11"/>
  <c r="AD231" i="13" l="1"/>
  <c r="Z272" i="13"/>
  <c r="AB236" i="13"/>
  <c r="AA110" i="13"/>
  <c r="AA237" i="13"/>
  <c r="S237" i="12"/>
  <c r="T231" i="12"/>
  <c r="S272" i="12"/>
  <c r="U236" i="12"/>
  <c r="K6" i="11"/>
  <c r="AI92" i="11"/>
  <c r="AH92" i="11"/>
  <c r="B7" i="11"/>
  <c r="A7" i="11" s="1"/>
  <c r="H231" i="11"/>
  <c r="G110" i="11"/>
  <c r="G236" i="11"/>
  <c r="E272" i="11"/>
  <c r="AH100" i="11"/>
  <c r="AI100" i="11"/>
  <c r="AA272" i="13" l="1"/>
  <c r="AC236" i="13"/>
  <c r="AB237" i="13"/>
  <c r="AE231" i="13"/>
  <c r="T272" i="12"/>
  <c r="V236" i="12"/>
  <c r="T237" i="12"/>
  <c r="U231" i="12"/>
  <c r="F272" i="11"/>
  <c r="H236" i="11"/>
  <c r="G237" i="11"/>
  <c r="I231" i="11"/>
  <c r="H237" i="11"/>
  <c r="H110" i="11"/>
  <c r="AF231" i="13" l="1"/>
  <c r="AB272" i="13"/>
  <c r="AD236" i="13"/>
  <c r="AC237" i="13"/>
  <c r="U237" i="12"/>
  <c r="V231" i="12"/>
  <c r="U272" i="12"/>
  <c r="W236" i="12"/>
  <c r="J231" i="11"/>
  <c r="G272" i="11"/>
  <c r="I236" i="11"/>
  <c r="AC272" i="13" l="1"/>
  <c r="AE236" i="13"/>
  <c r="AD237" i="13"/>
  <c r="B231" i="13"/>
  <c r="V272" i="12"/>
  <c r="X236" i="12"/>
  <c r="W231" i="12"/>
  <c r="V237" i="12"/>
  <c r="H272" i="11"/>
  <c r="J236" i="11"/>
  <c r="J110" i="11"/>
  <c r="J237" i="11"/>
  <c r="K231" i="11"/>
  <c r="I237" i="11"/>
  <c r="I110" i="11"/>
  <c r="AD272" i="13" l="1"/>
  <c r="AF236" i="13"/>
  <c r="AE237" i="13"/>
  <c r="W272" i="12"/>
  <c r="Y236" i="12"/>
  <c r="X231" i="12"/>
  <c r="W237" i="12"/>
  <c r="L231" i="11"/>
  <c r="K236" i="11"/>
  <c r="K237" i="11" s="1"/>
  <c r="I272" i="11"/>
  <c r="B236" i="13" l="1"/>
  <c r="AE272" i="13"/>
  <c r="AF237" i="13"/>
  <c r="Y231" i="12"/>
  <c r="X237" i="12"/>
  <c r="X272" i="12"/>
  <c r="Z236" i="12"/>
  <c r="J272" i="11"/>
  <c r="L236" i="11"/>
  <c r="L237" i="11"/>
  <c r="M231" i="11"/>
  <c r="L110" i="11"/>
  <c r="K110" i="11"/>
  <c r="AF272" i="13" l="1"/>
  <c r="B110" i="13"/>
  <c r="B237" i="13"/>
  <c r="AA236" i="12"/>
  <c r="Y272" i="12"/>
  <c r="Y237" i="12"/>
  <c r="Z231" i="12"/>
  <c r="N231" i="11"/>
  <c r="K272" i="11"/>
  <c r="M236" i="11"/>
  <c r="AI110" i="13" l="1"/>
  <c r="AH110" i="13"/>
  <c r="Z237" i="12"/>
  <c r="AA231" i="12"/>
  <c r="AB236" i="12"/>
  <c r="Z272" i="12"/>
  <c r="L272" i="11"/>
  <c r="N236" i="11"/>
  <c r="M237" i="11"/>
  <c r="M110" i="11"/>
  <c r="O231" i="11"/>
  <c r="N110" i="11"/>
  <c r="N237" i="11"/>
  <c r="R115" i="10"/>
  <c r="AA272" i="12" l="1"/>
  <c r="AC236" i="12"/>
  <c r="AA237" i="12"/>
  <c r="AB231" i="12"/>
  <c r="P231" i="11"/>
  <c r="O236" i="11"/>
  <c r="M272" i="11"/>
  <c r="Q115" i="10"/>
  <c r="AB272" i="12" l="1"/>
  <c r="AD236" i="12"/>
  <c r="AB237" i="12"/>
  <c r="AC231" i="12"/>
  <c r="AB110" i="12"/>
  <c r="N272" i="11"/>
  <c r="P236" i="11"/>
  <c r="O110" i="11"/>
  <c r="O237" i="11"/>
  <c r="Q231" i="11"/>
  <c r="P237" i="11"/>
  <c r="AH11" i="9"/>
  <c r="M115" i="10"/>
  <c r="L115" i="10"/>
  <c r="L113" i="10"/>
  <c r="K115" i="10"/>
  <c r="AC272" i="12" l="1"/>
  <c r="AE236" i="12"/>
  <c r="AC110" i="12"/>
  <c r="AC237" i="12"/>
  <c r="AD231" i="12"/>
  <c r="R231" i="11"/>
  <c r="O272" i="11"/>
  <c r="Q236" i="11"/>
  <c r="K49" i="10"/>
  <c r="J49" i="10"/>
  <c r="J50" i="10"/>
  <c r="I115" i="10"/>
  <c r="I113" i="10"/>
  <c r="I49" i="10"/>
  <c r="I50" i="10"/>
  <c r="I54" i="10"/>
  <c r="H115" i="10"/>
  <c r="H113" i="10"/>
  <c r="H49" i="10"/>
  <c r="H50" i="10"/>
  <c r="H54" i="10"/>
  <c r="AE231" i="12" l="1"/>
  <c r="AD237" i="12"/>
  <c r="AD272" i="12"/>
  <c r="AF236" i="12"/>
  <c r="P272" i="11"/>
  <c r="R236" i="11"/>
  <c r="R237" i="11"/>
  <c r="R110" i="11"/>
  <c r="S231" i="11"/>
  <c r="Q110" i="11"/>
  <c r="Q237" i="11"/>
  <c r="G115" i="10"/>
  <c r="G113" i="10"/>
  <c r="G49" i="10"/>
  <c r="G50" i="10"/>
  <c r="G54" i="10"/>
  <c r="F115" i="10"/>
  <c r="F113" i="10"/>
  <c r="F49" i="10"/>
  <c r="AH49" i="10"/>
  <c r="F50" i="10"/>
  <c r="E115" i="10"/>
  <c r="E113" i="10"/>
  <c r="E49" i="10"/>
  <c r="E50" i="10"/>
  <c r="E54" i="10"/>
  <c r="D115" i="10"/>
  <c r="D113" i="10"/>
  <c r="D49" i="10"/>
  <c r="AI49" i="10" s="1"/>
  <c r="D50" i="10"/>
  <c r="D54" i="10"/>
  <c r="D68" i="10"/>
  <c r="D72" i="10"/>
  <c r="D84" i="10"/>
  <c r="D99" i="10" s="1"/>
  <c r="D110" i="10"/>
  <c r="AH115" i="10"/>
  <c r="C115" i="10"/>
  <c r="C113" i="10"/>
  <c r="C49" i="10"/>
  <c r="C50" i="10"/>
  <c r="C54" i="10"/>
  <c r="C68" i="10"/>
  <c r="C72" i="10"/>
  <c r="C84" i="10"/>
  <c r="C99" i="10" s="1"/>
  <c r="C110" i="10"/>
  <c r="B115" i="10"/>
  <c r="B113" i="10"/>
  <c r="B49" i="10"/>
  <c r="B84" i="10"/>
  <c r="AF5" i="10" s="1"/>
  <c r="B72" i="10"/>
  <c r="B68" i="10"/>
  <c r="B54" i="10"/>
  <c r="B50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C272" i="10"/>
  <c r="B272" i="10"/>
  <c r="S247" i="10"/>
  <c r="AG237" i="10"/>
  <c r="C237" i="10"/>
  <c r="E236" i="10"/>
  <c r="D272" i="10" s="1"/>
  <c r="D236" i="10"/>
  <c r="D235" i="10"/>
  <c r="E235" i="10" s="1"/>
  <c r="F235" i="10" s="1"/>
  <c r="G235" i="10" s="1"/>
  <c r="H235" i="10" s="1"/>
  <c r="I235" i="10" s="1"/>
  <c r="J235" i="10" s="1"/>
  <c r="K235" i="10" s="1"/>
  <c r="L235" i="10" s="1"/>
  <c r="M235" i="10" s="1"/>
  <c r="N235" i="10" s="1"/>
  <c r="O235" i="10" s="1"/>
  <c r="P235" i="10" s="1"/>
  <c r="Q235" i="10" s="1"/>
  <c r="R235" i="10" s="1"/>
  <c r="S235" i="10" s="1"/>
  <c r="T235" i="10" s="1"/>
  <c r="U235" i="10" s="1"/>
  <c r="V235" i="10" s="1"/>
  <c r="W235" i="10" s="1"/>
  <c r="X235" i="10" s="1"/>
  <c r="Y235" i="10" s="1"/>
  <c r="Z235" i="10" s="1"/>
  <c r="AA235" i="10" s="1"/>
  <c r="AB235" i="10" s="1"/>
  <c r="AC235" i="10" s="1"/>
  <c r="AD235" i="10" s="1"/>
  <c r="AE235" i="10" s="1"/>
  <c r="AF235" i="10" s="1"/>
  <c r="B235" i="10" s="1"/>
  <c r="E234" i="10"/>
  <c r="F234" i="10" s="1"/>
  <c r="G234" i="10" s="1"/>
  <c r="H234" i="10" s="1"/>
  <c r="I234" i="10" s="1"/>
  <c r="J234" i="10" s="1"/>
  <c r="K234" i="10" s="1"/>
  <c r="L234" i="10" s="1"/>
  <c r="M234" i="10" s="1"/>
  <c r="N234" i="10" s="1"/>
  <c r="O234" i="10" s="1"/>
  <c r="P234" i="10" s="1"/>
  <c r="Q234" i="10" s="1"/>
  <c r="R234" i="10" s="1"/>
  <c r="S234" i="10" s="1"/>
  <c r="T234" i="10" s="1"/>
  <c r="U234" i="10" s="1"/>
  <c r="V234" i="10" s="1"/>
  <c r="W234" i="10" s="1"/>
  <c r="X234" i="10" s="1"/>
  <c r="Y234" i="10" s="1"/>
  <c r="Z234" i="10" s="1"/>
  <c r="AA234" i="10" s="1"/>
  <c r="AB234" i="10" s="1"/>
  <c r="AC234" i="10" s="1"/>
  <c r="AD234" i="10" s="1"/>
  <c r="AE234" i="10" s="1"/>
  <c r="AF234" i="10" s="1"/>
  <c r="B234" i="10" s="1"/>
  <c r="D234" i="10"/>
  <c r="E233" i="10"/>
  <c r="F233" i="10" s="1"/>
  <c r="G233" i="10" s="1"/>
  <c r="H233" i="10" s="1"/>
  <c r="I233" i="10" s="1"/>
  <c r="J233" i="10" s="1"/>
  <c r="K233" i="10" s="1"/>
  <c r="L233" i="10" s="1"/>
  <c r="M233" i="10" s="1"/>
  <c r="N233" i="10" s="1"/>
  <c r="O233" i="10" s="1"/>
  <c r="P233" i="10" s="1"/>
  <c r="Q233" i="10" s="1"/>
  <c r="R233" i="10" s="1"/>
  <c r="S233" i="10" s="1"/>
  <c r="T233" i="10" s="1"/>
  <c r="U233" i="10" s="1"/>
  <c r="V233" i="10" s="1"/>
  <c r="W233" i="10" s="1"/>
  <c r="X233" i="10" s="1"/>
  <c r="Y233" i="10" s="1"/>
  <c r="Z233" i="10" s="1"/>
  <c r="AA233" i="10" s="1"/>
  <c r="AB233" i="10" s="1"/>
  <c r="AC233" i="10" s="1"/>
  <c r="AD233" i="10" s="1"/>
  <c r="AE233" i="10" s="1"/>
  <c r="AF233" i="10" s="1"/>
  <c r="B233" i="10" s="1"/>
  <c r="D233" i="10"/>
  <c r="E232" i="10"/>
  <c r="F232" i="10" s="1"/>
  <c r="G232" i="10" s="1"/>
  <c r="H232" i="10" s="1"/>
  <c r="I232" i="10" s="1"/>
  <c r="J232" i="10" s="1"/>
  <c r="K232" i="10" s="1"/>
  <c r="L232" i="10" s="1"/>
  <c r="M232" i="10" s="1"/>
  <c r="N232" i="10" s="1"/>
  <c r="O232" i="10" s="1"/>
  <c r="P232" i="10" s="1"/>
  <c r="Q232" i="10" s="1"/>
  <c r="R232" i="10" s="1"/>
  <c r="S232" i="10" s="1"/>
  <c r="T232" i="10" s="1"/>
  <c r="U232" i="10" s="1"/>
  <c r="V232" i="10" s="1"/>
  <c r="W232" i="10" s="1"/>
  <c r="X232" i="10" s="1"/>
  <c r="Y232" i="10" s="1"/>
  <c r="Z232" i="10" s="1"/>
  <c r="AA232" i="10" s="1"/>
  <c r="AB232" i="10" s="1"/>
  <c r="AC232" i="10" s="1"/>
  <c r="AD232" i="10" s="1"/>
  <c r="AE232" i="10" s="1"/>
  <c r="AF232" i="10" s="1"/>
  <c r="B232" i="10" s="1"/>
  <c r="D232" i="10"/>
  <c r="D231" i="10"/>
  <c r="D237" i="10" s="1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I122" i="10"/>
  <c r="AH122" i="10"/>
  <c r="AI121" i="10"/>
  <c r="AH121" i="10"/>
  <c r="AI120" i="10"/>
  <c r="AH120" i="10"/>
  <c r="AI119" i="10"/>
  <c r="AH119" i="10"/>
  <c r="AI118" i="10"/>
  <c r="AH118" i="10"/>
  <c r="AI114" i="10"/>
  <c r="AH114" i="10"/>
  <c r="AI112" i="10"/>
  <c r="AH112" i="10"/>
  <c r="AI111" i="10"/>
  <c r="AH111" i="10"/>
  <c r="AI109" i="10"/>
  <c r="AH109" i="10"/>
  <c r="AI108" i="10"/>
  <c r="AH108" i="10"/>
  <c r="AI107" i="10"/>
  <c r="AH107" i="10"/>
  <c r="AI106" i="10"/>
  <c r="AH106" i="10"/>
  <c r="AI105" i="10"/>
  <c r="AH105" i="10"/>
  <c r="AI104" i="10"/>
  <c r="AH104" i="10"/>
  <c r="AI103" i="10"/>
  <c r="AH103" i="10"/>
  <c r="AI102" i="10"/>
  <c r="AH102" i="10"/>
  <c r="AI101" i="10"/>
  <c r="AH101" i="10"/>
  <c r="AI98" i="10"/>
  <c r="AH98" i="10"/>
  <c r="AI97" i="10"/>
  <c r="AH97" i="10"/>
  <c r="AI96" i="10"/>
  <c r="AH96" i="10"/>
  <c r="AI95" i="10"/>
  <c r="AH95" i="10"/>
  <c r="AI94" i="10"/>
  <c r="AH94" i="10"/>
  <c r="AI93" i="10"/>
  <c r="AH93" i="10"/>
  <c r="AI90" i="10"/>
  <c r="AH90" i="10"/>
  <c r="AI88" i="10"/>
  <c r="AH88" i="10"/>
  <c r="AG88" i="10"/>
  <c r="AI87" i="10"/>
  <c r="AH87" i="10"/>
  <c r="AI86" i="10"/>
  <c r="AH86" i="10"/>
  <c r="AI85" i="10"/>
  <c r="AH85" i="10"/>
  <c r="AG84" i="10"/>
  <c r="AF84" i="10"/>
  <c r="AE5" i="10" s="1"/>
  <c r="AE84" i="10"/>
  <c r="AD84" i="10"/>
  <c r="AC5" i="10" s="1"/>
  <c r="AC84" i="10"/>
  <c r="AB5" i="10" s="1"/>
  <c r="AB84" i="10"/>
  <c r="AA5" i="10" s="1"/>
  <c r="AA84" i="10"/>
  <c r="Z5" i="10" s="1"/>
  <c r="Z84" i="10"/>
  <c r="Z99" i="10" s="1"/>
  <c r="Y84" i="10"/>
  <c r="X5" i="10" s="1"/>
  <c r="X84" i="10"/>
  <c r="W5" i="10" s="1"/>
  <c r="W84" i="10"/>
  <c r="V84" i="10"/>
  <c r="U5" i="10" s="1"/>
  <c r="U84" i="10"/>
  <c r="T5" i="10" s="1"/>
  <c r="T84" i="10"/>
  <c r="S5" i="10" s="1"/>
  <c r="S84" i="10"/>
  <c r="R5" i="10" s="1"/>
  <c r="R84" i="10"/>
  <c r="Q84" i="10"/>
  <c r="Q99" i="10" s="1"/>
  <c r="Q100" i="10" s="1"/>
  <c r="P84" i="10"/>
  <c r="O5" i="10" s="1"/>
  <c r="O84" i="10"/>
  <c r="N84" i="10"/>
  <c r="M5" i="10" s="1"/>
  <c r="M84" i="10"/>
  <c r="L5" i="10" s="1"/>
  <c r="L84" i="10"/>
  <c r="K5" i="10" s="1"/>
  <c r="K84" i="10"/>
  <c r="J5" i="10" s="1"/>
  <c r="J84" i="10"/>
  <c r="I5" i="10" s="1"/>
  <c r="I84" i="10"/>
  <c r="H5" i="10" s="1"/>
  <c r="H84" i="10"/>
  <c r="G5" i="10" s="1"/>
  <c r="G84" i="10"/>
  <c r="F84" i="10"/>
  <c r="E5" i="10" s="1"/>
  <c r="E84" i="10"/>
  <c r="D5" i="10" s="1"/>
  <c r="AI83" i="10"/>
  <c r="AH83" i="10"/>
  <c r="AI82" i="10"/>
  <c r="AH82" i="10"/>
  <c r="AI81" i="10"/>
  <c r="AH81" i="10"/>
  <c r="AI80" i="10"/>
  <c r="AH80" i="10"/>
  <c r="AI79" i="10"/>
  <c r="AH79" i="10"/>
  <c r="AI78" i="10"/>
  <c r="AH78" i="10"/>
  <c r="AI77" i="10"/>
  <c r="AH77" i="10"/>
  <c r="AI76" i="10"/>
  <c r="AH76" i="10"/>
  <c r="AI75" i="10"/>
  <c r="AH75" i="10"/>
  <c r="AI74" i="10"/>
  <c r="AH74" i="10"/>
  <c r="AI73" i="10"/>
  <c r="AH73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AI71" i="10"/>
  <c r="AH71" i="10"/>
  <c r="AI70" i="10"/>
  <c r="AH70" i="10"/>
  <c r="AI69" i="10"/>
  <c r="AH69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AI67" i="10"/>
  <c r="AH67" i="10"/>
  <c r="AG67" i="10"/>
  <c r="AG68" i="10" s="1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F54" i="10"/>
  <c r="AI53" i="10"/>
  <c r="AH53" i="10"/>
  <c r="AI52" i="10"/>
  <c r="AH52" i="10"/>
  <c r="AI51" i="10"/>
  <c r="AH51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G4" i="10"/>
  <c r="K4" i="10"/>
  <c r="E4" i="10"/>
  <c r="H4" i="10" s="1"/>
  <c r="B4" i="10"/>
  <c r="D248" i="10" s="1"/>
  <c r="AG2" i="10"/>
  <c r="AF115" i="9"/>
  <c r="AF113" i="9"/>
  <c r="AF49" i="9"/>
  <c r="AF50" i="9"/>
  <c r="AF54" i="9"/>
  <c r="AF68" i="9"/>
  <c r="AF72" i="9"/>
  <c r="AF84" i="9"/>
  <c r="AF99" i="9" s="1"/>
  <c r="AF110" i="9"/>
  <c r="AE115" i="9"/>
  <c r="AE113" i="9"/>
  <c r="AE49" i="9"/>
  <c r="AE50" i="9"/>
  <c r="AE54" i="9"/>
  <c r="AE68" i="9"/>
  <c r="AE72" i="9"/>
  <c r="AE84" i="9"/>
  <c r="AE99" i="9" s="1"/>
  <c r="AD110" i="9"/>
  <c r="AD115" i="9"/>
  <c r="AD49" i="9"/>
  <c r="AC115" i="9"/>
  <c r="B236" i="12" l="1"/>
  <c r="AF272" i="12" s="1"/>
  <c r="AE272" i="12"/>
  <c r="AF231" i="12"/>
  <c r="AE110" i="12"/>
  <c r="AE237" i="12"/>
  <c r="T231" i="11"/>
  <c r="S236" i="11"/>
  <c r="Q272" i="11"/>
  <c r="AF89" i="10"/>
  <c r="AF91" i="10" s="1"/>
  <c r="AD89" i="10"/>
  <c r="AD91" i="10" s="1"/>
  <c r="AV251" i="10" s="1"/>
  <c r="AC89" i="10"/>
  <c r="AC91" i="10" s="1"/>
  <c r="AU251" i="10" s="1"/>
  <c r="AB89" i="10"/>
  <c r="AB91" i="10" s="1"/>
  <c r="Z89" i="10"/>
  <c r="Z91" i="10" s="1"/>
  <c r="Y5" i="10"/>
  <c r="Z100" i="10"/>
  <c r="Y99" i="10"/>
  <c r="Y100" i="10" s="1"/>
  <c r="AA89" i="10"/>
  <c r="AA91" i="10" s="1"/>
  <c r="Y89" i="10"/>
  <c r="Y91" i="10" s="1"/>
  <c r="Y92" i="10" s="1"/>
  <c r="Y7" i="10" s="1"/>
  <c r="X89" i="10"/>
  <c r="X91" i="10" s="1"/>
  <c r="V89" i="10"/>
  <c r="V91" i="10" s="1"/>
  <c r="AN251" i="10" s="1"/>
  <c r="U89" i="10"/>
  <c r="U91" i="10" s="1"/>
  <c r="AM251" i="10" s="1"/>
  <c r="T89" i="10"/>
  <c r="T91" i="10" s="1"/>
  <c r="AL251" i="10" s="1"/>
  <c r="S89" i="10"/>
  <c r="S91" i="10" s="1"/>
  <c r="AK251" i="10" s="1"/>
  <c r="R99" i="10"/>
  <c r="R100" i="10" s="1"/>
  <c r="Q5" i="10"/>
  <c r="R89" i="10"/>
  <c r="R91" i="10" s="1"/>
  <c r="AJ251" i="10" s="1"/>
  <c r="P5" i="10"/>
  <c r="Q89" i="10"/>
  <c r="Q91" i="10" s="1"/>
  <c r="P89" i="10"/>
  <c r="P91" i="10" s="1"/>
  <c r="AH251" i="10" s="1"/>
  <c r="N89" i="10"/>
  <c r="N91" i="10" s="1"/>
  <c r="AF251" i="10" s="1"/>
  <c r="M89" i="10"/>
  <c r="M91" i="10" s="1"/>
  <c r="L89" i="10"/>
  <c r="L91" i="10" s="1"/>
  <c r="AD251" i="10" s="1"/>
  <c r="J89" i="10"/>
  <c r="J91" i="10" s="1"/>
  <c r="J92" i="10" s="1"/>
  <c r="J7" i="10" s="1"/>
  <c r="J99" i="10"/>
  <c r="J100" i="10" s="1"/>
  <c r="K89" i="10"/>
  <c r="K91" i="10" s="1"/>
  <c r="AC251" i="10" s="1"/>
  <c r="I99" i="10"/>
  <c r="I100" i="10" s="1"/>
  <c r="I89" i="10"/>
  <c r="I91" i="10" s="1"/>
  <c r="AA251" i="10" s="1"/>
  <c r="H89" i="10"/>
  <c r="H91" i="10" s="1"/>
  <c r="F89" i="10"/>
  <c r="F91" i="10" s="1"/>
  <c r="X251" i="10" s="1"/>
  <c r="E89" i="10"/>
  <c r="E91" i="10" s="1"/>
  <c r="W251" i="10" s="1"/>
  <c r="D89" i="10"/>
  <c r="D91" i="10" s="1"/>
  <c r="D92" i="10" s="1"/>
  <c r="D7" i="10" s="1"/>
  <c r="C5" i="10"/>
  <c r="D100" i="10"/>
  <c r="B5" i="10"/>
  <c r="C89" i="10"/>
  <c r="C91" i="10" s="1"/>
  <c r="C92" i="10" s="1"/>
  <c r="AI113" i="10"/>
  <c r="AI115" i="10"/>
  <c r="C100" i="10"/>
  <c r="B110" i="10"/>
  <c r="AH113" i="10"/>
  <c r="B89" i="10"/>
  <c r="B91" i="10" s="1"/>
  <c r="B99" i="10"/>
  <c r="AI84" i="10"/>
  <c r="S248" i="10"/>
  <c r="AX251" i="10"/>
  <c r="AP251" i="10"/>
  <c r="AT251" i="10"/>
  <c r="AE251" i="10"/>
  <c r="G89" i="10"/>
  <c r="G91" i="10" s="1"/>
  <c r="O89" i="10"/>
  <c r="O91" i="10" s="1"/>
  <c r="W89" i="10"/>
  <c r="W91" i="10" s="1"/>
  <c r="AE89" i="10"/>
  <c r="AE91" i="10" s="1"/>
  <c r="AH54" i="10"/>
  <c r="AG91" i="10"/>
  <c r="AG3" i="10"/>
  <c r="AH72" i="10"/>
  <c r="Q92" i="10"/>
  <c r="Q7" i="10" s="1"/>
  <c r="AI251" i="10"/>
  <c r="AQ251" i="10"/>
  <c r="AG89" i="10"/>
  <c r="AI72" i="10"/>
  <c r="Z251" i="10"/>
  <c r="Z92" i="10"/>
  <c r="Z7" i="10" s="1"/>
  <c r="AR251" i="10"/>
  <c r="AH68" i="10"/>
  <c r="G99" i="10"/>
  <c r="G100" i="10" s="1"/>
  <c r="F5" i="10"/>
  <c r="O99" i="10"/>
  <c r="O100" i="10" s="1"/>
  <c r="N5" i="10"/>
  <c r="W99" i="10"/>
  <c r="W100" i="10" s="1"/>
  <c r="V5" i="10"/>
  <c r="AE99" i="10"/>
  <c r="AD5" i="10"/>
  <c r="AE100" i="10"/>
  <c r="AG6" i="10"/>
  <c r="AI68" i="10"/>
  <c r="AI50" i="10"/>
  <c r="AI54" i="10"/>
  <c r="H99" i="10"/>
  <c r="H100" i="10" s="1"/>
  <c r="P99" i="10"/>
  <c r="P100" i="10" s="1"/>
  <c r="X99" i="10"/>
  <c r="X100" i="10" s="1"/>
  <c r="AF99" i="10"/>
  <c r="AF100" i="10" s="1"/>
  <c r="F236" i="10"/>
  <c r="K99" i="10"/>
  <c r="K100" i="10" s="1"/>
  <c r="S99" i="10"/>
  <c r="AA99" i="10"/>
  <c r="AA100" i="10" s="1"/>
  <c r="E231" i="10"/>
  <c r="AH84" i="10"/>
  <c r="L99" i="10"/>
  <c r="L100" i="10" s="1"/>
  <c r="T99" i="10"/>
  <c r="AB99" i="10"/>
  <c r="AB92" i="10" s="1"/>
  <c r="AB7" i="10" s="1"/>
  <c r="E99" i="10"/>
  <c r="E100" i="10" s="1"/>
  <c r="M99" i="10"/>
  <c r="M100" i="10" s="1"/>
  <c r="U99" i="10"/>
  <c r="U100" i="10" s="1"/>
  <c r="AC99" i="10"/>
  <c r="AC100" i="10" s="1"/>
  <c r="F99" i="10"/>
  <c r="F92" i="10" s="1"/>
  <c r="F7" i="10" s="1"/>
  <c r="N99" i="10"/>
  <c r="V99" i="10"/>
  <c r="V92" i="10" s="1"/>
  <c r="V7" i="10" s="1"/>
  <c r="AD99" i="10"/>
  <c r="AD100" i="10" s="1"/>
  <c r="AH50" i="10"/>
  <c r="AF89" i="9"/>
  <c r="AF91" i="9" s="1"/>
  <c r="AF92" i="9" s="1"/>
  <c r="AF100" i="9"/>
  <c r="AE100" i="9"/>
  <c r="AE89" i="9"/>
  <c r="AE91" i="9" s="1"/>
  <c r="AE92" i="9" s="1"/>
  <c r="AF237" i="12" l="1"/>
  <c r="B231" i="12"/>
  <c r="AF110" i="12"/>
  <c r="R272" i="11"/>
  <c r="T236" i="11"/>
  <c r="T237" i="11"/>
  <c r="U231" i="11"/>
  <c r="S237" i="11"/>
  <c r="AC92" i="10"/>
  <c r="AC7" i="10" s="1"/>
  <c r="AA92" i="10"/>
  <c r="AA7" i="10" s="1"/>
  <c r="AS251" i="10"/>
  <c r="V251" i="10"/>
  <c r="V100" i="10"/>
  <c r="U92" i="10"/>
  <c r="U7" i="10" s="1"/>
  <c r="T92" i="10"/>
  <c r="T7" i="10" s="1"/>
  <c r="S92" i="10"/>
  <c r="S7" i="10" s="1"/>
  <c r="R92" i="10"/>
  <c r="R7" i="10" s="1"/>
  <c r="P92" i="10"/>
  <c r="P7" i="10" s="1"/>
  <c r="N92" i="10"/>
  <c r="N7" i="10" s="1"/>
  <c r="M92" i="10"/>
  <c r="M7" i="10" s="1"/>
  <c r="L92" i="10"/>
  <c r="L7" i="10" s="1"/>
  <c r="K92" i="10"/>
  <c r="K7" i="10" s="1"/>
  <c r="AB251" i="10"/>
  <c r="I92" i="10"/>
  <c r="I7" i="10" s="1"/>
  <c r="E92" i="10"/>
  <c r="E7" i="10" s="1"/>
  <c r="U251" i="10"/>
  <c r="B92" i="10"/>
  <c r="B100" i="10"/>
  <c r="AG251" i="10"/>
  <c r="O92" i="10"/>
  <c r="O7" i="10" s="1"/>
  <c r="AH99" i="10"/>
  <c r="C7" i="10"/>
  <c r="AD92" i="10"/>
  <c r="AD7" i="10" s="1"/>
  <c r="S100" i="10"/>
  <c r="AB100" i="10"/>
  <c r="N100" i="10"/>
  <c r="AI99" i="10"/>
  <c r="T100" i="10"/>
  <c r="F231" i="10"/>
  <c r="E237" i="10"/>
  <c r="E110" i="10"/>
  <c r="AI89" i="10"/>
  <c r="F100" i="10"/>
  <c r="X92" i="10"/>
  <c r="X7" i="10" s="1"/>
  <c r="AI91" i="10"/>
  <c r="AH91" i="10"/>
  <c r="T251" i="10"/>
  <c r="AW251" i="10"/>
  <c r="AE92" i="10"/>
  <c r="AE7" i="10" s="1"/>
  <c r="H92" i="10"/>
  <c r="H7" i="10" s="1"/>
  <c r="Y251" i="10"/>
  <c r="C246" i="10"/>
  <c r="G92" i="10"/>
  <c r="G7" i="10" s="1"/>
  <c r="B246" i="10"/>
  <c r="E272" i="10"/>
  <c r="G236" i="10"/>
  <c r="AH89" i="10"/>
  <c r="AO251" i="10"/>
  <c r="W92" i="10"/>
  <c r="W7" i="10" s="1"/>
  <c r="AF92" i="10"/>
  <c r="AF7" i="10" s="1"/>
  <c r="AB115" i="9"/>
  <c r="Z50" i="9"/>
  <c r="Z54" i="9"/>
  <c r="Z68" i="9"/>
  <c r="Z72" i="9"/>
  <c r="Z84" i="9"/>
  <c r="Z99" i="9" s="1"/>
  <c r="Z110" i="9"/>
  <c r="Y50" i="9"/>
  <c r="Y54" i="9"/>
  <c r="Y68" i="9"/>
  <c r="Y72" i="9"/>
  <c r="Y84" i="9"/>
  <c r="Y99" i="9" s="1"/>
  <c r="Y110" i="9"/>
  <c r="W115" i="9"/>
  <c r="B237" i="12" l="1"/>
  <c r="B110" i="12"/>
  <c r="V231" i="11"/>
  <c r="S272" i="11"/>
  <c r="U236" i="11"/>
  <c r="AH100" i="10"/>
  <c r="K6" i="10"/>
  <c r="AI92" i="10"/>
  <c r="AH92" i="10"/>
  <c r="B7" i="10"/>
  <c r="A7" i="10" s="1"/>
  <c r="AI100" i="10"/>
  <c r="G231" i="10"/>
  <c r="F110" i="10"/>
  <c r="F237" i="10"/>
  <c r="F272" i="10"/>
  <c r="H236" i="10"/>
  <c r="Z89" i="9"/>
  <c r="Z91" i="9" s="1"/>
  <c r="Z92" i="9" s="1"/>
  <c r="Z100" i="9"/>
  <c r="Y100" i="9"/>
  <c r="Y89" i="9"/>
  <c r="Y91" i="9" s="1"/>
  <c r="Y92" i="9" s="1"/>
  <c r="AI110" i="12" l="1"/>
  <c r="AH110" i="12"/>
  <c r="T272" i="11"/>
  <c r="V236" i="11"/>
  <c r="U237" i="11"/>
  <c r="W231" i="11"/>
  <c r="V237" i="11"/>
  <c r="H231" i="10"/>
  <c r="G237" i="10"/>
  <c r="G110" i="10"/>
  <c r="G272" i="10"/>
  <c r="I236" i="10"/>
  <c r="X231" i="11" l="1"/>
  <c r="W236" i="11"/>
  <c r="U272" i="11"/>
  <c r="I231" i="10"/>
  <c r="H110" i="10"/>
  <c r="H237" i="10"/>
  <c r="H272" i="10"/>
  <c r="J236" i="10"/>
  <c r="V272" i="11" l="1"/>
  <c r="X236" i="11"/>
  <c r="W237" i="11"/>
  <c r="Y231" i="11"/>
  <c r="X237" i="11"/>
  <c r="K236" i="10"/>
  <c r="I272" i="10"/>
  <c r="I110" i="10"/>
  <c r="I237" i="10"/>
  <c r="J231" i="10"/>
  <c r="Z231" i="11" l="1"/>
  <c r="W272" i="11"/>
  <c r="Y236" i="11"/>
  <c r="J110" i="10"/>
  <c r="J237" i="10"/>
  <c r="K231" i="10"/>
  <c r="L236" i="10"/>
  <c r="J272" i="10"/>
  <c r="V115" i="9"/>
  <c r="U115" i="9"/>
  <c r="T115" i="9"/>
  <c r="AA231" i="11" l="1"/>
  <c r="X272" i="11"/>
  <c r="Z236" i="11"/>
  <c r="Y237" i="11"/>
  <c r="M236" i="10"/>
  <c r="K272" i="10"/>
  <c r="K110" i="10"/>
  <c r="K237" i="10"/>
  <c r="L231" i="10"/>
  <c r="AA236" i="11" l="1"/>
  <c r="Y272" i="11"/>
  <c r="AB231" i="11"/>
  <c r="Z237" i="11"/>
  <c r="L237" i="10"/>
  <c r="M231" i="10"/>
  <c r="L110" i="10"/>
  <c r="N236" i="10"/>
  <c r="L272" i="10"/>
  <c r="Z272" i="11" l="1"/>
  <c r="AB236" i="11"/>
  <c r="AB237" i="11"/>
  <c r="AB110" i="11"/>
  <c r="AC231" i="11"/>
  <c r="AA237" i="11"/>
  <c r="M272" i="10"/>
  <c r="O236" i="10"/>
  <c r="N231" i="10"/>
  <c r="M237" i="10"/>
  <c r="M110" i="10"/>
  <c r="AA272" i="11" l="1"/>
  <c r="AC236" i="11"/>
  <c r="AD231" i="11"/>
  <c r="AC110" i="11"/>
  <c r="AC237" i="11"/>
  <c r="O231" i="10"/>
  <c r="N237" i="10"/>
  <c r="N110" i="10"/>
  <c r="N272" i="10"/>
  <c r="P236" i="10"/>
  <c r="AE231" i="11" l="1"/>
  <c r="AB272" i="11"/>
  <c r="AD236" i="11"/>
  <c r="O272" i="10"/>
  <c r="Q236" i="10"/>
  <c r="O237" i="10"/>
  <c r="P231" i="10"/>
  <c r="O110" i="10"/>
  <c r="AE236" i="11" l="1"/>
  <c r="AE237" i="11" s="1"/>
  <c r="AC272" i="11"/>
  <c r="AD237" i="11"/>
  <c r="AF231" i="11"/>
  <c r="AE110" i="11"/>
  <c r="Q231" i="10"/>
  <c r="P237" i="10"/>
  <c r="P272" i="10"/>
  <c r="R236" i="10"/>
  <c r="AF237" i="11" l="1"/>
  <c r="AF110" i="11"/>
  <c r="B231" i="11"/>
  <c r="AD272" i="11"/>
  <c r="AF236" i="11"/>
  <c r="S236" i="10"/>
  <c r="Q272" i="10"/>
  <c r="Q237" i="10"/>
  <c r="Q110" i="10"/>
  <c r="R231" i="10"/>
  <c r="B236" i="11" l="1"/>
  <c r="AF272" i="11" s="1"/>
  <c r="AE272" i="11"/>
  <c r="R237" i="10"/>
  <c r="R110" i="10"/>
  <c r="S231" i="10"/>
  <c r="R272" i="10"/>
  <c r="T236" i="10"/>
  <c r="B237" i="11" l="1"/>
  <c r="B110" i="11"/>
  <c r="U236" i="10"/>
  <c r="S272" i="10"/>
  <c r="T231" i="10"/>
  <c r="S237" i="10"/>
  <c r="S110" i="10"/>
  <c r="AI110" i="11" l="1"/>
  <c r="AH110" i="11"/>
  <c r="T237" i="10"/>
  <c r="T110" i="10"/>
  <c r="U231" i="10"/>
  <c r="T272" i="10"/>
  <c r="V236" i="10"/>
  <c r="U272" i="10" l="1"/>
  <c r="W236" i="10"/>
  <c r="V231" i="10"/>
  <c r="U237" i="10"/>
  <c r="U110" i="10"/>
  <c r="S115" i="9"/>
  <c r="R115" i="9"/>
  <c r="Q115" i="9"/>
  <c r="O115" i="9"/>
  <c r="W231" i="10" l="1"/>
  <c r="V237" i="10"/>
  <c r="V110" i="10"/>
  <c r="V272" i="10"/>
  <c r="X236" i="10"/>
  <c r="L115" i="9"/>
  <c r="L50" i="9"/>
  <c r="L54" i="9"/>
  <c r="L68" i="9"/>
  <c r="L72" i="9"/>
  <c r="L84" i="9"/>
  <c r="L99" i="9" s="1"/>
  <c r="L110" i="9"/>
  <c r="K115" i="9"/>
  <c r="K50" i="9"/>
  <c r="K54" i="9"/>
  <c r="K68" i="9"/>
  <c r="K72" i="9"/>
  <c r="K84" i="9"/>
  <c r="K99" i="9" s="1"/>
  <c r="K110" i="9"/>
  <c r="J115" i="9"/>
  <c r="J50" i="9"/>
  <c r="J54" i="9"/>
  <c r="J68" i="9"/>
  <c r="J72" i="9"/>
  <c r="J84" i="9"/>
  <c r="J99" i="9" s="1"/>
  <c r="J110" i="9"/>
  <c r="I115" i="9"/>
  <c r="I50" i="9"/>
  <c r="I54" i="9"/>
  <c r="I68" i="9"/>
  <c r="I72" i="9"/>
  <c r="I84" i="9"/>
  <c r="I99" i="9" s="1"/>
  <c r="I110" i="9"/>
  <c r="H115" i="9"/>
  <c r="H50" i="9"/>
  <c r="H54" i="9"/>
  <c r="H68" i="9"/>
  <c r="H72" i="9"/>
  <c r="H84" i="9"/>
  <c r="H99" i="9" s="1"/>
  <c r="H110" i="9"/>
  <c r="G115" i="9"/>
  <c r="G50" i="9"/>
  <c r="G54" i="9"/>
  <c r="G68" i="9"/>
  <c r="G72" i="9"/>
  <c r="G84" i="9"/>
  <c r="G99" i="9" s="1"/>
  <c r="G110" i="9"/>
  <c r="F115" i="9"/>
  <c r="F50" i="9"/>
  <c r="F54" i="9"/>
  <c r="F68" i="9"/>
  <c r="F72" i="9"/>
  <c r="F84" i="9"/>
  <c r="F99" i="9" s="1"/>
  <c r="E115" i="9"/>
  <c r="E50" i="9"/>
  <c r="E54" i="9"/>
  <c r="E68" i="9"/>
  <c r="E72" i="9"/>
  <c r="E84" i="9"/>
  <c r="E99" i="9"/>
  <c r="E100" i="9" s="1"/>
  <c r="E110" i="9"/>
  <c r="D50" i="9"/>
  <c r="D54" i="9"/>
  <c r="D68" i="9"/>
  <c r="D72" i="9"/>
  <c r="D84" i="9"/>
  <c r="D99" i="9" s="1"/>
  <c r="D110" i="9"/>
  <c r="C50" i="9"/>
  <c r="C54" i="9"/>
  <c r="C68" i="9"/>
  <c r="C72" i="9"/>
  <c r="C84" i="9"/>
  <c r="C99" i="9" s="1"/>
  <c r="C110" i="9"/>
  <c r="B110" i="9"/>
  <c r="B84" i="9"/>
  <c r="B72" i="9"/>
  <c r="B68" i="9"/>
  <c r="B54" i="9"/>
  <c r="B50" i="9"/>
  <c r="AF276" i="9"/>
  <c r="AE276" i="9"/>
  <c r="AD276" i="9"/>
  <c r="AC276" i="9"/>
  <c r="AB276" i="9"/>
  <c r="AA276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276" i="9"/>
  <c r="AF275" i="9"/>
  <c r="AE275" i="9"/>
  <c r="AD275" i="9"/>
  <c r="AC275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275" i="9"/>
  <c r="AF274" i="9"/>
  <c r="AE274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AF273" i="9"/>
  <c r="AE273" i="9"/>
  <c r="AD273" i="9"/>
  <c r="AC273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B272" i="9"/>
  <c r="S247" i="9"/>
  <c r="AG237" i="9"/>
  <c r="C237" i="9"/>
  <c r="E236" i="9"/>
  <c r="D236" i="9"/>
  <c r="C272" i="9" s="1"/>
  <c r="K235" i="9"/>
  <c r="L235" i="9" s="1"/>
  <c r="M235" i="9" s="1"/>
  <c r="N235" i="9" s="1"/>
  <c r="O235" i="9" s="1"/>
  <c r="P235" i="9" s="1"/>
  <c r="Q235" i="9" s="1"/>
  <c r="R235" i="9" s="1"/>
  <c r="S235" i="9" s="1"/>
  <c r="T235" i="9" s="1"/>
  <c r="U235" i="9" s="1"/>
  <c r="V235" i="9" s="1"/>
  <c r="W235" i="9" s="1"/>
  <c r="X235" i="9" s="1"/>
  <c r="Y235" i="9" s="1"/>
  <c r="Z235" i="9" s="1"/>
  <c r="AA235" i="9" s="1"/>
  <c r="AB235" i="9" s="1"/>
  <c r="AC235" i="9" s="1"/>
  <c r="AD235" i="9" s="1"/>
  <c r="AE235" i="9" s="1"/>
  <c r="AF235" i="9" s="1"/>
  <c r="B235" i="9" s="1"/>
  <c r="J235" i="9"/>
  <c r="D235" i="9"/>
  <c r="E235" i="9" s="1"/>
  <c r="F235" i="9" s="1"/>
  <c r="G235" i="9" s="1"/>
  <c r="H235" i="9" s="1"/>
  <c r="I235" i="9" s="1"/>
  <c r="P234" i="9"/>
  <c r="Q234" i="9" s="1"/>
  <c r="R234" i="9" s="1"/>
  <c r="S234" i="9" s="1"/>
  <c r="T234" i="9" s="1"/>
  <c r="U234" i="9" s="1"/>
  <c r="V234" i="9" s="1"/>
  <c r="W234" i="9" s="1"/>
  <c r="X234" i="9" s="1"/>
  <c r="Y234" i="9" s="1"/>
  <c r="Z234" i="9" s="1"/>
  <c r="AA234" i="9" s="1"/>
  <c r="AB234" i="9" s="1"/>
  <c r="AC234" i="9" s="1"/>
  <c r="AD234" i="9" s="1"/>
  <c r="AE234" i="9" s="1"/>
  <c r="AF234" i="9" s="1"/>
  <c r="B234" i="9" s="1"/>
  <c r="I234" i="9"/>
  <c r="J234" i="9" s="1"/>
  <c r="K234" i="9" s="1"/>
  <c r="L234" i="9" s="1"/>
  <c r="M234" i="9" s="1"/>
  <c r="N234" i="9" s="1"/>
  <c r="O234" i="9" s="1"/>
  <c r="H234" i="9"/>
  <c r="D234" i="9"/>
  <c r="E234" i="9" s="1"/>
  <c r="F234" i="9" s="1"/>
  <c r="G234" i="9" s="1"/>
  <c r="O233" i="9"/>
  <c r="P233" i="9" s="1"/>
  <c r="Q233" i="9" s="1"/>
  <c r="R233" i="9" s="1"/>
  <c r="S233" i="9" s="1"/>
  <c r="T233" i="9" s="1"/>
  <c r="U233" i="9" s="1"/>
  <c r="V233" i="9" s="1"/>
  <c r="W233" i="9" s="1"/>
  <c r="X233" i="9" s="1"/>
  <c r="Y233" i="9" s="1"/>
  <c r="Z233" i="9" s="1"/>
  <c r="AA233" i="9" s="1"/>
  <c r="AB233" i="9" s="1"/>
  <c r="AC233" i="9" s="1"/>
  <c r="AD233" i="9" s="1"/>
  <c r="AE233" i="9" s="1"/>
  <c r="AF233" i="9" s="1"/>
  <c r="B233" i="9" s="1"/>
  <c r="N233" i="9"/>
  <c r="G233" i="9"/>
  <c r="H233" i="9" s="1"/>
  <c r="I233" i="9" s="1"/>
  <c r="J233" i="9" s="1"/>
  <c r="K233" i="9" s="1"/>
  <c r="L233" i="9" s="1"/>
  <c r="M233" i="9" s="1"/>
  <c r="F233" i="9"/>
  <c r="E233" i="9"/>
  <c r="D233" i="9"/>
  <c r="D232" i="9"/>
  <c r="E232" i="9" s="1"/>
  <c r="F232" i="9" s="1"/>
  <c r="G232" i="9" s="1"/>
  <c r="H232" i="9" s="1"/>
  <c r="I232" i="9" s="1"/>
  <c r="J232" i="9" s="1"/>
  <c r="K232" i="9" s="1"/>
  <c r="L232" i="9" s="1"/>
  <c r="M232" i="9" s="1"/>
  <c r="N232" i="9" s="1"/>
  <c r="O232" i="9" s="1"/>
  <c r="P232" i="9" s="1"/>
  <c r="Q232" i="9" s="1"/>
  <c r="R232" i="9" s="1"/>
  <c r="S232" i="9" s="1"/>
  <c r="T232" i="9" s="1"/>
  <c r="U232" i="9" s="1"/>
  <c r="V232" i="9" s="1"/>
  <c r="W232" i="9" s="1"/>
  <c r="X232" i="9" s="1"/>
  <c r="Y232" i="9" s="1"/>
  <c r="Z232" i="9" s="1"/>
  <c r="AA232" i="9" s="1"/>
  <c r="AB232" i="9" s="1"/>
  <c r="AC232" i="9" s="1"/>
  <c r="AD232" i="9" s="1"/>
  <c r="AE232" i="9" s="1"/>
  <c r="AF232" i="9" s="1"/>
  <c r="B232" i="9" s="1"/>
  <c r="D231" i="9"/>
  <c r="AG229" i="9"/>
  <c r="AF229" i="9"/>
  <c r="AE229" i="9"/>
  <c r="AD229" i="9"/>
  <c r="AC229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I122" i="9"/>
  <c r="AH122" i="9"/>
  <c r="AI121" i="9"/>
  <c r="AH121" i="9"/>
  <c r="AI120" i="9"/>
  <c r="AH120" i="9"/>
  <c r="AI119" i="9"/>
  <c r="AH119" i="9"/>
  <c r="AI118" i="9"/>
  <c r="AH118" i="9"/>
  <c r="AI114" i="9"/>
  <c r="AH114" i="9"/>
  <c r="AI113" i="9"/>
  <c r="AH113" i="9"/>
  <c r="AI112" i="9"/>
  <c r="AH112" i="9"/>
  <c r="AI111" i="9"/>
  <c r="AH111" i="9"/>
  <c r="AI109" i="9"/>
  <c r="AH109" i="9"/>
  <c r="AI108" i="9"/>
  <c r="AH108" i="9"/>
  <c r="AI107" i="9"/>
  <c r="AH107" i="9"/>
  <c r="AI106" i="9"/>
  <c r="AH106" i="9"/>
  <c r="AI105" i="9"/>
  <c r="AH105" i="9"/>
  <c r="AI104" i="9"/>
  <c r="AH104" i="9"/>
  <c r="AI103" i="9"/>
  <c r="AH103" i="9"/>
  <c r="AI102" i="9"/>
  <c r="AH102" i="9"/>
  <c r="AI101" i="9"/>
  <c r="AH101" i="9"/>
  <c r="AI98" i="9"/>
  <c r="AH98" i="9"/>
  <c r="AI97" i="9"/>
  <c r="AH97" i="9"/>
  <c r="AI96" i="9"/>
  <c r="AH96" i="9"/>
  <c r="AI95" i="9"/>
  <c r="AH95" i="9"/>
  <c r="AI94" i="9"/>
  <c r="AH94" i="9"/>
  <c r="AI93" i="9"/>
  <c r="AH93" i="9"/>
  <c r="AI90" i="9"/>
  <c r="AH90" i="9"/>
  <c r="AI88" i="9"/>
  <c r="AH88" i="9"/>
  <c r="AG88" i="9"/>
  <c r="AI87" i="9"/>
  <c r="AH87" i="9"/>
  <c r="AI86" i="9"/>
  <c r="AH86" i="9"/>
  <c r="AI85" i="9"/>
  <c r="AH85" i="9"/>
  <c r="AG84" i="9"/>
  <c r="AE5" i="9"/>
  <c r="AD84" i="9"/>
  <c r="AC84" i="9"/>
  <c r="AB5" i="9" s="1"/>
  <c r="AB84" i="9"/>
  <c r="AA84" i="9"/>
  <c r="AA99" i="9" s="1"/>
  <c r="AA100" i="9" s="1"/>
  <c r="X84" i="9"/>
  <c r="W5" i="9" s="1"/>
  <c r="W84" i="9"/>
  <c r="V84" i="9"/>
  <c r="U84" i="9"/>
  <c r="T5" i="9" s="1"/>
  <c r="T84" i="9"/>
  <c r="T99" i="9" s="1"/>
  <c r="S84" i="9"/>
  <c r="S99" i="9" s="1"/>
  <c r="S100" i="9" s="1"/>
  <c r="R84" i="9"/>
  <c r="R99" i="9" s="1"/>
  <c r="Q84" i="9"/>
  <c r="Q99" i="9" s="1"/>
  <c r="Q100" i="9" s="1"/>
  <c r="P84" i="9"/>
  <c r="O5" i="9" s="1"/>
  <c r="O84" i="9"/>
  <c r="N84" i="9"/>
  <c r="M84" i="9"/>
  <c r="L5" i="9" s="1"/>
  <c r="AI83" i="9"/>
  <c r="AH83" i="9"/>
  <c r="AI82" i="9"/>
  <c r="AH82" i="9"/>
  <c r="AI81" i="9"/>
  <c r="AH81" i="9"/>
  <c r="AI80" i="9"/>
  <c r="AH80" i="9"/>
  <c r="AI79" i="9"/>
  <c r="AH79" i="9"/>
  <c r="AI78" i="9"/>
  <c r="AH78" i="9"/>
  <c r="AI77" i="9"/>
  <c r="AH77" i="9"/>
  <c r="AI76" i="9"/>
  <c r="AH76" i="9"/>
  <c r="AI75" i="9"/>
  <c r="AH75" i="9"/>
  <c r="AI74" i="9"/>
  <c r="AH74" i="9"/>
  <c r="AI73" i="9"/>
  <c r="AH73" i="9"/>
  <c r="AG72" i="9"/>
  <c r="AD72" i="9"/>
  <c r="AC72" i="9"/>
  <c r="AB72" i="9"/>
  <c r="AA72" i="9"/>
  <c r="X72" i="9"/>
  <c r="W72" i="9"/>
  <c r="V72" i="9"/>
  <c r="U72" i="9"/>
  <c r="T72" i="9"/>
  <c r="S72" i="9"/>
  <c r="R72" i="9"/>
  <c r="Q72" i="9"/>
  <c r="P72" i="9"/>
  <c r="O72" i="9"/>
  <c r="N72" i="9"/>
  <c r="M72" i="9"/>
  <c r="AI71" i="9"/>
  <c r="AH71" i="9"/>
  <c r="AI70" i="9"/>
  <c r="AH70" i="9"/>
  <c r="AI69" i="9"/>
  <c r="AH69" i="9"/>
  <c r="AD68" i="9"/>
  <c r="AC68" i="9"/>
  <c r="AB68" i="9"/>
  <c r="AA68" i="9"/>
  <c r="X68" i="9"/>
  <c r="W68" i="9"/>
  <c r="V68" i="9"/>
  <c r="U68" i="9"/>
  <c r="T68" i="9"/>
  <c r="S68" i="9"/>
  <c r="R68" i="9"/>
  <c r="Q68" i="9"/>
  <c r="P68" i="9"/>
  <c r="O68" i="9"/>
  <c r="N68" i="9"/>
  <c r="M68" i="9"/>
  <c r="AI67" i="9"/>
  <c r="AH67" i="9"/>
  <c r="AG67" i="9"/>
  <c r="AG68" i="9" s="1"/>
  <c r="AG91" i="9" s="1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I56" i="9"/>
  <c r="AH56" i="9"/>
  <c r="AI55" i="9"/>
  <c r="AH55" i="9"/>
  <c r="AG54" i="9"/>
  <c r="AD54" i="9"/>
  <c r="AC54" i="9"/>
  <c r="AB54" i="9"/>
  <c r="AA54" i="9"/>
  <c r="X54" i="9"/>
  <c r="W54" i="9"/>
  <c r="V54" i="9"/>
  <c r="U54" i="9"/>
  <c r="T54" i="9"/>
  <c r="S54" i="9"/>
  <c r="R54" i="9"/>
  <c r="Q54" i="9"/>
  <c r="P54" i="9"/>
  <c r="O54" i="9"/>
  <c r="N54" i="9"/>
  <c r="M54" i="9"/>
  <c r="AI53" i="9"/>
  <c r="AH53" i="9"/>
  <c r="AI52" i="9"/>
  <c r="AH52" i="9"/>
  <c r="AI51" i="9"/>
  <c r="AH51" i="9"/>
  <c r="AG50" i="9"/>
  <c r="AD50" i="9"/>
  <c r="AC50" i="9"/>
  <c r="AB50" i="9"/>
  <c r="AA50" i="9"/>
  <c r="X50" i="9"/>
  <c r="W50" i="9"/>
  <c r="V50" i="9"/>
  <c r="U50" i="9"/>
  <c r="T50" i="9"/>
  <c r="S50" i="9"/>
  <c r="R50" i="9"/>
  <c r="Q50" i="9"/>
  <c r="P50" i="9"/>
  <c r="O50" i="9"/>
  <c r="N50" i="9"/>
  <c r="M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Y5" i="9"/>
  <c r="X5" i="9"/>
  <c r="H5" i="9"/>
  <c r="D5" i="9"/>
  <c r="AG4" i="9"/>
  <c r="K4" i="9"/>
  <c r="E4" i="9"/>
  <c r="H4" i="9" s="1"/>
  <c r="B4" i="9"/>
  <c r="S248" i="9" s="1"/>
  <c r="AG3" i="9"/>
  <c r="AG2" i="9"/>
  <c r="AG6" i="9" s="1"/>
  <c r="AF50" i="8"/>
  <c r="AF54" i="8"/>
  <c r="AF68" i="8"/>
  <c r="AF72" i="8"/>
  <c r="AF84" i="8"/>
  <c r="AF99" i="8" s="1"/>
  <c r="AF100" i="8" s="1"/>
  <c r="AF110" i="8"/>
  <c r="AE50" i="8"/>
  <c r="AE54" i="8"/>
  <c r="AE68" i="8"/>
  <c r="AE72" i="8"/>
  <c r="AE84" i="8"/>
  <c r="AE99" i="8" s="1"/>
  <c r="AE110" i="8"/>
  <c r="AD50" i="8"/>
  <c r="AD54" i="8"/>
  <c r="AD68" i="8"/>
  <c r="AD72" i="8"/>
  <c r="AD84" i="8"/>
  <c r="AD99" i="8" s="1"/>
  <c r="AD100" i="8" s="1"/>
  <c r="AD110" i="8"/>
  <c r="AC50" i="8"/>
  <c r="AC54" i="8"/>
  <c r="AC68" i="8"/>
  <c r="AC72" i="8"/>
  <c r="AC84" i="8"/>
  <c r="AC99" i="8" s="1"/>
  <c r="AC110" i="8"/>
  <c r="AB50" i="8"/>
  <c r="AB54" i="8"/>
  <c r="AB68" i="8"/>
  <c r="AB72" i="8"/>
  <c r="AB84" i="8"/>
  <c r="AB99" i="8" s="1"/>
  <c r="AB110" i="8"/>
  <c r="AA115" i="8"/>
  <c r="Z115" i="8"/>
  <c r="Y115" i="8"/>
  <c r="X115" i="8"/>
  <c r="W115" i="8"/>
  <c r="W272" i="10" l="1"/>
  <c r="Y236" i="10"/>
  <c r="X231" i="10"/>
  <c r="W110" i="10"/>
  <c r="W237" i="10"/>
  <c r="AF7" i="9"/>
  <c r="AX251" i="9"/>
  <c r="AC89" i="9"/>
  <c r="AC91" i="9" s="1"/>
  <c r="AU251" i="9" s="1"/>
  <c r="AA89" i="9"/>
  <c r="AA91" i="9" s="1"/>
  <c r="Z5" i="9"/>
  <c r="AB89" i="9"/>
  <c r="AB91" i="9" s="1"/>
  <c r="AB92" i="9" s="1"/>
  <c r="AB7" i="9" s="1"/>
  <c r="AB100" i="9"/>
  <c r="AB99" i="9"/>
  <c r="AA5" i="9"/>
  <c r="X99" i="9"/>
  <c r="X100" i="9" s="1"/>
  <c r="X89" i="9"/>
  <c r="X91" i="9" s="1"/>
  <c r="U89" i="9"/>
  <c r="U91" i="9" s="1"/>
  <c r="AM251" i="9" s="1"/>
  <c r="S5" i="9"/>
  <c r="T100" i="9"/>
  <c r="T89" i="9"/>
  <c r="T91" i="9" s="1"/>
  <c r="T92" i="9" s="1"/>
  <c r="T7" i="9" s="1"/>
  <c r="R5" i="9"/>
  <c r="S89" i="9"/>
  <c r="S91" i="9" s="1"/>
  <c r="Q89" i="9"/>
  <c r="Q91" i="9" s="1"/>
  <c r="AI251" i="9" s="1"/>
  <c r="R89" i="9"/>
  <c r="R91" i="9" s="1"/>
  <c r="R92" i="9" s="1"/>
  <c r="R7" i="9" s="1"/>
  <c r="P5" i="9"/>
  <c r="P99" i="9"/>
  <c r="Q5" i="9"/>
  <c r="P100" i="9"/>
  <c r="R100" i="9"/>
  <c r="P89" i="9"/>
  <c r="P91" i="9" s="1"/>
  <c r="P92" i="9" s="1"/>
  <c r="P7" i="9" s="1"/>
  <c r="M89" i="9"/>
  <c r="M91" i="9" s="1"/>
  <c r="AE251" i="9" s="1"/>
  <c r="L89" i="9"/>
  <c r="L91" i="9" s="1"/>
  <c r="L92" i="9" s="1"/>
  <c r="L7" i="9" s="1"/>
  <c r="L100" i="9"/>
  <c r="K5" i="9"/>
  <c r="K89" i="9"/>
  <c r="K91" i="9" s="1"/>
  <c r="K92" i="9" s="1"/>
  <c r="J5" i="9"/>
  <c r="K100" i="9"/>
  <c r="I5" i="9"/>
  <c r="J100" i="9"/>
  <c r="J89" i="9"/>
  <c r="J91" i="9" s="1"/>
  <c r="J92" i="9" s="1"/>
  <c r="I100" i="9"/>
  <c r="I89" i="9"/>
  <c r="I91" i="9" s="1"/>
  <c r="AA251" i="9" s="1"/>
  <c r="AI54" i="9"/>
  <c r="H89" i="9"/>
  <c r="H91" i="9" s="1"/>
  <c r="H92" i="9" s="1"/>
  <c r="H7" i="9" s="1"/>
  <c r="G5" i="9"/>
  <c r="H100" i="9"/>
  <c r="AH115" i="9"/>
  <c r="G100" i="9"/>
  <c r="G89" i="9"/>
  <c r="G91" i="9" s="1"/>
  <c r="G92" i="9" s="1"/>
  <c r="AI50" i="9"/>
  <c r="F89" i="9"/>
  <c r="F91" i="9" s="1"/>
  <c r="AI68" i="9"/>
  <c r="F92" i="9"/>
  <c r="AI115" i="9"/>
  <c r="F110" i="9"/>
  <c r="F100" i="9"/>
  <c r="E89" i="9"/>
  <c r="E91" i="9" s="1"/>
  <c r="E92" i="9" s="1"/>
  <c r="D89" i="9"/>
  <c r="D91" i="9" s="1"/>
  <c r="D92" i="9" s="1"/>
  <c r="D7" i="9" s="1"/>
  <c r="D100" i="9"/>
  <c r="C5" i="9"/>
  <c r="B5" i="9"/>
  <c r="C100" i="9"/>
  <c r="C89" i="9"/>
  <c r="C91" i="9" s="1"/>
  <c r="C92" i="9" s="1"/>
  <c r="B89" i="9"/>
  <c r="B91" i="9" s="1"/>
  <c r="AF5" i="9"/>
  <c r="B99" i="9"/>
  <c r="D248" i="9"/>
  <c r="X92" i="9"/>
  <c r="X7" i="9" s="1"/>
  <c r="AP251" i="9"/>
  <c r="K7" i="9"/>
  <c r="AD251" i="9"/>
  <c r="AL251" i="9"/>
  <c r="AT251" i="9"/>
  <c r="M5" i="9"/>
  <c r="N99" i="9"/>
  <c r="N100" i="9" s="1"/>
  <c r="AD99" i="9"/>
  <c r="AD100" i="9" s="1"/>
  <c r="AC5" i="9"/>
  <c r="W99" i="9"/>
  <c r="W100" i="9" s="1"/>
  <c r="V5" i="9"/>
  <c r="S92" i="9"/>
  <c r="S7" i="9" s="1"/>
  <c r="AK251" i="9"/>
  <c r="N89" i="9"/>
  <c r="N91" i="9" s="1"/>
  <c r="V89" i="9"/>
  <c r="V91" i="9" s="1"/>
  <c r="AD89" i="9"/>
  <c r="AD91" i="9" s="1"/>
  <c r="F5" i="9"/>
  <c r="O89" i="9"/>
  <c r="O91" i="9" s="1"/>
  <c r="D237" i="9"/>
  <c r="E5" i="9"/>
  <c r="V99" i="9"/>
  <c r="U5" i="9"/>
  <c r="AD5" i="9"/>
  <c r="AA92" i="9"/>
  <c r="AA7" i="9" s="1"/>
  <c r="AS251" i="9"/>
  <c r="Q92" i="9"/>
  <c r="Q7" i="9" s="1"/>
  <c r="Y7" i="9"/>
  <c r="AG89" i="9"/>
  <c r="AH54" i="9"/>
  <c r="O99" i="9"/>
  <c r="N5" i="9"/>
  <c r="W89" i="9"/>
  <c r="W91" i="9" s="1"/>
  <c r="J7" i="9"/>
  <c r="AB251" i="9"/>
  <c r="AJ251" i="9"/>
  <c r="Z7" i="9"/>
  <c r="AR251" i="9"/>
  <c r="AI72" i="9"/>
  <c r="O100" i="9"/>
  <c r="D272" i="9"/>
  <c r="F236" i="9"/>
  <c r="AQ251" i="9"/>
  <c r="E231" i="9"/>
  <c r="AH84" i="9"/>
  <c r="AH68" i="9"/>
  <c r="AH72" i="9"/>
  <c r="AI84" i="9"/>
  <c r="M99" i="9"/>
  <c r="M100" i="9" s="1"/>
  <c r="U99" i="9"/>
  <c r="U100" i="9" s="1"/>
  <c r="AC99" i="9"/>
  <c r="AC100" i="9" s="1"/>
  <c r="AH50" i="9"/>
  <c r="AF89" i="8"/>
  <c r="AF91" i="8" s="1"/>
  <c r="AF92" i="8" s="1"/>
  <c r="AE100" i="8"/>
  <c r="AE89" i="8"/>
  <c r="AE91" i="8" s="1"/>
  <c r="AE92" i="8" s="1"/>
  <c r="AD89" i="8"/>
  <c r="AD91" i="8" s="1"/>
  <c r="AD92" i="8" s="1"/>
  <c r="AC89" i="8"/>
  <c r="AC91" i="8" s="1"/>
  <c r="AC92" i="8" s="1"/>
  <c r="AC100" i="8"/>
  <c r="AB89" i="8"/>
  <c r="AB91" i="8" s="1"/>
  <c r="AB92" i="8" s="1"/>
  <c r="AB100" i="8"/>
  <c r="V115" i="8"/>
  <c r="V49" i="8"/>
  <c r="U115" i="8"/>
  <c r="U49" i="8"/>
  <c r="T115" i="8"/>
  <c r="T113" i="8"/>
  <c r="T49" i="8"/>
  <c r="S115" i="8"/>
  <c r="S113" i="8"/>
  <c r="S49" i="8"/>
  <c r="R115" i="8"/>
  <c r="R113" i="8"/>
  <c r="R49" i="8"/>
  <c r="R50" i="8"/>
  <c r="R54" i="8"/>
  <c r="AH16" i="7"/>
  <c r="Y231" i="10" l="1"/>
  <c r="X237" i="10"/>
  <c r="X110" i="10"/>
  <c r="X272" i="10"/>
  <c r="Z236" i="10"/>
  <c r="U92" i="9"/>
  <c r="U7" i="9" s="1"/>
  <c r="AH251" i="9"/>
  <c r="AC251" i="9"/>
  <c r="V251" i="9"/>
  <c r="W251" i="9"/>
  <c r="M92" i="9"/>
  <c r="M7" i="9" s="1"/>
  <c r="AI99" i="9"/>
  <c r="I92" i="9"/>
  <c r="I7" i="9" s="1"/>
  <c r="Z251" i="9"/>
  <c r="B92" i="9"/>
  <c r="B100" i="9"/>
  <c r="F231" i="9"/>
  <c r="E237" i="9"/>
  <c r="V100" i="9"/>
  <c r="AC92" i="9"/>
  <c r="AC7" i="9" s="1"/>
  <c r="AI91" i="9"/>
  <c r="AH91" i="9"/>
  <c r="T251" i="9"/>
  <c r="AW251" i="9"/>
  <c r="AE7" i="9"/>
  <c r="E272" i="9"/>
  <c r="G236" i="9"/>
  <c r="AH99" i="9"/>
  <c r="E7" i="9"/>
  <c r="AH89" i="9"/>
  <c r="AO251" i="9"/>
  <c r="W92" i="9"/>
  <c r="W7" i="9" s="1"/>
  <c r="Y251" i="9"/>
  <c r="C246" i="9"/>
  <c r="B246" i="9"/>
  <c r="G7" i="9"/>
  <c r="AV251" i="9"/>
  <c r="AD92" i="9"/>
  <c r="AD7" i="9" s="1"/>
  <c r="AN251" i="9"/>
  <c r="V92" i="9"/>
  <c r="V7" i="9" s="1"/>
  <c r="AI89" i="9"/>
  <c r="C7" i="9"/>
  <c r="U251" i="9"/>
  <c r="AI100" i="9"/>
  <c r="AF251" i="9"/>
  <c r="N92" i="9"/>
  <c r="N7" i="9" s="1"/>
  <c r="AG251" i="9"/>
  <c r="O92" i="9"/>
  <c r="O7" i="9" s="1"/>
  <c r="X251" i="9"/>
  <c r="F7" i="9"/>
  <c r="P49" i="8"/>
  <c r="Q49" i="8"/>
  <c r="P50" i="8"/>
  <c r="Q50" i="8"/>
  <c r="P54" i="8"/>
  <c r="Q54" i="8"/>
  <c r="P68" i="8"/>
  <c r="Q68" i="8"/>
  <c r="P72" i="8"/>
  <c r="Q72" i="8"/>
  <c r="P84" i="8"/>
  <c r="P99" i="8" s="1"/>
  <c r="Q84" i="8"/>
  <c r="Q99" i="8" s="1"/>
  <c r="P110" i="8"/>
  <c r="Q110" i="8"/>
  <c r="AA236" i="10" l="1"/>
  <c r="Y272" i="10"/>
  <c r="Y237" i="10"/>
  <c r="Y110" i="10"/>
  <c r="Z231" i="10"/>
  <c r="AI92" i="9"/>
  <c r="AH92" i="9"/>
  <c r="B7" i="9"/>
  <c r="A7" i="9" s="1"/>
  <c r="F272" i="9"/>
  <c r="H236" i="9"/>
  <c r="AH100" i="9"/>
  <c r="K6" i="9"/>
  <c r="G231" i="9"/>
  <c r="F237" i="9"/>
  <c r="Q89" i="8"/>
  <c r="Q91" i="8" s="1"/>
  <c r="Q92" i="8" s="1"/>
  <c r="Q100" i="8"/>
  <c r="P100" i="8"/>
  <c r="P89" i="8"/>
  <c r="P91" i="8" s="1"/>
  <c r="P92" i="8" s="1"/>
  <c r="Z237" i="10" l="1"/>
  <c r="Z110" i="10"/>
  <c r="AA231" i="10"/>
  <c r="AB236" i="10"/>
  <c r="Z272" i="10"/>
  <c r="H231" i="9"/>
  <c r="G237" i="9"/>
  <c r="G272" i="9"/>
  <c r="I236" i="9"/>
  <c r="N49" i="8"/>
  <c r="O49" i="8"/>
  <c r="N50" i="8"/>
  <c r="O50" i="8"/>
  <c r="N54" i="8"/>
  <c r="O54" i="8"/>
  <c r="N68" i="8"/>
  <c r="O68" i="8"/>
  <c r="N72" i="8"/>
  <c r="O72" i="8"/>
  <c r="N84" i="8"/>
  <c r="N99" i="8" s="1"/>
  <c r="O84" i="8"/>
  <c r="O99" i="8" s="1"/>
  <c r="N110" i="8"/>
  <c r="O110" i="8"/>
  <c r="N113" i="8"/>
  <c r="N115" i="8"/>
  <c r="M115" i="8"/>
  <c r="M113" i="8"/>
  <c r="M49" i="8"/>
  <c r="M50" i="8"/>
  <c r="M54" i="8"/>
  <c r="M68" i="8"/>
  <c r="M72" i="8"/>
  <c r="L50" i="8"/>
  <c r="K50" i="8"/>
  <c r="E115" i="8"/>
  <c r="F115" i="8"/>
  <c r="G115" i="8"/>
  <c r="H115" i="8"/>
  <c r="I115" i="8"/>
  <c r="J115" i="8"/>
  <c r="K115" i="8"/>
  <c r="C115" i="8"/>
  <c r="B115" i="8"/>
  <c r="H110" i="8"/>
  <c r="F50" i="8"/>
  <c r="F54" i="8"/>
  <c r="AC236" i="10" l="1"/>
  <c r="AA272" i="10"/>
  <c r="AA237" i="10"/>
  <c r="AA110" i="10"/>
  <c r="AB231" i="10"/>
  <c r="H272" i="9"/>
  <c r="J236" i="9"/>
  <c r="I231" i="9"/>
  <c r="H237" i="9"/>
  <c r="O89" i="8"/>
  <c r="O91" i="8" s="1"/>
  <c r="O92" i="8" s="1"/>
  <c r="O100" i="8"/>
  <c r="N89" i="8"/>
  <c r="N91" i="8" s="1"/>
  <c r="N92" i="8" s="1"/>
  <c r="N100" i="8"/>
  <c r="AH117" i="8"/>
  <c r="AI117" i="8"/>
  <c r="AH116" i="8"/>
  <c r="AI116" i="8"/>
  <c r="AF276" i="8"/>
  <c r="AE276" i="8"/>
  <c r="AD276" i="8"/>
  <c r="AC276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C276" i="8"/>
  <c r="B276" i="8"/>
  <c r="A276" i="8"/>
  <c r="AF275" i="8"/>
  <c r="AE275" i="8"/>
  <c r="AD275" i="8"/>
  <c r="AC275" i="8"/>
  <c r="AB275" i="8"/>
  <c r="AA275" i="8"/>
  <c r="Z275" i="8"/>
  <c r="Y275" i="8"/>
  <c r="X275" i="8"/>
  <c r="W275" i="8"/>
  <c r="V275" i="8"/>
  <c r="U275" i="8"/>
  <c r="T275" i="8"/>
  <c r="S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C275" i="8"/>
  <c r="B275" i="8"/>
  <c r="A275" i="8"/>
  <c r="AF274" i="8"/>
  <c r="AE274" i="8"/>
  <c r="AD274" i="8"/>
  <c r="AC274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B274" i="8"/>
  <c r="A274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A273" i="8"/>
  <c r="C272" i="8"/>
  <c r="B272" i="8"/>
  <c r="AI251" i="8"/>
  <c r="S247" i="8"/>
  <c r="AG237" i="8"/>
  <c r="C237" i="8"/>
  <c r="E236" i="8"/>
  <c r="D236" i="8"/>
  <c r="K235" i="8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B235" i="8" s="1"/>
  <c r="D235" i="8"/>
  <c r="E235" i="8" s="1"/>
  <c r="F235" i="8" s="1"/>
  <c r="G235" i="8" s="1"/>
  <c r="H235" i="8" s="1"/>
  <c r="I235" i="8" s="1"/>
  <c r="J235" i="8" s="1"/>
  <c r="I234" i="8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B234" i="8" s="1"/>
  <c r="D234" i="8"/>
  <c r="E234" i="8" s="1"/>
  <c r="F234" i="8" s="1"/>
  <c r="G234" i="8" s="1"/>
  <c r="H234" i="8" s="1"/>
  <c r="E233" i="8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B233" i="8" s="1"/>
  <c r="D233" i="8"/>
  <c r="E232" i="8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B232" i="8" s="1"/>
  <c r="D232" i="8"/>
  <c r="D231" i="8"/>
  <c r="D237" i="8" s="1"/>
  <c r="AG229" i="8"/>
  <c r="AF229" i="8"/>
  <c r="AE229" i="8"/>
  <c r="AD229" i="8"/>
  <c r="AC229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O229" i="8"/>
  <c r="N229" i="8"/>
  <c r="M229" i="8"/>
  <c r="L229" i="8"/>
  <c r="K229" i="8"/>
  <c r="J229" i="8"/>
  <c r="I229" i="8"/>
  <c r="H229" i="8"/>
  <c r="G229" i="8"/>
  <c r="F229" i="8"/>
  <c r="E229" i="8"/>
  <c r="D229" i="8"/>
  <c r="C229" i="8"/>
  <c r="B229" i="8"/>
  <c r="AI122" i="8"/>
  <c r="AH122" i="8"/>
  <c r="AI121" i="8"/>
  <c r="AH121" i="8"/>
  <c r="AI120" i="8"/>
  <c r="AH120" i="8"/>
  <c r="AI119" i="8"/>
  <c r="AH119" i="8"/>
  <c r="AI118" i="8"/>
  <c r="AH118" i="8"/>
  <c r="AI115" i="8"/>
  <c r="AH115" i="8"/>
  <c r="AI114" i="8"/>
  <c r="AH114" i="8"/>
  <c r="AI113" i="8"/>
  <c r="AH113" i="8"/>
  <c r="AI112" i="8"/>
  <c r="AH112" i="8"/>
  <c r="AI111" i="8"/>
  <c r="AH111" i="8"/>
  <c r="C110" i="8"/>
  <c r="AI109" i="8"/>
  <c r="AH109" i="8"/>
  <c r="AI108" i="8"/>
  <c r="AH108" i="8"/>
  <c r="AI107" i="8"/>
  <c r="AH107" i="8"/>
  <c r="AI106" i="8"/>
  <c r="AH106" i="8"/>
  <c r="AI105" i="8"/>
  <c r="AH105" i="8"/>
  <c r="AI104" i="8"/>
  <c r="AH104" i="8"/>
  <c r="AI103" i="8"/>
  <c r="AH103" i="8"/>
  <c r="AI102" i="8"/>
  <c r="AH102" i="8"/>
  <c r="AI101" i="8"/>
  <c r="AH101" i="8"/>
  <c r="AI98" i="8"/>
  <c r="AH98" i="8"/>
  <c r="AI97" i="8"/>
  <c r="AH97" i="8"/>
  <c r="AI96" i="8"/>
  <c r="AH96" i="8"/>
  <c r="AI95" i="8"/>
  <c r="AH95" i="8"/>
  <c r="AI94" i="8"/>
  <c r="AH94" i="8"/>
  <c r="AI93" i="8"/>
  <c r="AH93" i="8"/>
  <c r="AI90" i="8"/>
  <c r="AH90" i="8"/>
  <c r="AI88" i="8"/>
  <c r="AH88" i="8"/>
  <c r="AG88" i="8"/>
  <c r="AI87" i="8"/>
  <c r="AH87" i="8"/>
  <c r="AI86" i="8"/>
  <c r="AH86" i="8"/>
  <c r="AI85" i="8"/>
  <c r="AH85" i="8"/>
  <c r="AG84" i="8"/>
  <c r="AE5" i="8"/>
  <c r="AA84" i="8"/>
  <c r="Z84" i="8"/>
  <c r="Z99" i="8" s="1"/>
  <c r="Z100" i="8" s="1"/>
  <c r="Y84" i="8"/>
  <c r="Y99" i="8" s="1"/>
  <c r="Y100" i="8" s="1"/>
  <c r="X84" i="8"/>
  <c r="W5" i="8" s="1"/>
  <c r="W84" i="8"/>
  <c r="V84" i="8"/>
  <c r="U5" i="8" s="1"/>
  <c r="U84" i="8"/>
  <c r="T5" i="8" s="1"/>
  <c r="T84" i="8"/>
  <c r="S5" i="8" s="1"/>
  <c r="S84" i="8"/>
  <c r="S99" i="8" s="1"/>
  <c r="R84" i="8"/>
  <c r="R99" i="8" s="1"/>
  <c r="R100" i="8" s="1"/>
  <c r="O5" i="8"/>
  <c r="M84" i="8"/>
  <c r="L5" i="8" s="1"/>
  <c r="L84" i="8"/>
  <c r="K5" i="8" s="1"/>
  <c r="K84" i="8"/>
  <c r="J5" i="8" s="1"/>
  <c r="J84" i="8"/>
  <c r="J99" i="8" s="1"/>
  <c r="J100" i="8" s="1"/>
  <c r="I84" i="8"/>
  <c r="I99" i="8" s="1"/>
  <c r="I100" i="8" s="1"/>
  <c r="H84" i="8"/>
  <c r="G5" i="8" s="1"/>
  <c r="G84" i="8"/>
  <c r="F84" i="8"/>
  <c r="E5" i="8" s="1"/>
  <c r="E84" i="8"/>
  <c r="D5" i="8" s="1"/>
  <c r="D84" i="8"/>
  <c r="C5" i="8" s="1"/>
  <c r="C84" i="8"/>
  <c r="C99" i="8" s="1"/>
  <c r="B84" i="8"/>
  <c r="B99" i="8" s="1"/>
  <c r="B100" i="8" s="1"/>
  <c r="AI83" i="8"/>
  <c r="AH83" i="8"/>
  <c r="AI82" i="8"/>
  <c r="AH82" i="8"/>
  <c r="AI81" i="8"/>
  <c r="AH81" i="8"/>
  <c r="AI80" i="8"/>
  <c r="AH80" i="8"/>
  <c r="AI79" i="8"/>
  <c r="AH79" i="8"/>
  <c r="AI78" i="8"/>
  <c r="AH78" i="8"/>
  <c r="AI77" i="8"/>
  <c r="AH77" i="8"/>
  <c r="AI76" i="8"/>
  <c r="AH76" i="8"/>
  <c r="AI75" i="8"/>
  <c r="AH75" i="8"/>
  <c r="AI74" i="8"/>
  <c r="AH74" i="8"/>
  <c r="AI73" i="8"/>
  <c r="AH73" i="8"/>
  <c r="AG72" i="8"/>
  <c r="AG4" i="8" s="1"/>
  <c r="AA72" i="8"/>
  <c r="Z72" i="8"/>
  <c r="Y72" i="8"/>
  <c r="X72" i="8"/>
  <c r="W72" i="8"/>
  <c r="V72" i="8"/>
  <c r="U72" i="8"/>
  <c r="T72" i="8"/>
  <c r="S72" i="8"/>
  <c r="R72" i="8"/>
  <c r="L72" i="8"/>
  <c r="K72" i="8"/>
  <c r="J72" i="8"/>
  <c r="I72" i="8"/>
  <c r="H72" i="8"/>
  <c r="G72" i="8"/>
  <c r="F72" i="8"/>
  <c r="E72" i="8"/>
  <c r="D72" i="8"/>
  <c r="C72" i="8"/>
  <c r="B72" i="8"/>
  <c r="AI71" i="8"/>
  <c r="AH71" i="8"/>
  <c r="AI70" i="8"/>
  <c r="AH70" i="8"/>
  <c r="AI69" i="8"/>
  <c r="AH69" i="8"/>
  <c r="AA68" i="8"/>
  <c r="Z68" i="8"/>
  <c r="Y68" i="8"/>
  <c r="X68" i="8"/>
  <c r="W68" i="8"/>
  <c r="V68" i="8"/>
  <c r="U68" i="8"/>
  <c r="T68" i="8"/>
  <c r="S68" i="8"/>
  <c r="R68" i="8"/>
  <c r="L68" i="8"/>
  <c r="K68" i="8"/>
  <c r="J68" i="8"/>
  <c r="I68" i="8"/>
  <c r="H68" i="8"/>
  <c r="G68" i="8"/>
  <c r="F68" i="8"/>
  <c r="E68" i="8"/>
  <c r="D68" i="8"/>
  <c r="C68" i="8"/>
  <c r="B68" i="8"/>
  <c r="AI67" i="8"/>
  <c r="AH67" i="8"/>
  <c r="AG67" i="8"/>
  <c r="AG68" i="8" s="1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I56" i="8"/>
  <c r="AH56" i="8"/>
  <c r="AI55" i="8"/>
  <c r="AH55" i="8"/>
  <c r="AG54" i="8"/>
  <c r="AA54" i="8"/>
  <c r="Z54" i="8"/>
  <c r="Y54" i="8"/>
  <c r="X54" i="8"/>
  <c r="W54" i="8"/>
  <c r="V54" i="8"/>
  <c r="U54" i="8"/>
  <c r="T54" i="8"/>
  <c r="S54" i="8"/>
  <c r="L54" i="8"/>
  <c r="K54" i="8"/>
  <c r="J54" i="8"/>
  <c r="I54" i="8"/>
  <c r="H54" i="8"/>
  <c r="G54" i="8"/>
  <c r="E54" i="8"/>
  <c r="D54" i="8"/>
  <c r="C54" i="8"/>
  <c r="B54" i="8"/>
  <c r="AI53" i="8"/>
  <c r="AH53" i="8"/>
  <c r="AI52" i="8"/>
  <c r="AH52" i="8"/>
  <c r="AI51" i="8"/>
  <c r="AH51" i="8"/>
  <c r="AG50" i="8"/>
  <c r="AV251" i="8"/>
  <c r="AA50" i="8"/>
  <c r="Z50" i="8"/>
  <c r="Y50" i="8"/>
  <c r="X50" i="8"/>
  <c r="W50" i="8"/>
  <c r="V50" i="8"/>
  <c r="U50" i="8"/>
  <c r="T50" i="8"/>
  <c r="S50" i="8"/>
  <c r="AF251" i="8"/>
  <c r="J50" i="8"/>
  <c r="I50" i="8"/>
  <c r="H50" i="8"/>
  <c r="G50" i="8"/>
  <c r="E50" i="8"/>
  <c r="D50" i="8"/>
  <c r="C50" i="8"/>
  <c r="B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C5" i="8"/>
  <c r="AB5" i="8"/>
  <c r="AA5" i="8"/>
  <c r="P5" i="8"/>
  <c r="M5" i="8"/>
  <c r="B5" i="8"/>
  <c r="K4" i="8"/>
  <c r="E4" i="8"/>
  <c r="H4" i="8" s="1"/>
  <c r="B4" i="8"/>
  <c r="D248" i="8" s="1"/>
  <c r="AG2" i="8"/>
  <c r="AE110" i="7"/>
  <c r="AF110" i="7"/>
  <c r="AD110" i="7"/>
  <c r="AB237" i="10" l="1"/>
  <c r="AB110" i="10"/>
  <c r="AC231" i="10"/>
  <c r="AB272" i="10"/>
  <c r="AD236" i="10"/>
  <c r="I237" i="9"/>
  <c r="J231" i="9"/>
  <c r="K236" i="9"/>
  <c r="I272" i="9"/>
  <c r="Z5" i="8"/>
  <c r="AA99" i="8"/>
  <c r="AA100" i="8" s="1"/>
  <c r="AA89" i="8"/>
  <c r="AA91" i="8" s="1"/>
  <c r="AA92" i="8" s="1"/>
  <c r="AA7" i="8" s="1"/>
  <c r="Y5" i="8"/>
  <c r="Z89" i="8"/>
  <c r="Z91" i="8" s="1"/>
  <c r="X5" i="8"/>
  <c r="Y89" i="8"/>
  <c r="Y91" i="8" s="1"/>
  <c r="Y92" i="8" s="1"/>
  <c r="Y7" i="8" s="1"/>
  <c r="X89" i="8"/>
  <c r="X91" i="8" s="1"/>
  <c r="AP251" i="8" s="1"/>
  <c r="V89" i="8"/>
  <c r="V91" i="8" s="1"/>
  <c r="AN251" i="8" s="1"/>
  <c r="U89" i="8"/>
  <c r="U91" i="8" s="1"/>
  <c r="AM251" i="8" s="1"/>
  <c r="T89" i="8"/>
  <c r="T91" i="8" s="1"/>
  <c r="AL251" i="8" s="1"/>
  <c r="R5" i="8"/>
  <c r="S100" i="8"/>
  <c r="S89" i="8"/>
  <c r="S91" i="8" s="1"/>
  <c r="S92" i="8" s="1"/>
  <c r="S7" i="8" s="1"/>
  <c r="R89" i="8"/>
  <c r="R91" i="8" s="1"/>
  <c r="R92" i="8" s="1"/>
  <c r="R7" i="8" s="1"/>
  <c r="Q5" i="8"/>
  <c r="M89" i="8"/>
  <c r="M91" i="8" s="1"/>
  <c r="K99" i="8"/>
  <c r="K100" i="8"/>
  <c r="I5" i="8"/>
  <c r="J89" i="8"/>
  <c r="J91" i="8" s="1"/>
  <c r="AB251" i="8" s="1"/>
  <c r="H5" i="8"/>
  <c r="I89" i="8"/>
  <c r="I91" i="8" s="1"/>
  <c r="AA251" i="8" s="1"/>
  <c r="K89" i="8"/>
  <c r="K91" i="8" s="1"/>
  <c r="K92" i="8" s="1"/>
  <c r="K7" i="8" s="1"/>
  <c r="L89" i="8"/>
  <c r="L91" i="8" s="1"/>
  <c r="AD251" i="8" s="1"/>
  <c r="H89" i="8"/>
  <c r="H91" i="8" s="1"/>
  <c r="F89" i="8"/>
  <c r="F91" i="8" s="1"/>
  <c r="X251" i="8" s="1"/>
  <c r="E89" i="8"/>
  <c r="E91" i="8" s="1"/>
  <c r="AI68" i="8"/>
  <c r="D89" i="8"/>
  <c r="D91" i="8" s="1"/>
  <c r="V251" i="8" s="1"/>
  <c r="C100" i="8"/>
  <c r="C89" i="8"/>
  <c r="C91" i="8" s="1"/>
  <c r="U251" i="8" s="1"/>
  <c r="AF5" i="8"/>
  <c r="B89" i="8"/>
  <c r="B91" i="8" s="1"/>
  <c r="S248" i="8"/>
  <c r="AX251" i="8"/>
  <c r="AT251" i="8"/>
  <c r="AD5" i="8"/>
  <c r="AQ251" i="8"/>
  <c r="J92" i="8"/>
  <c r="J7" i="8" s="1"/>
  <c r="G99" i="8"/>
  <c r="F5" i="8"/>
  <c r="G100" i="8"/>
  <c r="W251" i="8"/>
  <c r="AU251" i="8"/>
  <c r="Z251" i="8"/>
  <c r="AI84" i="8"/>
  <c r="P7" i="8"/>
  <c r="AH251" i="8"/>
  <c r="D272" i="8"/>
  <c r="F236" i="8"/>
  <c r="C92" i="8"/>
  <c r="C7" i="8" s="1"/>
  <c r="AR251" i="8"/>
  <c r="Z92" i="8"/>
  <c r="Z7" i="8" s="1"/>
  <c r="N5" i="8"/>
  <c r="W89" i="8"/>
  <c r="W91" i="8" s="1"/>
  <c r="AG3" i="8"/>
  <c r="AG6" i="8" s="1"/>
  <c r="AG91" i="8"/>
  <c r="AI72" i="8"/>
  <c r="V100" i="8"/>
  <c r="W99" i="8"/>
  <c r="V5" i="8"/>
  <c r="W100" i="8"/>
  <c r="AE251" i="8"/>
  <c r="G89" i="8"/>
  <c r="G91" i="8" s="1"/>
  <c r="AH54" i="8"/>
  <c r="Q7" i="8"/>
  <c r="AG89" i="8"/>
  <c r="AI50" i="8"/>
  <c r="AI54" i="8"/>
  <c r="H99" i="8"/>
  <c r="H100" i="8" s="1"/>
  <c r="X99" i="8"/>
  <c r="X100" i="8" s="1"/>
  <c r="D110" i="8"/>
  <c r="E231" i="8"/>
  <c r="AH68" i="8"/>
  <c r="AH72" i="8"/>
  <c r="AH84" i="8"/>
  <c r="D99" i="8"/>
  <c r="D92" i="8" s="1"/>
  <c r="D7" i="8" s="1"/>
  <c r="L99" i="8"/>
  <c r="T99" i="8"/>
  <c r="T92" i="8" s="1"/>
  <c r="T7" i="8" s="1"/>
  <c r="AB7" i="8"/>
  <c r="E99" i="8"/>
  <c r="E100" i="8" s="1"/>
  <c r="M99" i="8"/>
  <c r="M92" i="8" s="1"/>
  <c r="M7" i="8" s="1"/>
  <c r="U99" i="8"/>
  <c r="U100" i="8" s="1"/>
  <c r="AC7" i="8"/>
  <c r="F99" i="8"/>
  <c r="F92" i="8" s="1"/>
  <c r="F7" i="8" s="1"/>
  <c r="N7" i="8"/>
  <c r="V99" i="8"/>
  <c r="AH50" i="8"/>
  <c r="AD231" i="10" l="1"/>
  <c r="AC237" i="10"/>
  <c r="AC110" i="10"/>
  <c r="AC272" i="10"/>
  <c r="AE236" i="10"/>
  <c r="L236" i="9"/>
  <c r="J272" i="9"/>
  <c r="J237" i="9"/>
  <c r="K231" i="9"/>
  <c r="AK251" i="8"/>
  <c r="AS251" i="8"/>
  <c r="V92" i="8"/>
  <c r="V7" i="8" s="1"/>
  <c r="AJ251" i="8"/>
  <c r="M100" i="8"/>
  <c r="L92" i="8"/>
  <c r="L7" i="8" s="1"/>
  <c r="AC251" i="8"/>
  <c r="I92" i="8"/>
  <c r="I7" i="8" s="1"/>
  <c r="H92" i="8"/>
  <c r="H7" i="8" s="1"/>
  <c r="F100" i="8"/>
  <c r="E92" i="8"/>
  <c r="E7" i="8" s="1"/>
  <c r="AI99" i="8"/>
  <c r="AF7" i="8"/>
  <c r="F231" i="8"/>
  <c r="E237" i="8"/>
  <c r="E110" i="8"/>
  <c r="B92" i="8"/>
  <c r="AI91" i="8"/>
  <c r="AH91" i="8"/>
  <c r="T251" i="8"/>
  <c r="AH89" i="8"/>
  <c r="AO251" i="8"/>
  <c r="W92" i="8"/>
  <c r="W7" i="8" s="1"/>
  <c r="AD7" i="8"/>
  <c r="X92" i="8"/>
  <c r="X7" i="8" s="1"/>
  <c r="U92" i="8"/>
  <c r="U7" i="8" s="1"/>
  <c r="T100" i="8"/>
  <c r="AH99" i="8"/>
  <c r="AW251" i="8"/>
  <c r="AE7" i="8"/>
  <c r="L100" i="8"/>
  <c r="Y251" i="8"/>
  <c r="C246" i="8"/>
  <c r="B246" i="8"/>
  <c r="G92" i="8"/>
  <c r="G7" i="8" s="1"/>
  <c r="AI89" i="8"/>
  <c r="AG251" i="8"/>
  <c r="O7" i="8"/>
  <c r="D100" i="8"/>
  <c r="E272" i="8"/>
  <c r="G236" i="8"/>
  <c r="AA50" i="7"/>
  <c r="AA54" i="7"/>
  <c r="AA68" i="7"/>
  <c r="AA72" i="7"/>
  <c r="AA84" i="7"/>
  <c r="AA110" i="7"/>
  <c r="Z50" i="7"/>
  <c r="Z54" i="7"/>
  <c r="Z68" i="7"/>
  <c r="Z72" i="7"/>
  <c r="Z84" i="7"/>
  <c r="Z99" i="7" s="1"/>
  <c r="Z100" i="7" s="1"/>
  <c r="Z115" i="7"/>
  <c r="Z110" i="7" s="1"/>
  <c r="AD272" i="10" l="1"/>
  <c r="AF236" i="10"/>
  <c r="AE231" i="10"/>
  <c r="AD237" i="10"/>
  <c r="K237" i="9"/>
  <c r="L231" i="9"/>
  <c r="K272" i="9"/>
  <c r="M236" i="9"/>
  <c r="F272" i="8"/>
  <c r="H236" i="8"/>
  <c r="AI92" i="8"/>
  <c r="B7" i="8"/>
  <c r="A7" i="8" s="1"/>
  <c r="AH92" i="8"/>
  <c r="K6" i="8"/>
  <c r="AI100" i="8"/>
  <c r="AH100" i="8"/>
  <c r="G231" i="8"/>
  <c r="F110" i="8"/>
  <c r="F237" i="8"/>
  <c r="AA89" i="7"/>
  <c r="AA91" i="7" s="1"/>
  <c r="AA99" i="7"/>
  <c r="AA100" i="7" s="1"/>
  <c r="Z89" i="7"/>
  <c r="Z91" i="7" s="1"/>
  <c r="Z92" i="7" s="1"/>
  <c r="AF231" i="10" l="1"/>
  <c r="AE237" i="10"/>
  <c r="AE110" i="10"/>
  <c r="B236" i="10"/>
  <c r="AF272" i="10" s="1"/>
  <c r="AE272" i="10"/>
  <c r="L272" i="9"/>
  <c r="N236" i="9"/>
  <c r="L237" i="9"/>
  <c r="M231" i="9"/>
  <c r="G272" i="8"/>
  <c r="I236" i="8"/>
  <c r="H231" i="8"/>
  <c r="G110" i="8"/>
  <c r="G237" i="8"/>
  <c r="AA92" i="7"/>
  <c r="AF110" i="10" l="1"/>
  <c r="AF237" i="10"/>
  <c r="B231" i="10"/>
  <c r="N231" i="9"/>
  <c r="M237" i="9"/>
  <c r="M110" i="9"/>
  <c r="M272" i="9"/>
  <c r="O236" i="9"/>
  <c r="I231" i="8"/>
  <c r="H237" i="8"/>
  <c r="H272" i="8"/>
  <c r="J236" i="8"/>
  <c r="Y115" i="7"/>
  <c r="X54" i="7"/>
  <c r="B237" i="10" l="1"/>
  <c r="O231" i="9"/>
  <c r="N110" i="9"/>
  <c r="N237" i="9"/>
  <c r="N272" i="9"/>
  <c r="P236" i="9"/>
  <c r="K236" i="8"/>
  <c r="I272" i="8"/>
  <c r="I110" i="8"/>
  <c r="I237" i="8"/>
  <c r="J231" i="8"/>
  <c r="AI110" i="10" l="1"/>
  <c r="AH110" i="10"/>
  <c r="O272" i="9"/>
  <c r="Q236" i="9"/>
  <c r="P231" i="9"/>
  <c r="O110" i="9"/>
  <c r="O237" i="9"/>
  <c r="J110" i="8"/>
  <c r="J237" i="8"/>
  <c r="K231" i="8"/>
  <c r="L236" i="8"/>
  <c r="J272" i="8"/>
  <c r="Q231" i="9" l="1"/>
  <c r="P237" i="9"/>
  <c r="P272" i="9"/>
  <c r="R236" i="9"/>
  <c r="K272" i="8"/>
  <c r="M236" i="8"/>
  <c r="K110" i="8"/>
  <c r="K237" i="8"/>
  <c r="L231" i="8"/>
  <c r="Q237" i="9" l="1"/>
  <c r="Q110" i="9"/>
  <c r="R231" i="9"/>
  <c r="S236" i="9"/>
  <c r="Q272" i="9"/>
  <c r="L237" i="8"/>
  <c r="M231" i="8"/>
  <c r="L110" i="8"/>
  <c r="L272" i="8"/>
  <c r="N236" i="8"/>
  <c r="R272" i="9" l="1"/>
  <c r="T236" i="9"/>
  <c r="R237" i="9"/>
  <c r="R110" i="9"/>
  <c r="S231" i="9"/>
  <c r="M272" i="8"/>
  <c r="O236" i="8"/>
  <c r="N231" i="8"/>
  <c r="M237" i="8"/>
  <c r="M110" i="8"/>
  <c r="V50" i="7"/>
  <c r="V54" i="7"/>
  <c r="V68" i="7"/>
  <c r="V72" i="7"/>
  <c r="V84" i="7"/>
  <c r="V99" i="7" s="1"/>
  <c r="V110" i="7"/>
  <c r="U115" i="7"/>
  <c r="T50" i="7"/>
  <c r="T54" i="7"/>
  <c r="T68" i="7"/>
  <c r="S237" i="9" l="1"/>
  <c r="S110" i="9"/>
  <c r="T231" i="9"/>
  <c r="S272" i="9"/>
  <c r="U236" i="9"/>
  <c r="O231" i="8"/>
  <c r="N237" i="8"/>
  <c r="N272" i="8"/>
  <c r="P236" i="8"/>
  <c r="V89" i="7"/>
  <c r="V91" i="7" s="1"/>
  <c r="V92" i="7" s="1"/>
  <c r="V100" i="7"/>
  <c r="T272" i="9" l="1"/>
  <c r="V236" i="9"/>
  <c r="T237" i="9"/>
  <c r="T110" i="9"/>
  <c r="U231" i="9"/>
  <c r="O272" i="8"/>
  <c r="Q236" i="8"/>
  <c r="P231" i="8"/>
  <c r="O237" i="8"/>
  <c r="R115" i="7"/>
  <c r="R113" i="7"/>
  <c r="Q115" i="7"/>
  <c r="Q113" i="7"/>
  <c r="V231" i="9" l="1"/>
  <c r="U110" i="9"/>
  <c r="U237" i="9"/>
  <c r="U272" i="9"/>
  <c r="W236" i="9"/>
  <c r="Q231" i="8"/>
  <c r="P237" i="8"/>
  <c r="P272" i="8"/>
  <c r="R236" i="8"/>
  <c r="O115" i="7"/>
  <c r="O113" i="7"/>
  <c r="P115" i="7"/>
  <c r="P113" i="7"/>
  <c r="P49" i="7"/>
  <c r="W231" i="9" l="1"/>
  <c r="V237" i="9"/>
  <c r="V110" i="9"/>
  <c r="V272" i="9"/>
  <c r="X236" i="9"/>
  <c r="S236" i="8"/>
  <c r="Q272" i="8"/>
  <c r="Q237" i="8"/>
  <c r="R231" i="8"/>
  <c r="N115" i="7"/>
  <c r="N113" i="7"/>
  <c r="N49" i="7"/>
  <c r="X231" i="9" l="1"/>
  <c r="W237" i="9"/>
  <c r="W110" i="9"/>
  <c r="W272" i="9"/>
  <c r="Y236" i="9"/>
  <c r="R237" i="8"/>
  <c r="R110" i="8"/>
  <c r="S231" i="8"/>
  <c r="T236" i="8"/>
  <c r="R272" i="8"/>
  <c r="M115" i="7"/>
  <c r="M113" i="7"/>
  <c r="M49" i="7"/>
  <c r="E49" i="7"/>
  <c r="Y231" i="9" l="1"/>
  <c r="X237" i="9"/>
  <c r="X110" i="9"/>
  <c r="X272" i="9"/>
  <c r="Z236" i="9"/>
  <c r="S272" i="8"/>
  <c r="U236" i="8"/>
  <c r="T231" i="8"/>
  <c r="S237" i="8"/>
  <c r="S110" i="8"/>
  <c r="D49" i="7"/>
  <c r="C49" i="7"/>
  <c r="B115" i="7"/>
  <c r="Y237" i="9" l="1"/>
  <c r="Z231" i="9"/>
  <c r="AA236" i="9"/>
  <c r="Y272" i="9"/>
  <c r="T237" i="8"/>
  <c r="T110" i="8"/>
  <c r="U231" i="8"/>
  <c r="V236" i="8"/>
  <c r="T272" i="8"/>
  <c r="E4" i="5"/>
  <c r="E4" i="7"/>
  <c r="H4" i="7" s="1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B272" i="7"/>
  <c r="S247" i="7"/>
  <c r="AG237" i="7"/>
  <c r="C237" i="7"/>
  <c r="E236" i="7"/>
  <c r="D272" i="7" s="1"/>
  <c r="D236" i="7"/>
  <c r="C272" i="7" s="1"/>
  <c r="D235" i="7"/>
  <c r="E235" i="7" s="1"/>
  <c r="F235" i="7" s="1"/>
  <c r="G235" i="7" s="1"/>
  <c r="H235" i="7" s="1"/>
  <c r="I235" i="7" s="1"/>
  <c r="J235" i="7" s="1"/>
  <c r="K235" i="7" s="1"/>
  <c r="L235" i="7" s="1"/>
  <c r="M235" i="7" s="1"/>
  <c r="N235" i="7" s="1"/>
  <c r="O235" i="7" s="1"/>
  <c r="P235" i="7" s="1"/>
  <c r="Q235" i="7" s="1"/>
  <c r="R235" i="7" s="1"/>
  <c r="S235" i="7" s="1"/>
  <c r="T235" i="7" s="1"/>
  <c r="U235" i="7" s="1"/>
  <c r="V235" i="7" s="1"/>
  <c r="W235" i="7" s="1"/>
  <c r="X235" i="7" s="1"/>
  <c r="Y235" i="7" s="1"/>
  <c r="Z235" i="7" s="1"/>
  <c r="AA235" i="7" s="1"/>
  <c r="AB235" i="7" s="1"/>
  <c r="AC235" i="7" s="1"/>
  <c r="AD235" i="7" s="1"/>
  <c r="AE235" i="7" s="1"/>
  <c r="AF235" i="7" s="1"/>
  <c r="B235" i="7" s="1"/>
  <c r="D234" i="7"/>
  <c r="E234" i="7" s="1"/>
  <c r="F234" i="7" s="1"/>
  <c r="G234" i="7" s="1"/>
  <c r="H234" i="7" s="1"/>
  <c r="I234" i="7" s="1"/>
  <c r="J234" i="7" s="1"/>
  <c r="K234" i="7" s="1"/>
  <c r="L234" i="7" s="1"/>
  <c r="M234" i="7" s="1"/>
  <c r="N234" i="7" s="1"/>
  <c r="O234" i="7" s="1"/>
  <c r="P234" i="7" s="1"/>
  <c r="Q234" i="7" s="1"/>
  <c r="R234" i="7" s="1"/>
  <c r="S234" i="7" s="1"/>
  <c r="T234" i="7" s="1"/>
  <c r="U234" i="7" s="1"/>
  <c r="V234" i="7" s="1"/>
  <c r="W234" i="7" s="1"/>
  <c r="X234" i="7" s="1"/>
  <c r="Y234" i="7" s="1"/>
  <c r="Z234" i="7" s="1"/>
  <c r="AA234" i="7" s="1"/>
  <c r="AB234" i="7" s="1"/>
  <c r="AC234" i="7" s="1"/>
  <c r="AD234" i="7" s="1"/>
  <c r="AE234" i="7" s="1"/>
  <c r="AF234" i="7" s="1"/>
  <c r="B234" i="7" s="1"/>
  <c r="G233" i="7"/>
  <c r="H233" i="7" s="1"/>
  <c r="I233" i="7" s="1"/>
  <c r="J233" i="7" s="1"/>
  <c r="K233" i="7" s="1"/>
  <c r="L233" i="7" s="1"/>
  <c r="M233" i="7" s="1"/>
  <c r="N233" i="7" s="1"/>
  <c r="O233" i="7" s="1"/>
  <c r="P233" i="7" s="1"/>
  <c r="Q233" i="7" s="1"/>
  <c r="R233" i="7" s="1"/>
  <c r="S233" i="7" s="1"/>
  <c r="T233" i="7" s="1"/>
  <c r="U233" i="7" s="1"/>
  <c r="V233" i="7" s="1"/>
  <c r="W233" i="7" s="1"/>
  <c r="X233" i="7" s="1"/>
  <c r="Y233" i="7" s="1"/>
  <c r="Z233" i="7" s="1"/>
  <c r="AA233" i="7" s="1"/>
  <c r="AB233" i="7" s="1"/>
  <c r="AC233" i="7" s="1"/>
  <c r="AD233" i="7" s="1"/>
  <c r="AE233" i="7" s="1"/>
  <c r="AF233" i="7" s="1"/>
  <c r="B233" i="7" s="1"/>
  <c r="F233" i="7"/>
  <c r="E233" i="7"/>
  <c r="D233" i="7"/>
  <c r="E232" i="7"/>
  <c r="F232" i="7" s="1"/>
  <c r="G232" i="7" s="1"/>
  <c r="H232" i="7" s="1"/>
  <c r="I232" i="7" s="1"/>
  <c r="J232" i="7" s="1"/>
  <c r="K232" i="7" s="1"/>
  <c r="L232" i="7" s="1"/>
  <c r="M232" i="7" s="1"/>
  <c r="N232" i="7" s="1"/>
  <c r="O232" i="7" s="1"/>
  <c r="P232" i="7" s="1"/>
  <c r="Q232" i="7" s="1"/>
  <c r="R232" i="7" s="1"/>
  <c r="S232" i="7" s="1"/>
  <c r="T232" i="7" s="1"/>
  <c r="U232" i="7" s="1"/>
  <c r="V232" i="7" s="1"/>
  <c r="W232" i="7" s="1"/>
  <c r="X232" i="7" s="1"/>
  <c r="Y232" i="7" s="1"/>
  <c r="Z232" i="7" s="1"/>
  <c r="AA232" i="7" s="1"/>
  <c r="AB232" i="7" s="1"/>
  <c r="AC232" i="7" s="1"/>
  <c r="AD232" i="7" s="1"/>
  <c r="AE232" i="7" s="1"/>
  <c r="AF232" i="7" s="1"/>
  <c r="B232" i="7" s="1"/>
  <c r="D232" i="7"/>
  <c r="D231" i="7"/>
  <c r="D237" i="7" s="1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AI122" i="7"/>
  <c r="AH122" i="7"/>
  <c r="AI121" i="7"/>
  <c r="AH121" i="7"/>
  <c r="AI120" i="7"/>
  <c r="AH120" i="7"/>
  <c r="AI119" i="7"/>
  <c r="AH119" i="7"/>
  <c r="AI118" i="7"/>
  <c r="AH118" i="7"/>
  <c r="AI115" i="7"/>
  <c r="AH115" i="7"/>
  <c r="AI114" i="7"/>
  <c r="AH114" i="7"/>
  <c r="AI113" i="7"/>
  <c r="AH113" i="7"/>
  <c r="AI112" i="7"/>
  <c r="AH112" i="7"/>
  <c r="AI111" i="7"/>
  <c r="AH111" i="7"/>
  <c r="D110" i="7"/>
  <c r="C110" i="7"/>
  <c r="AI109" i="7"/>
  <c r="AH109" i="7"/>
  <c r="AI108" i="7"/>
  <c r="AH108" i="7"/>
  <c r="AI107" i="7"/>
  <c r="AH107" i="7"/>
  <c r="AI106" i="7"/>
  <c r="AH106" i="7"/>
  <c r="AI105" i="7"/>
  <c r="AH105" i="7"/>
  <c r="AI104" i="7"/>
  <c r="AH104" i="7"/>
  <c r="AI103" i="7"/>
  <c r="AH103" i="7"/>
  <c r="AI102" i="7"/>
  <c r="AH102" i="7"/>
  <c r="AI101" i="7"/>
  <c r="AH101" i="7"/>
  <c r="R99" i="7"/>
  <c r="AI98" i="7"/>
  <c r="AH98" i="7"/>
  <c r="AI97" i="7"/>
  <c r="AH97" i="7"/>
  <c r="AI96" i="7"/>
  <c r="AH96" i="7"/>
  <c r="AI95" i="7"/>
  <c r="AH95" i="7"/>
  <c r="AI94" i="7"/>
  <c r="AH94" i="7"/>
  <c r="AI93" i="7"/>
  <c r="AH93" i="7"/>
  <c r="AI90" i="7"/>
  <c r="AH90" i="7"/>
  <c r="AI88" i="7"/>
  <c r="AH88" i="7"/>
  <c r="AG88" i="7"/>
  <c r="AI87" i="7"/>
  <c r="AH87" i="7"/>
  <c r="AI86" i="7"/>
  <c r="AH86" i="7"/>
  <c r="AI85" i="7"/>
  <c r="AH85" i="7"/>
  <c r="AG84" i="7"/>
  <c r="AF84" i="7"/>
  <c r="AE5" i="7" s="1"/>
  <c r="AE84" i="7"/>
  <c r="AE99" i="7" s="1"/>
  <c r="AD84" i="7"/>
  <c r="AC5" i="7" s="1"/>
  <c r="AC84" i="7"/>
  <c r="AB84" i="7"/>
  <c r="AA5" i="7" s="1"/>
  <c r="Y84" i="7"/>
  <c r="Y99" i="7" s="1"/>
  <c r="Y100" i="7" s="1"/>
  <c r="X84" i="7"/>
  <c r="W5" i="7" s="1"/>
  <c r="W84" i="7"/>
  <c r="W99" i="7" s="1"/>
  <c r="U84" i="7"/>
  <c r="T5" i="7" s="1"/>
  <c r="T84" i="7"/>
  <c r="T89" i="7" s="1"/>
  <c r="T91" i="7" s="1"/>
  <c r="S84" i="7"/>
  <c r="R5" i="7" s="1"/>
  <c r="R84" i="7"/>
  <c r="Q84" i="7"/>
  <c r="P5" i="7" s="1"/>
  <c r="P84" i="7"/>
  <c r="O5" i="7" s="1"/>
  <c r="O84" i="7"/>
  <c r="O99" i="7" s="1"/>
  <c r="N84" i="7"/>
  <c r="M5" i="7" s="1"/>
  <c r="M84" i="7"/>
  <c r="L5" i="7" s="1"/>
  <c r="L84" i="7"/>
  <c r="K5" i="7" s="1"/>
  <c r="K84" i="7"/>
  <c r="J5" i="7" s="1"/>
  <c r="J84" i="7"/>
  <c r="I5" i="7" s="1"/>
  <c r="I84" i="7"/>
  <c r="I99" i="7" s="1"/>
  <c r="I100" i="7" s="1"/>
  <c r="H84" i="7"/>
  <c r="G5" i="7" s="1"/>
  <c r="G84" i="7"/>
  <c r="G99" i="7" s="1"/>
  <c r="F84" i="7"/>
  <c r="E5" i="7" s="1"/>
  <c r="E84" i="7"/>
  <c r="D5" i="7" s="1"/>
  <c r="D84" i="7"/>
  <c r="C5" i="7" s="1"/>
  <c r="C84" i="7"/>
  <c r="B5" i="7" s="1"/>
  <c r="B84" i="7"/>
  <c r="AI83" i="7"/>
  <c r="AH83" i="7"/>
  <c r="AI82" i="7"/>
  <c r="AH82" i="7"/>
  <c r="AI81" i="7"/>
  <c r="AH81" i="7"/>
  <c r="AI80" i="7"/>
  <c r="AH80" i="7"/>
  <c r="AI79" i="7"/>
  <c r="AH79" i="7"/>
  <c r="AI78" i="7"/>
  <c r="AH78" i="7"/>
  <c r="AI77" i="7"/>
  <c r="AH77" i="7"/>
  <c r="AI76" i="7"/>
  <c r="AH76" i="7"/>
  <c r="AI75" i="7"/>
  <c r="AH75" i="7"/>
  <c r="AI74" i="7"/>
  <c r="AH74" i="7"/>
  <c r="AI73" i="7"/>
  <c r="AH73" i="7"/>
  <c r="AG72" i="7"/>
  <c r="AF72" i="7"/>
  <c r="AE72" i="7"/>
  <c r="AD72" i="7"/>
  <c r="AC72" i="7"/>
  <c r="AB72" i="7"/>
  <c r="Y72" i="7"/>
  <c r="X72" i="7"/>
  <c r="W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I71" i="7"/>
  <c r="AH71" i="7"/>
  <c r="AI70" i="7"/>
  <c r="AH70" i="7"/>
  <c r="AI69" i="7"/>
  <c r="AH69" i="7"/>
  <c r="AF68" i="7"/>
  <c r="AE68" i="7"/>
  <c r="AD68" i="7"/>
  <c r="AC68" i="7"/>
  <c r="AB68" i="7"/>
  <c r="Y68" i="7"/>
  <c r="X68" i="7"/>
  <c r="W68" i="7"/>
  <c r="U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I67" i="7"/>
  <c r="AH67" i="7"/>
  <c r="AG67" i="7"/>
  <c r="AG68" i="7" s="1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I56" i="7"/>
  <c r="AH56" i="7"/>
  <c r="AI55" i="7"/>
  <c r="AH55" i="7"/>
  <c r="AG54" i="7"/>
  <c r="AF54" i="7"/>
  <c r="AE54" i="7"/>
  <c r="AD54" i="7"/>
  <c r="AC54" i="7"/>
  <c r="AB54" i="7"/>
  <c r="Y54" i="7"/>
  <c r="W54" i="7"/>
  <c r="U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I53" i="7"/>
  <c r="AH53" i="7"/>
  <c r="AI52" i="7"/>
  <c r="AH52" i="7"/>
  <c r="AI51" i="7"/>
  <c r="AH51" i="7"/>
  <c r="AG50" i="7"/>
  <c r="AG89" i="7" s="1"/>
  <c r="AF50" i="7"/>
  <c r="AE50" i="7"/>
  <c r="AD50" i="7"/>
  <c r="AC50" i="7"/>
  <c r="AB50" i="7"/>
  <c r="Y50" i="7"/>
  <c r="X50" i="7"/>
  <c r="W50" i="7"/>
  <c r="U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I15" i="7"/>
  <c r="AH15" i="7"/>
  <c r="AI14" i="7"/>
  <c r="AH14" i="7"/>
  <c r="AI13" i="7"/>
  <c r="AH13" i="7"/>
  <c r="AI12" i="7"/>
  <c r="AH12" i="7"/>
  <c r="AI11" i="7"/>
  <c r="AH11" i="7"/>
  <c r="AB5" i="7"/>
  <c r="Z5" i="7"/>
  <c r="Y5" i="7"/>
  <c r="X5" i="7"/>
  <c r="U5" i="7"/>
  <c r="Q5" i="7"/>
  <c r="AG4" i="7"/>
  <c r="K4" i="7"/>
  <c r="B4" i="7"/>
  <c r="D248" i="7" s="1"/>
  <c r="AG2" i="7"/>
  <c r="B4" i="5"/>
  <c r="AE115" i="5"/>
  <c r="AD115" i="5"/>
  <c r="AC115" i="5"/>
  <c r="Z272" i="9" l="1"/>
  <c r="AB236" i="9"/>
  <c r="Z237" i="9"/>
  <c r="AA231" i="9"/>
  <c r="U272" i="8"/>
  <c r="W236" i="8"/>
  <c r="V231" i="8"/>
  <c r="U237" i="8"/>
  <c r="U110" i="8"/>
  <c r="AF89" i="7"/>
  <c r="AF91" i="7" s="1"/>
  <c r="AX251" i="7" s="1"/>
  <c r="AE89" i="7"/>
  <c r="AE91" i="7" s="1"/>
  <c r="AE92" i="7" s="1"/>
  <c r="AE7" i="7" s="1"/>
  <c r="AD89" i="7"/>
  <c r="AD91" i="7" s="1"/>
  <c r="AV251" i="7" s="1"/>
  <c r="AC89" i="7"/>
  <c r="AC91" i="7" s="1"/>
  <c r="AB89" i="7"/>
  <c r="AB91" i="7" s="1"/>
  <c r="AT251" i="7" s="1"/>
  <c r="Y89" i="7"/>
  <c r="Y91" i="7" s="1"/>
  <c r="X89" i="7"/>
  <c r="X91" i="7" s="1"/>
  <c r="W89" i="7"/>
  <c r="W91" i="7" s="1"/>
  <c r="AO251" i="7" s="1"/>
  <c r="U89" i="7"/>
  <c r="U91" i="7" s="1"/>
  <c r="AM251" i="7" s="1"/>
  <c r="S5" i="7"/>
  <c r="S89" i="7"/>
  <c r="S91" i="7" s="1"/>
  <c r="AK251" i="7" s="1"/>
  <c r="R100" i="7"/>
  <c r="R89" i="7"/>
  <c r="R91" i="7" s="1"/>
  <c r="AJ251" i="7" s="1"/>
  <c r="Q99" i="7"/>
  <c r="Q100" i="7" s="1"/>
  <c r="Q89" i="7"/>
  <c r="Q91" i="7" s="1"/>
  <c r="AI251" i="7" s="1"/>
  <c r="P89" i="7"/>
  <c r="P91" i="7" s="1"/>
  <c r="O89" i="7"/>
  <c r="O91" i="7" s="1"/>
  <c r="AG251" i="7" s="1"/>
  <c r="N89" i="7"/>
  <c r="N91" i="7" s="1"/>
  <c r="AF251" i="7" s="1"/>
  <c r="M89" i="7"/>
  <c r="M91" i="7" s="1"/>
  <c r="AE251" i="7" s="1"/>
  <c r="H5" i="7"/>
  <c r="I89" i="7"/>
  <c r="I91" i="7" s="1"/>
  <c r="I92" i="7" s="1"/>
  <c r="I7" i="7" s="1"/>
  <c r="H89" i="7"/>
  <c r="H91" i="7" s="1"/>
  <c r="K89" i="7"/>
  <c r="K91" i="7" s="1"/>
  <c r="AC251" i="7" s="1"/>
  <c r="J89" i="7"/>
  <c r="J91" i="7" s="1"/>
  <c r="G89" i="7"/>
  <c r="G91" i="7" s="1"/>
  <c r="Y251" i="7" s="1"/>
  <c r="AI72" i="7"/>
  <c r="AI54" i="7"/>
  <c r="AH54" i="7"/>
  <c r="AI68" i="7"/>
  <c r="C89" i="7"/>
  <c r="C91" i="7" s="1"/>
  <c r="U251" i="7" s="1"/>
  <c r="E89" i="7"/>
  <c r="E91" i="7" s="1"/>
  <c r="W251" i="7" s="1"/>
  <c r="D89" i="7"/>
  <c r="D91" i="7" s="1"/>
  <c r="V251" i="7" s="1"/>
  <c r="L89" i="7"/>
  <c r="L91" i="7" s="1"/>
  <c r="AD251" i="7" s="1"/>
  <c r="F89" i="7"/>
  <c r="F91" i="7" s="1"/>
  <c r="X251" i="7" s="1"/>
  <c r="AI84" i="7"/>
  <c r="J99" i="7"/>
  <c r="J100" i="7" s="1"/>
  <c r="AF5" i="7"/>
  <c r="B99" i="7"/>
  <c r="B100" i="7" s="1"/>
  <c r="B89" i="7"/>
  <c r="S248" i="7"/>
  <c r="AL251" i="7"/>
  <c r="AU251" i="7"/>
  <c r="AN251" i="7"/>
  <c r="G92" i="7"/>
  <c r="G7" i="7" s="1"/>
  <c r="Z251" i="7"/>
  <c r="AH251" i="7"/>
  <c r="AP251" i="7"/>
  <c r="AG3" i="7"/>
  <c r="AG6" i="7" s="1"/>
  <c r="AG91" i="7"/>
  <c r="AA251" i="7"/>
  <c r="AQ251" i="7"/>
  <c r="Y92" i="7"/>
  <c r="Y7" i="7" s="1"/>
  <c r="AB251" i="7"/>
  <c r="R92" i="7"/>
  <c r="R7" i="7" s="1"/>
  <c r="Z7" i="7"/>
  <c r="AR251" i="7"/>
  <c r="AS251" i="7"/>
  <c r="AI50" i="7"/>
  <c r="H99" i="7"/>
  <c r="H100" i="7" s="1"/>
  <c r="P99" i="7"/>
  <c r="P100" i="7" s="1"/>
  <c r="X99" i="7"/>
  <c r="X100" i="7" s="1"/>
  <c r="AF99" i="7"/>
  <c r="AF100" i="7" s="1"/>
  <c r="G100" i="7"/>
  <c r="O100" i="7"/>
  <c r="W100" i="7"/>
  <c r="AE100" i="7"/>
  <c r="F236" i="7"/>
  <c r="C99" i="7"/>
  <c r="K99" i="7"/>
  <c r="K100" i="7" s="1"/>
  <c r="S99" i="7"/>
  <c r="S100" i="7" s="1"/>
  <c r="E231" i="7"/>
  <c r="F5" i="7"/>
  <c r="N5" i="7"/>
  <c r="V5" i="7"/>
  <c r="AD5" i="7"/>
  <c r="AH68" i="7"/>
  <c r="AH72" i="7"/>
  <c r="AH84" i="7"/>
  <c r="D99" i="7"/>
  <c r="D92" i="7" s="1"/>
  <c r="D7" i="7" s="1"/>
  <c r="L99" i="7"/>
  <c r="L100" i="7" s="1"/>
  <c r="T99" i="7"/>
  <c r="T100" i="7" s="1"/>
  <c r="AB99" i="7"/>
  <c r="AB100" i="7" s="1"/>
  <c r="E99" i="7"/>
  <c r="M99" i="7"/>
  <c r="U99" i="7"/>
  <c r="AC99" i="7"/>
  <c r="AC92" i="7" s="1"/>
  <c r="AC7" i="7" s="1"/>
  <c r="F99" i="7"/>
  <c r="F100" i="7" s="1"/>
  <c r="N99" i="7"/>
  <c r="N100" i="7" s="1"/>
  <c r="AD99" i="7"/>
  <c r="AH50" i="7"/>
  <c r="AA237" i="9" l="1"/>
  <c r="AA110" i="9"/>
  <c r="AB231" i="9"/>
  <c r="AA272" i="9"/>
  <c r="AC236" i="9"/>
  <c r="W231" i="8"/>
  <c r="V237" i="8"/>
  <c r="V110" i="8"/>
  <c r="V272" i="8"/>
  <c r="X236" i="8"/>
  <c r="AW251" i="7"/>
  <c r="AD92" i="7"/>
  <c r="AD7" i="7" s="1"/>
  <c r="AC100" i="7"/>
  <c r="W92" i="7"/>
  <c r="W7" i="7" s="1"/>
  <c r="U92" i="7"/>
  <c r="U7" i="7" s="1"/>
  <c r="U100" i="7"/>
  <c r="Q92" i="7"/>
  <c r="Q7" i="7" s="1"/>
  <c r="O92" i="7"/>
  <c r="O7" i="7" s="1"/>
  <c r="M92" i="7"/>
  <c r="M7" i="7" s="1"/>
  <c r="K92" i="7"/>
  <c r="K7" i="7" s="1"/>
  <c r="J92" i="7"/>
  <c r="J7" i="7" s="1"/>
  <c r="B246" i="7"/>
  <c r="E92" i="7"/>
  <c r="E7" i="7" s="1"/>
  <c r="C246" i="7"/>
  <c r="AI89" i="7"/>
  <c r="AH89" i="7"/>
  <c r="B91" i="7"/>
  <c r="B92" i="7" s="1"/>
  <c r="AH99" i="7"/>
  <c r="C100" i="7"/>
  <c r="V7" i="7"/>
  <c r="H92" i="7"/>
  <c r="H7" i="7" s="1"/>
  <c r="C92" i="7"/>
  <c r="C7" i="7" s="1"/>
  <c r="M100" i="7"/>
  <c r="N92" i="7"/>
  <c r="N7" i="7" s="1"/>
  <c r="AB92" i="7"/>
  <c r="AB7" i="7" s="1"/>
  <c r="F231" i="7"/>
  <c r="E237" i="7"/>
  <c r="E110" i="7"/>
  <c r="AD100" i="7"/>
  <c r="E100" i="7"/>
  <c r="AF92" i="7"/>
  <c r="AF7" i="7" s="1"/>
  <c r="AI99" i="7"/>
  <c r="T92" i="7"/>
  <c r="T7" i="7" s="1"/>
  <c r="AA7" i="7"/>
  <c r="F92" i="7"/>
  <c r="F7" i="7" s="1"/>
  <c r="X92" i="7"/>
  <c r="X7" i="7" s="1"/>
  <c r="L92" i="7"/>
  <c r="L7" i="7" s="1"/>
  <c r="E272" i="7"/>
  <c r="G236" i="7"/>
  <c r="S92" i="7"/>
  <c r="S7" i="7" s="1"/>
  <c r="D100" i="7"/>
  <c r="P92" i="7"/>
  <c r="P7" i="7" s="1"/>
  <c r="AB272" i="9" l="1"/>
  <c r="AD236" i="9"/>
  <c r="AB237" i="9"/>
  <c r="AB110" i="9"/>
  <c r="AC231" i="9"/>
  <c r="W272" i="8"/>
  <c r="Y236" i="8"/>
  <c r="W110" i="8"/>
  <c r="X231" i="8"/>
  <c r="W237" i="8"/>
  <c r="K6" i="7"/>
  <c r="T251" i="7"/>
  <c r="AH91" i="7"/>
  <c r="AI91" i="7"/>
  <c r="AH100" i="7"/>
  <c r="AI92" i="7"/>
  <c r="AH92" i="7"/>
  <c r="B7" i="7"/>
  <c r="A7" i="7" s="1"/>
  <c r="AI100" i="7"/>
  <c r="F237" i="7"/>
  <c r="G231" i="7"/>
  <c r="F110" i="7"/>
  <c r="F272" i="7"/>
  <c r="H236" i="7"/>
  <c r="AD231" i="9" l="1"/>
  <c r="AC110" i="9"/>
  <c r="AC237" i="9"/>
  <c r="AC272" i="9"/>
  <c r="AE236" i="9"/>
  <c r="Y231" i="8"/>
  <c r="X237" i="8"/>
  <c r="X110" i="8"/>
  <c r="X272" i="8"/>
  <c r="Z236" i="8"/>
  <c r="H231" i="7"/>
  <c r="G110" i="7"/>
  <c r="G237" i="7"/>
  <c r="G272" i="7"/>
  <c r="I236" i="7"/>
  <c r="AE231" i="9" l="1"/>
  <c r="AD237" i="9"/>
  <c r="AD272" i="9"/>
  <c r="AF236" i="9"/>
  <c r="AA236" i="8"/>
  <c r="Y272" i="8"/>
  <c r="Y237" i="8"/>
  <c r="Y110" i="8"/>
  <c r="Z231" i="8"/>
  <c r="H272" i="7"/>
  <c r="J236" i="7"/>
  <c r="I231" i="7"/>
  <c r="H110" i="7"/>
  <c r="H237" i="7"/>
  <c r="AF231" i="9" l="1"/>
  <c r="AE237" i="9"/>
  <c r="AE110" i="9"/>
  <c r="B236" i="9"/>
  <c r="AF272" i="9" s="1"/>
  <c r="AE272" i="9"/>
  <c r="Z237" i="8"/>
  <c r="Z110" i="8"/>
  <c r="AA231" i="8"/>
  <c r="AB236" i="8"/>
  <c r="Z272" i="8"/>
  <c r="I110" i="7"/>
  <c r="I237" i="7"/>
  <c r="J231" i="7"/>
  <c r="K236" i="7"/>
  <c r="I272" i="7"/>
  <c r="AF237" i="9" l="1"/>
  <c r="B231" i="9"/>
  <c r="AA272" i="8"/>
  <c r="AC236" i="8"/>
  <c r="AA237" i="8"/>
  <c r="AA110" i="8"/>
  <c r="AB231" i="8"/>
  <c r="J272" i="7"/>
  <c r="L236" i="7"/>
  <c r="J110" i="7"/>
  <c r="J237" i="7"/>
  <c r="K231" i="7"/>
  <c r="B237" i="9" l="1"/>
  <c r="AB237" i="8"/>
  <c r="AC231" i="8"/>
  <c r="AB272" i="8"/>
  <c r="AD236" i="8"/>
  <c r="K110" i="7"/>
  <c r="K237" i="7"/>
  <c r="L231" i="7"/>
  <c r="M236" i="7"/>
  <c r="K272" i="7"/>
  <c r="AI110" i="9" l="1"/>
  <c r="AH110" i="9"/>
  <c r="AC272" i="8"/>
  <c r="AE236" i="8"/>
  <c r="AD231" i="8"/>
  <c r="AC237" i="8"/>
  <c r="L272" i="7"/>
  <c r="N236" i="7"/>
  <c r="L237" i="7"/>
  <c r="M231" i="7"/>
  <c r="L110" i="7"/>
  <c r="AE231" i="8" l="1"/>
  <c r="AD237" i="8"/>
  <c r="AD272" i="8"/>
  <c r="AF236" i="8"/>
  <c r="M110" i="7"/>
  <c r="N231" i="7"/>
  <c r="M237" i="7"/>
  <c r="M272" i="7"/>
  <c r="O236" i="7"/>
  <c r="AB115" i="5"/>
  <c r="B236" i="8" l="1"/>
  <c r="AF272" i="8" s="1"/>
  <c r="AE272" i="8"/>
  <c r="AE237" i="8"/>
  <c r="AF231" i="8"/>
  <c r="O231" i="7"/>
  <c r="N237" i="7"/>
  <c r="N110" i="7"/>
  <c r="N272" i="7"/>
  <c r="P236" i="7"/>
  <c r="AA115" i="5"/>
  <c r="Z115" i="5"/>
  <c r="AF237" i="8" l="1"/>
  <c r="B231" i="8"/>
  <c r="O272" i="7"/>
  <c r="Q236" i="7"/>
  <c r="P231" i="7"/>
  <c r="O110" i="7"/>
  <c r="O237" i="7"/>
  <c r="Y115" i="5"/>
  <c r="B110" i="8" l="1"/>
  <c r="B237" i="8"/>
  <c r="Q231" i="7"/>
  <c r="P237" i="7"/>
  <c r="P272" i="7"/>
  <c r="R236" i="7"/>
  <c r="W115" i="5"/>
  <c r="W49" i="5"/>
  <c r="V115" i="5"/>
  <c r="V49" i="5"/>
  <c r="AI110" i="8" l="1"/>
  <c r="AH110" i="8"/>
  <c r="S236" i="7"/>
  <c r="Q272" i="7"/>
  <c r="Q237" i="7"/>
  <c r="Q110" i="7"/>
  <c r="R231" i="7"/>
  <c r="U115" i="5"/>
  <c r="U49" i="5"/>
  <c r="T115" i="5"/>
  <c r="T49" i="5"/>
  <c r="S115" i="5"/>
  <c r="S49" i="5"/>
  <c r="R49" i="5"/>
  <c r="Q54" i="5"/>
  <c r="Q50" i="5"/>
  <c r="Q49" i="5"/>
  <c r="S231" i="7" l="1"/>
  <c r="R237" i="7"/>
  <c r="R110" i="7"/>
  <c r="R272" i="7"/>
  <c r="T236" i="7"/>
  <c r="O49" i="5"/>
  <c r="P49" i="5"/>
  <c r="N49" i="5"/>
  <c r="U236" i="7" l="1"/>
  <c r="S272" i="7"/>
  <c r="S237" i="7"/>
  <c r="S110" i="7"/>
  <c r="T231" i="7"/>
  <c r="M49" i="5"/>
  <c r="L113" i="5"/>
  <c r="L49" i="5"/>
  <c r="T237" i="7" l="1"/>
  <c r="T110" i="7"/>
  <c r="U231" i="7"/>
  <c r="T272" i="7"/>
  <c r="V236" i="7"/>
  <c r="B72" i="5"/>
  <c r="C72" i="5"/>
  <c r="D72" i="5"/>
  <c r="E72" i="5"/>
  <c r="F72" i="5"/>
  <c r="G72" i="5"/>
  <c r="H72" i="5"/>
  <c r="I72" i="5"/>
  <c r="J72" i="5"/>
  <c r="K72" i="5"/>
  <c r="L72" i="5"/>
  <c r="U272" i="7" l="1"/>
  <c r="W236" i="7"/>
  <c r="V231" i="7"/>
  <c r="U237" i="7"/>
  <c r="U110" i="7"/>
  <c r="V237" i="7" l="1"/>
  <c r="W231" i="7"/>
  <c r="V272" i="7"/>
  <c r="X236" i="7"/>
  <c r="W272" i="7" l="1"/>
  <c r="Y236" i="7"/>
  <c r="X231" i="7"/>
  <c r="W237" i="7"/>
  <c r="W110" i="7"/>
  <c r="Y231" i="7" l="1"/>
  <c r="X237" i="7"/>
  <c r="X110" i="7"/>
  <c r="X272" i="7"/>
  <c r="Z236" i="7"/>
  <c r="AA236" i="7" l="1"/>
  <c r="Y272" i="7"/>
  <c r="Y237" i="7"/>
  <c r="Y110" i="7"/>
  <c r="Z231" i="7"/>
  <c r="K113" i="5"/>
  <c r="K49" i="5"/>
  <c r="J113" i="5"/>
  <c r="J49" i="5"/>
  <c r="I115" i="5"/>
  <c r="I113" i="5"/>
  <c r="I49" i="5"/>
  <c r="H115" i="5"/>
  <c r="H113" i="5"/>
  <c r="H49" i="5"/>
  <c r="G115" i="5"/>
  <c r="G113" i="5"/>
  <c r="G49" i="5"/>
  <c r="F115" i="5"/>
  <c r="F113" i="5"/>
  <c r="F49" i="5"/>
  <c r="E115" i="5"/>
  <c r="E113" i="5"/>
  <c r="E49" i="5"/>
  <c r="Z237" i="7" l="1"/>
  <c r="AA231" i="7"/>
  <c r="Z272" i="7"/>
  <c r="AB236" i="7"/>
  <c r="D115" i="5"/>
  <c r="C115" i="5"/>
  <c r="C110" i="5" s="1"/>
  <c r="B115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276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275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B272" i="5"/>
  <c r="S247" i="5"/>
  <c r="AG237" i="5"/>
  <c r="AG67" i="5" s="1"/>
  <c r="AG68" i="5" s="1"/>
  <c r="AG3" i="5" s="1"/>
  <c r="C237" i="5"/>
  <c r="D236" i="5"/>
  <c r="C272" i="5" s="1"/>
  <c r="D235" i="5"/>
  <c r="E235" i="5" s="1"/>
  <c r="F235" i="5" s="1"/>
  <c r="G235" i="5" s="1"/>
  <c r="H235" i="5" s="1"/>
  <c r="I235" i="5" s="1"/>
  <c r="J235" i="5" s="1"/>
  <c r="K235" i="5" s="1"/>
  <c r="L235" i="5" s="1"/>
  <c r="M235" i="5" s="1"/>
  <c r="N235" i="5" s="1"/>
  <c r="O235" i="5" s="1"/>
  <c r="P235" i="5" s="1"/>
  <c r="Q235" i="5" s="1"/>
  <c r="R235" i="5" s="1"/>
  <c r="S235" i="5" s="1"/>
  <c r="T235" i="5" s="1"/>
  <c r="U235" i="5" s="1"/>
  <c r="V235" i="5" s="1"/>
  <c r="W235" i="5" s="1"/>
  <c r="X235" i="5" s="1"/>
  <c r="Y235" i="5" s="1"/>
  <c r="Z235" i="5" s="1"/>
  <c r="AA235" i="5" s="1"/>
  <c r="AB235" i="5" s="1"/>
  <c r="AC235" i="5" s="1"/>
  <c r="AD235" i="5" s="1"/>
  <c r="AE235" i="5" s="1"/>
  <c r="AF235" i="5" s="1"/>
  <c r="B235" i="5" s="1"/>
  <c r="D234" i="5"/>
  <c r="E234" i="5" s="1"/>
  <c r="F234" i="5" s="1"/>
  <c r="G234" i="5" s="1"/>
  <c r="H234" i="5" s="1"/>
  <c r="I234" i="5" s="1"/>
  <c r="J234" i="5" s="1"/>
  <c r="K234" i="5" s="1"/>
  <c r="L234" i="5" s="1"/>
  <c r="M234" i="5" s="1"/>
  <c r="N234" i="5" s="1"/>
  <c r="O234" i="5" s="1"/>
  <c r="P234" i="5" s="1"/>
  <c r="Q234" i="5" s="1"/>
  <c r="R234" i="5" s="1"/>
  <c r="S234" i="5" s="1"/>
  <c r="T234" i="5" s="1"/>
  <c r="U234" i="5" s="1"/>
  <c r="V234" i="5" s="1"/>
  <c r="W234" i="5" s="1"/>
  <c r="X234" i="5" s="1"/>
  <c r="Y234" i="5" s="1"/>
  <c r="Z234" i="5" s="1"/>
  <c r="AA234" i="5" s="1"/>
  <c r="AB234" i="5" s="1"/>
  <c r="AC234" i="5" s="1"/>
  <c r="AD234" i="5" s="1"/>
  <c r="AE234" i="5" s="1"/>
  <c r="AF234" i="5" s="1"/>
  <c r="B234" i="5" s="1"/>
  <c r="D233" i="5"/>
  <c r="E233" i="5" s="1"/>
  <c r="F233" i="5" s="1"/>
  <c r="G233" i="5" s="1"/>
  <c r="H233" i="5" s="1"/>
  <c r="I233" i="5" s="1"/>
  <c r="J233" i="5" s="1"/>
  <c r="K233" i="5" s="1"/>
  <c r="L233" i="5" s="1"/>
  <c r="M233" i="5" s="1"/>
  <c r="N233" i="5" s="1"/>
  <c r="O233" i="5" s="1"/>
  <c r="P233" i="5" s="1"/>
  <c r="Q233" i="5" s="1"/>
  <c r="R233" i="5" s="1"/>
  <c r="S233" i="5" s="1"/>
  <c r="T233" i="5" s="1"/>
  <c r="U233" i="5" s="1"/>
  <c r="V233" i="5" s="1"/>
  <c r="W233" i="5" s="1"/>
  <c r="X233" i="5" s="1"/>
  <c r="Y233" i="5" s="1"/>
  <c r="Z233" i="5" s="1"/>
  <c r="AA233" i="5" s="1"/>
  <c r="AB233" i="5" s="1"/>
  <c r="AC233" i="5" s="1"/>
  <c r="AD233" i="5" s="1"/>
  <c r="AE233" i="5" s="1"/>
  <c r="AF233" i="5" s="1"/>
  <c r="B233" i="5" s="1"/>
  <c r="D232" i="5"/>
  <c r="D231" i="5"/>
  <c r="E231" i="5" s="1"/>
  <c r="F231" i="5" s="1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I122" i="5"/>
  <c r="AH122" i="5"/>
  <c r="AI121" i="5"/>
  <c r="AH121" i="5"/>
  <c r="AI120" i="5"/>
  <c r="AH120" i="5"/>
  <c r="AI119" i="5"/>
  <c r="AH119" i="5"/>
  <c r="AI118" i="5"/>
  <c r="AH118" i="5"/>
  <c r="AI114" i="5"/>
  <c r="AH114" i="5"/>
  <c r="AI113" i="5"/>
  <c r="AH113" i="5"/>
  <c r="AI112" i="5"/>
  <c r="AH112" i="5"/>
  <c r="AI111" i="5"/>
  <c r="AH111" i="5"/>
  <c r="AI109" i="5"/>
  <c r="AH109" i="5"/>
  <c r="AI108" i="5"/>
  <c r="AH108" i="5"/>
  <c r="AI107" i="5"/>
  <c r="AH107" i="5"/>
  <c r="AI106" i="5"/>
  <c r="AH106" i="5"/>
  <c r="AI105" i="5"/>
  <c r="AH105" i="5"/>
  <c r="AI104" i="5"/>
  <c r="AH104" i="5"/>
  <c r="AI103" i="5"/>
  <c r="AH103" i="5"/>
  <c r="AI102" i="5"/>
  <c r="AH102" i="5"/>
  <c r="AI101" i="5"/>
  <c r="AH101" i="5"/>
  <c r="AI98" i="5"/>
  <c r="AH98" i="5"/>
  <c r="AI97" i="5"/>
  <c r="AH97" i="5"/>
  <c r="AI96" i="5"/>
  <c r="AH96" i="5"/>
  <c r="AI95" i="5"/>
  <c r="AH95" i="5"/>
  <c r="AI94" i="5"/>
  <c r="AH94" i="5"/>
  <c r="AI93" i="5"/>
  <c r="AH93" i="5"/>
  <c r="AI90" i="5"/>
  <c r="AH90" i="5"/>
  <c r="AI88" i="5"/>
  <c r="AH88" i="5"/>
  <c r="AG88" i="5"/>
  <c r="AI87" i="5"/>
  <c r="AH87" i="5"/>
  <c r="AI86" i="5"/>
  <c r="AH86" i="5"/>
  <c r="AI85" i="5"/>
  <c r="AH85" i="5"/>
  <c r="AG84" i="5"/>
  <c r="AF84" i="5"/>
  <c r="AF99" i="5" s="1"/>
  <c r="AF100" i="5" s="1"/>
  <c r="AE84" i="5"/>
  <c r="AE99" i="5" s="1"/>
  <c r="AE100" i="5" s="1"/>
  <c r="AD84" i="5"/>
  <c r="AC84" i="5"/>
  <c r="AB5" i="5" s="1"/>
  <c r="AB84" i="5"/>
  <c r="AA5" i="5" s="1"/>
  <c r="AA84" i="5"/>
  <c r="Z5" i="5" s="1"/>
  <c r="Z84" i="5"/>
  <c r="Y5" i="5" s="1"/>
  <c r="Y84" i="5"/>
  <c r="X5" i="5" s="1"/>
  <c r="X84" i="5"/>
  <c r="X99" i="5" s="1"/>
  <c r="X100" i="5" s="1"/>
  <c r="W84" i="5"/>
  <c r="W99" i="5" s="1"/>
  <c r="W100" i="5" s="1"/>
  <c r="V84" i="5"/>
  <c r="U84" i="5"/>
  <c r="T5" i="5" s="1"/>
  <c r="T84" i="5"/>
  <c r="S5" i="5" s="1"/>
  <c r="S84" i="5"/>
  <c r="R5" i="5" s="1"/>
  <c r="R84" i="5"/>
  <c r="Q5" i="5" s="1"/>
  <c r="Q84" i="5"/>
  <c r="Q99" i="5" s="1"/>
  <c r="P84" i="5"/>
  <c r="P99" i="5" s="1"/>
  <c r="P100" i="5" s="1"/>
  <c r="O84" i="5"/>
  <c r="O99" i="5" s="1"/>
  <c r="O100" i="5" s="1"/>
  <c r="N84" i="5"/>
  <c r="M84" i="5"/>
  <c r="L5" i="5" s="1"/>
  <c r="L84" i="5"/>
  <c r="K5" i="5" s="1"/>
  <c r="K84" i="5"/>
  <c r="J5" i="5" s="1"/>
  <c r="J84" i="5"/>
  <c r="I5" i="5" s="1"/>
  <c r="I84" i="5"/>
  <c r="H5" i="5" s="1"/>
  <c r="H84" i="5"/>
  <c r="G5" i="5" s="1"/>
  <c r="G84" i="5"/>
  <c r="G99" i="5" s="1"/>
  <c r="G100" i="5" s="1"/>
  <c r="F84" i="5"/>
  <c r="E84" i="5"/>
  <c r="D5" i="5" s="1"/>
  <c r="D84" i="5"/>
  <c r="C5" i="5" s="1"/>
  <c r="C84" i="5"/>
  <c r="B5" i="5" s="1"/>
  <c r="B84" i="5"/>
  <c r="AF5" i="5" s="1"/>
  <c r="AI83" i="5"/>
  <c r="AH83" i="5"/>
  <c r="AI82" i="5"/>
  <c r="AH82" i="5"/>
  <c r="AI81" i="5"/>
  <c r="AH81" i="5"/>
  <c r="AI80" i="5"/>
  <c r="AH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G72" i="5"/>
  <c r="AG4" i="5" s="1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AI71" i="5"/>
  <c r="AH71" i="5"/>
  <c r="AI70" i="5"/>
  <c r="AH70" i="5"/>
  <c r="AI69" i="5"/>
  <c r="AH69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I53" i="5"/>
  <c r="AH53" i="5"/>
  <c r="AI52" i="5"/>
  <c r="AH52" i="5"/>
  <c r="AI51" i="5"/>
  <c r="AH51" i="5"/>
  <c r="AG50" i="5"/>
  <c r="AG2" i="5" s="1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K4" i="5"/>
  <c r="H4" i="5"/>
  <c r="S248" i="5"/>
  <c r="AF115" i="2"/>
  <c r="AE115" i="2"/>
  <c r="AD115" i="2"/>
  <c r="AC115" i="2"/>
  <c r="AA272" i="7" l="1"/>
  <c r="AC236" i="7"/>
  <c r="AA237" i="7"/>
  <c r="AB231" i="7"/>
  <c r="AE5" i="5"/>
  <c r="AI115" i="5"/>
  <c r="P5" i="5"/>
  <c r="S89" i="5"/>
  <c r="S91" i="5" s="1"/>
  <c r="AK251" i="5" s="1"/>
  <c r="AA89" i="5"/>
  <c r="AA91" i="5" s="1"/>
  <c r="AS251" i="5" s="1"/>
  <c r="T89" i="5"/>
  <c r="T91" i="5" s="1"/>
  <c r="AL251" i="5" s="1"/>
  <c r="AH115" i="5"/>
  <c r="L89" i="5"/>
  <c r="L91" i="5" s="1"/>
  <c r="AD251" i="5" s="1"/>
  <c r="AB89" i="5"/>
  <c r="AB91" i="5" s="1"/>
  <c r="AT251" i="5" s="1"/>
  <c r="W5" i="5"/>
  <c r="P89" i="5"/>
  <c r="P91" i="5" s="1"/>
  <c r="AH251" i="5" s="1"/>
  <c r="X89" i="5"/>
  <c r="X91" i="5" s="1"/>
  <c r="X92" i="5" s="1"/>
  <c r="X7" i="5" s="1"/>
  <c r="AF89" i="5"/>
  <c r="AF91" i="5" s="1"/>
  <c r="AX251" i="5" s="1"/>
  <c r="O5" i="5"/>
  <c r="Q89" i="5"/>
  <c r="Q91" i="5" s="1"/>
  <c r="AI251" i="5" s="1"/>
  <c r="Y89" i="5"/>
  <c r="Y91" i="5" s="1"/>
  <c r="AQ251" i="5" s="1"/>
  <c r="AG89" i="5"/>
  <c r="D110" i="5"/>
  <c r="AG91" i="5"/>
  <c r="Q100" i="5"/>
  <c r="Y99" i="5"/>
  <c r="Y100" i="5" s="1"/>
  <c r="O89" i="5"/>
  <c r="O91" i="5" s="1"/>
  <c r="O92" i="5" s="1"/>
  <c r="O7" i="5" s="1"/>
  <c r="W89" i="5"/>
  <c r="W91" i="5" s="1"/>
  <c r="AO251" i="5" s="1"/>
  <c r="AE89" i="5"/>
  <c r="AE91" i="5" s="1"/>
  <c r="AW251" i="5" s="1"/>
  <c r="K89" i="5"/>
  <c r="K91" i="5" s="1"/>
  <c r="AC251" i="5" s="1"/>
  <c r="I99" i="5"/>
  <c r="I100" i="5" s="1"/>
  <c r="I89" i="5"/>
  <c r="I91" i="5" s="1"/>
  <c r="H99" i="5"/>
  <c r="H100" i="5" s="1"/>
  <c r="H89" i="5"/>
  <c r="H91" i="5" s="1"/>
  <c r="Z251" i="5" s="1"/>
  <c r="G89" i="5"/>
  <c r="G91" i="5" s="1"/>
  <c r="Y251" i="5" s="1"/>
  <c r="D89" i="5"/>
  <c r="D91" i="5" s="1"/>
  <c r="V251" i="5" s="1"/>
  <c r="C89" i="5"/>
  <c r="C91" i="5" s="1"/>
  <c r="U251" i="5" s="1"/>
  <c r="D248" i="5"/>
  <c r="AD99" i="5"/>
  <c r="AD100" i="5" s="1"/>
  <c r="AC5" i="5"/>
  <c r="E89" i="5"/>
  <c r="E91" i="5" s="1"/>
  <c r="M89" i="5"/>
  <c r="M91" i="5" s="1"/>
  <c r="U89" i="5"/>
  <c r="U91" i="5" s="1"/>
  <c r="AC89" i="5"/>
  <c r="AC91" i="5" s="1"/>
  <c r="AI68" i="5"/>
  <c r="V99" i="5"/>
  <c r="V100" i="5" s="1"/>
  <c r="U5" i="5"/>
  <c r="F89" i="5"/>
  <c r="F91" i="5" s="1"/>
  <c r="G231" i="5"/>
  <c r="AI84" i="5"/>
  <c r="F99" i="5"/>
  <c r="F100" i="5" s="1"/>
  <c r="E5" i="5"/>
  <c r="N99" i="5"/>
  <c r="N100" i="5" s="1"/>
  <c r="M5" i="5"/>
  <c r="N89" i="5"/>
  <c r="N91" i="5" s="1"/>
  <c r="V89" i="5"/>
  <c r="V91" i="5" s="1"/>
  <c r="AD89" i="5"/>
  <c r="AD91" i="5" s="1"/>
  <c r="AI54" i="5"/>
  <c r="AH54" i="5"/>
  <c r="B89" i="5"/>
  <c r="AI50" i="5"/>
  <c r="J89" i="5"/>
  <c r="J91" i="5" s="1"/>
  <c r="R89" i="5"/>
  <c r="R91" i="5" s="1"/>
  <c r="Z89" i="5"/>
  <c r="Z91" i="5" s="1"/>
  <c r="AH50" i="5"/>
  <c r="AG6" i="5"/>
  <c r="AI72" i="5"/>
  <c r="D237" i="5"/>
  <c r="E232" i="5"/>
  <c r="E236" i="5"/>
  <c r="B99" i="5"/>
  <c r="B100" i="5" s="1"/>
  <c r="J99" i="5"/>
  <c r="J100" i="5" s="1"/>
  <c r="R99" i="5"/>
  <c r="R100" i="5" s="1"/>
  <c r="Z99" i="5"/>
  <c r="Z100" i="5" s="1"/>
  <c r="C99" i="5"/>
  <c r="K99" i="5"/>
  <c r="K100" i="5" s="1"/>
  <c r="S99" i="5"/>
  <c r="AA99" i="5"/>
  <c r="AA100" i="5" s="1"/>
  <c r="AH72" i="5"/>
  <c r="AH84" i="5"/>
  <c r="D99" i="5"/>
  <c r="D100" i="5" s="1"/>
  <c r="L99" i="5"/>
  <c r="L100" i="5" s="1"/>
  <c r="T99" i="5"/>
  <c r="T100" i="5" s="1"/>
  <c r="AB99" i="5"/>
  <c r="AB100" i="5" s="1"/>
  <c r="F5" i="5"/>
  <c r="V5" i="5"/>
  <c r="AD5" i="5"/>
  <c r="AH68" i="5"/>
  <c r="E99" i="5"/>
  <c r="E100" i="5" s="1"/>
  <c r="M99" i="5"/>
  <c r="M100" i="5" s="1"/>
  <c r="U99" i="5"/>
  <c r="U100" i="5" s="1"/>
  <c r="AC99" i="5"/>
  <c r="AC100" i="5" s="1"/>
  <c r="N5" i="5"/>
  <c r="AB115" i="2"/>
  <c r="AB272" i="7" l="1"/>
  <c r="AD236" i="7"/>
  <c r="AB237" i="7"/>
  <c r="AB110" i="7"/>
  <c r="AC231" i="7"/>
  <c r="AF92" i="5"/>
  <c r="AF7" i="5" s="1"/>
  <c r="AP251" i="5"/>
  <c r="P92" i="5"/>
  <c r="P7" i="5" s="1"/>
  <c r="AE92" i="5"/>
  <c r="AE7" i="5" s="1"/>
  <c r="S92" i="5"/>
  <c r="S7" i="5" s="1"/>
  <c r="I92" i="5"/>
  <c r="I7" i="5" s="1"/>
  <c r="AG251" i="5"/>
  <c r="W92" i="5"/>
  <c r="W7" i="5" s="1"/>
  <c r="Q92" i="5"/>
  <c r="Q7" i="5" s="1"/>
  <c r="S100" i="5"/>
  <c r="Y92" i="5"/>
  <c r="Y7" i="5" s="1"/>
  <c r="K92" i="5"/>
  <c r="K7" i="5" s="1"/>
  <c r="C92" i="5"/>
  <c r="C7" i="5" s="1"/>
  <c r="AA251" i="5"/>
  <c r="H92" i="5"/>
  <c r="H7" i="5" s="1"/>
  <c r="AA92" i="5"/>
  <c r="AA7" i="5" s="1"/>
  <c r="T92" i="5"/>
  <c r="T7" i="5" s="1"/>
  <c r="G92" i="5"/>
  <c r="G7" i="5" s="1"/>
  <c r="B246" i="5"/>
  <c r="D92" i="5"/>
  <c r="D7" i="5" s="1"/>
  <c r="C100" i="5"/>
  <c r="R92" i="5"/>
  <c r="R7" i="5" s="1"/>
  <c r="AJ251" i="5"/>
  <c r="J92" i="5"/>
  <c r="J7" i="5" s="1"/>
  <c r="AB251" i="5"/>
  <c r="AN251" i="5"/>
  <c r="V92" i="5"/>
  <c r="V7" i="5" s="1"/>
  <c r="C246" i="5"/>
  <c r="N92" i="5"/>
  <c r="N7" i="5" s="1"/>
  <c r="AF251" i="5"/>
  <c r="L92" i="5"/>
  <c r="L7" i="5" s="1"/>
  <c r="AM251" i="5"/>
  <c r="U92" i="5"/>
  <c r="U7" i="5" s="1"/>
  <c r="AU251" i="5"/>
  <c r="AC92" i="5"/>
  <c r="AC7" i="5" s="1"/>
  <c r="AB92" i="5"/>
  <c r="AB7" i="5" s="1"/>
  <c r="AE251" i="5"/>
  <c r="M92" i="5"/>
  <c r="M7" i="5" s="1"/>
  <c r="AV251" i="5"/>
  <c r="AD92" i="5"/>
  <c r="AD7" i="5" s="1"/>
  <c r="AH99" i="5"/>
  <c r="AI99" i="5"/>
  <c r="E110" i="5"/>
  <c r="D272" i="5"/>
  <c r="F236" i="5"/>
  <c r="H231" i="5"/>
  <c r="E237" i="5"/>
  <c r="F232" i="5"/>
  <c r="X251" i="5"/>
  <c r="F92" i="5"/>
  <c r="F7" i="5" s="1"/>
  <c r="W251" i="5"/>
  <c r="E92" i="5"/>
  <c r="E7" i="5" s="1"/>
  <c r="AH89" i="5"/>
  <c r="B91" i="5"/>
  <c r="AI89" i="5"/>
  <c r="Z92" i="5"/>
  <c r="Z7" i="5" s="1"/>
  <c r="AR251" i="5"/>
  <c r="AA50" i="2"/>
  <c r="AA54" i="2"/>
  <c r="AA68" i="2"/>
  <c r="AA72" i="2"/>
  <c r="AA84" i="2"/>
  <c r="AA99" i="2" s="1"/>
  <c r="AA110" i="2"/>
  <c r="Z50" i="2"/>
  <c r="Z54" i="2"/>
  <c r="Z68" i="2"/>
  <c r="Z72" i="2"/>
  <c r="Z84" i="2"/>
  <c r="Z99" i="2" s="1"/>
  <c r="Z110" i="2"/>
  <c r="X115" i="2"/>
  <c r="W50" i="2"/>
  <c r="W54" i="2"/>
  <c r="W68" i="2"/>
  <c r="W72" i="2"/>
  <c r="W84" i="2"/>
  <c r="W99" i="2" s="1"/>
  <c r="W110" i="2"/>
  <c r="V50" i="2"/>
  <c r="V54" i="2"/>
  <c r="V68" i="2"/>
  <c r="V72" i="2"/>
  <c r="V84" i="2"/>
  <c r="V110" i="2"/>
  <c r="AD231" i="7" l="1"/>
  <c r="AC237" i="7"/>
  <c r="AC110" i="7"/>
  <c r="AC272" i="7"/>
  <c r="AE236" i="7"/>
  <c r="AH100" i="5"/>
  <c r="K6" i="5"/>
  <c r="AI100" i="5"/>
  <c r="B92" i="5"/>
  <c r="AI91" i="5"/>
  <c r="AH91" i="5"/>
  <c r="T251" i="5"/>
  <c r="I231" i="5"/>
  <c r="G232" i="5"/>
  <c r="F237" i="5"/>
  <c r="E272" i="5"/>
  <c r="G236" i="5"/>
  <c r="F110" i="5"/>
  <c r="AA100" i="2"/>
  <c r="AA89" i="2"/>
  <c r="AA91" i="2" s="1"/>
  <c r="AA92" i="2" s="1"/>
  <c r="Z100" i="2"/>
  <c r="Z89" i="2"/>
  <c r="Z91" i="2" s="1"/>
  <c r="Z92" i="2" s="1"/>
  <c r="W89" i="2"/>
  <c r="W91" i="2" s="1"/>
  <c r="W92" i="2" s="1"/>
  <c r="W100" i="2"/>
  <c r="V89" i="2"/>
  <c r="V91" i="2" s="1"/>
  <c r="V99" i="2"/>
  <c r="V100" i="2" s="1"/>
  <c r="AD272" i="7" l="1"/>
  <c r="AF236" i="7"/>
  <c r="AE231" i="7"/>
  <c r="AD237" i="7"/>
  <c r="H232" i="5"/>
  <c r="G237" i="5"/>
  <c r="J231" i="5"/>
  <c r="F272" i="5"/>
  <c r="H236" i="5"/>
  <c r="G110" i="5"/>
  <c r="AI92" i="5"/>
  <c r="AH92" i="5"/>
  <c r="B7" i="5"/>
  <c r="A7" i="5" s="1"/>
  <c r="V92" i="2"/>
  <c r="B236" i="7" l="1"/>
  <c r="AF272" i="7" s="1"/>
  <c r="AE272" i="7"/>
  <c r="AF231" i="7"/>
  <c r="AE237" i="7"/>
  <c r="K231" i="5"/>
  <c r="G272" i="5"/>
  <c r="I236" i="5"/>
  <c r="H110" i="5"/>
  <c r="I232" i="5"/>
  <c r="H237" i="5"/>
  <c r="B231" i="7" l="1"/>
  <c r="AF237" i="7"/>
  <c r="H272" i="5"/>
  <c r="J236" i="5"/>
  <c r="I110" i="5"/>
  <c r="L231" i="5"/>
  <c r="J232" i="5"/>
  <c r="I237" i="5"/>
  <c r="B110" i="7" l="1"/>
  <c r="B237" i="7"/>
  <c r="K232" i="5"/>
  <c r="J237" i="5"/>
  <c r="M231" i="5"/>
  <c r="K236" i="5"/>
  <c r="I272" i="5"/>
  <c r="J110" i="5"/>
  <c r="AI110" i="7" l="1"/>
  <c r="AH110" i="7"/>
  <c r="L236" i="5"/>
  <c r="J272" i="5"/>
  <c r="K110" i="5"/>
  <c r="N231" i="5"/>
  <c r="L232" i="5"/>
  <c r="K237" i="5"/>
  <c r="T115" i="2"/>
  <c r="S115" i="2"/>
  <c r="O231" i="5" l="1"/>
  <c r="M232" i="5"/>
  <c r="L237" i="5"/>
  <c r="M236" i="5"/>
  <c r="K272" i="5"/>
  <c r="L110" i="5"/>
  <c r="L272" i="5" l="1"/>
  <c r="N236" i="5"/>
  <c r="M110" i="5"/>
  <c r="N232" i="5"/>
  <c r="M237" i="5"/>
  <c r="P231" i="5"/>
  <c r="Q231" i="5" l="1"/>
  <c r="M272" i="5"/>
  <c r="O236" i="5"/>
  <c r="N110" i="5"/>
  <c r="O232" i="5"/>
  <c r="N237" i="5"/>
  <c r="P232" i="5" l="1"/>
  <c r="O237" i="5"/>
  <c r="N272" i="5"/>
  <c r="P236" i="5"/>
  <c r="O110" i="5"/>
  <c r="R231" i="5"/>
  <c r="O272" i="5" l="1"/>
  <c r="Q236" i="5"/>
  <c r="S231" i="5"/>
  <c r="Q232" i="5"/>
  <c r="P237" i="5"/>
  <c r="R232" i="5" l="1"/>
  <c r="Q237" i="5"/>
  <c r="T231" i="5"/>
  <c r="P272" i="5"/>
  <c r="R236" i="5"/>
  <c r="Q110" i="5"/>
  <c r="S236" i="5" l="1"/>
  <c r="Q272" i="5"/>
  <c r="R110" i="5"/>
  <c r="U231" i="5"/>
  <c r="S232" i="5"/>
  <c r="R237" i="5"/>
  <c r="T232" i="5" l="1"/>
  <c r="S237" i="5"/>
  <c r="V231" i="5"/>
  <c r="T236" i="5"/>
  <c r="R272" i="5"/>
  <c r="S110" i="5"/>
  <c r="U236" i="5" l="1"/>
  <c r="S272" i="5"/>
  <c r="T110" i="5"/>
  <c r="W231" i="5"/>
  <c r="U232" i="5"/>
  <c r="T237" i="5"/>
  <c r="V232" i="5" l="1"/>
  <c r="U237" i="5"/>
  <c r="X231" i="5"/>
  <c r="T272" i="5"/>
  <c r="V236" i="5"/>
  <c r="U110" i="5"/>
  <c r="U272" i="5" l="1"/>
  <c r="W236" i="5"/>
  <c r="V110" i="5"/>
  <c r="Y231" i="5"/>
  <c r="W232" i="5"/>
  <c r="V237" i="5"/>
  <c r="Z231" i="5" l="1"/>
  <c r="V272" i="5"/>
  <c r="X236" i="5"/>
  <c r="W110" i="5"/>
  <c r="X232" i="5"/>
  <c r="W237" i="5"/>
  <c r="W272" i="5" l="1"/>
  <c r="Y236" i="5"/>
  <c r="X110" i="5"/>
  <c r="Y232" i="5"/>
  <c r="X237" i="5"/>
  <c r="AA231" i="5"/>
  <c r="Z232" i="5" l="1"/>
  <c r="Y237" i="5"/>
  <c r="AB231" i="5"/>
  <c r="X272" i="5"/>
  <c r="Z236" i="5"/>
  <c r="Y110" i="5"/>
  <c r="AA236" i="5" l="1"/>
  <c r="Y272" i="5"/>
  <c r="Z110" i="5"/>
  <c r="AC231" i="5"/>
  <c r="AA232" i="5"/>
  <c r="Z237" i="5"/>
  <c r="AB232" i="5" l="1"/>
  <c r="AA237" i="5"/>
  <c r="AD231" i="5"/>
  <c r="Z272" i="5"/>
  <c r="AB236" i="5"/>
  <c r="AA110" i="5"/>
  <c r="AA272" i="5" l="1"/>
  <c r="AC236" i="5"/>
  <c r="AB110" i="5"/>
  <c r="AE231" i="5"/>
  <c r="AC232" i="5"/>
  <c r="AB237" i="5"/>
  <c r="AF231" i="5" l="1"/>
  <c r="AD232" i="5"/>
  <c r="AC237" i="5"/>
  <c r="AB272" i="5"/>
  <c r="AD236" i="5"/>
  <c r="AC110" i="5"/>
  <c r="AC272" i="5" l="1"/>
  <c r="AE236" i="5"/>
  <c r="AE232" i="5"/>
  <c r="AD237" i="5"/>
  <c r="B231" i="5"/>
  <c r="AD272" i="5" l="1"/>
  <c r="AF236" i="5"/>
  <c r="AE110" i="5"/>
  <c r="AF232" i="5"/>
  <c r="AE237" i="5"/>
  <c r="B232" i="5" l="1"/>
  <c r="AF237" i="5"/>
  <c r="B236" i="5"/>
  <c r="AE272" i="5"/>
  <c r="AF110" i="5"/>
  <c r="AF272" i="5" l="1"/>
  <c r="B110" i="5"/>
  <c r="B237" i="5"/>
  <c r="AI110" i="5" l="1"/>
  <c r="AH110" i="5"/>
  <c r="G12" i="4" l="1"/>
  <c r="E12" i="4"/>
  <c r="F12" i="4"/>
  <c r="D12" i="4"/>
  <c r="C13" i="4"/>
  <c r="P115" i="2"/>
  <c r="P110" i="2" s="1"/>
  <c r="P50" i="2"/>
  <c r="P54" i="2"/>
  <c r="P68" i="2"/>
  <c r="P72" i="2"/>
  <c r="P84" i="2"/>
  <c r="P99" i="2" s="1"/>
  <c r="P100" i="2" l="1"/>
  <c r="P89" i="2"/>
  <c r="P91" i="2" s="1"/>
  <c r="P92" i="2" s="1"/>
  <c r="K115" i="2" l="1"/>
  <c r="B4" i="2"/>
  <c r="S246" i="2" s="1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B270" i="2"/>
  <c r="S245" i="2"/>
  <c r="AG235" i="2"/>
  <c r="C235" i="2"/>
  <c r="D234" i="2"/>
  <c r="D110" i="2" s="1"/>
  <c r="E233" i="2"/>
  <c r="F233" i="2" s="1"/>
  <c r="G233" i="2" s="1"/>
  <c r="H233" i="2" s="1"/>
  <c r="I233" i="2" s="1"/>
  <c r="J233" i="2" s="1"/>
  <c r="K233" i="2" s="1"/>
  <c r="L233" i="2" s="1"/>
  <c r="M233" i="2" s="1"/>
  <c r="N233" i="2" s="1"/>
  <c r="O233" i="2" s="1"/>
  <c r="P233" i="2" s="1"/>
  <c r="Q233" i="2" s="1"/>
  <c r="R233" i="2" s="1"/>
  <c r="S233" i="2" s="1"/>
  <c r="T233" i="2" s="1"/>
  <c r="U233" i="2" s="1"/>
  <c r="V233" i="2" s="1"/>
  <c r="W233" i="2" s="1"/>
  <c r="X233" i="2" s="1"/>
  <c r="Y233" i="2" s="1"/>
  <c r="Z233" i="2" s="1"/>
  <c r="AA233" i="2" s="1"/>
  <c r="AB233" i="2" s="1"/>
  <c r="AC233" i="2" s="1"/>
  <c r="AD233" i="2" s="1"/>
  <c r="AE233" i="2" s="1"/>
  <c r="AF233" i="2" s="1"/>
  <c r="B233" i="2" s="1"/>
  <c r="D233" i="2"/>
  <c r="D232" i="2"/>
  <c r="E232" i="2" s="1"/>
  <c r="F232" i="2" s="1"/>
  <c r="G232" i="2" s="1"/>
  <c r="H232" i="2" s="1"/>
  <c r="I232" i="2" s="1"/>
  <c r="J232" i="2" s="1"/>
  <c r="K232" i="2" s="1"/>
  <c r="L232" i="2" s="1"/>
  <c r="M232" i="2" s="1"/>
  <c r="N232" i="2" s="1"/>
  <c r="O232" i="2" s="1"/>
  <c r="P232" i="2" s="1"/>
  <c r="Q232" i="2" s="1"/>
  <c r="R232" i="2" s="1"/>
  <c r="S232" i="2" s="1"/>
  <c r="T232" i="2" s="1"/>
  <c r="U232" i="2" s="1"/>
  <c r="V232" i="2" s="1"/>
  <c r="W232" i="2" s="1"/>
  <c r="X232" i="2" s="1"/>
  <c r="Y232" i="2" s="1"/>
  <c r="Z232" i="2" s="1"/>
  <c r="AA232" i="2" s="1"/>
  <c r="AB232" i="2" s="1"/>
  <c r="AC232" i="2" s="1"/>
  <c r="AD232" i="2" s="1"/>
  <c r="AE232" i="2" s="1"/>
  <c r="AF232" i="2" s="1"/>
  <c r="B232" i="2" s="1"/>
  <c r="F231" i="2"/>
  <c r="G231" i="2" s="1"/>
  <c r="H231" i="2" s="1"/>
  <c r="I231" i="2" s="1"/>
  <c r="J231" i="2" s="1"/>
  <c r="K231" i="2" s="1"/>
  <c r="L231" i="2" s="1"/>
  <c r="M231" i="2" s="1"/>
  <c r="N231" i="2" s="1"/>
  <c r="O231" i="2" s="1"/>
  <c r="P231" i="2" s="1"/>
  <c r="Q231" i="2" s="1"/>
  <c r="R231" i="2" s="1"/>
  <c r="S231" i="2" s="1"/>
  <c r="T231" i="2" s="1"/>
  <c r="U231" i="2" s="1"/>
  <c r="V231" i="2" s="1"/>
  <c r="W231" i="2" s="1"/>
  <c r="X231" i="2" s="1"/>
  <c r="Y231" i="2" s="1"/>
  <c r="Z231" i="2" s="1"/>
  <c r="AA231" i="2" s="1"/>
  <c r="AB231" i="2" s="1"/>
  <c r="AC231" i="2" s="1"/>
  <c r="AD231" i="2" s="1"/>
  <c r="AE231" i="2" s="1"/>
  <c r="AF231" i="2" s="1"/>
  <c r="B231" i="2" s="1"/>
  <c r="E231" i="2"/>
  <c r="D231" i="2"/>
  <c r="D230" i="2"/>
  <c r="D235" i="2" s="1"/>
  <c r="E229" i="2"/>
  <c r="D229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I120" i="2"/>
  <c r="AH120" i="2"/>
  <c r="AI119" i="2"/>
  <c r="AH119" i="2"/>
  <c r="AI118" i="2"/>
  <c r="AH118" i="2"/>
  <c r="AI117" i="2"/>
  <c r="AH117" i="2"/>
  <c r="AI116" i="2"/>
  <c r="AH116" i="2"/>
  <c r="D115" i="2"/>
  <c r="C115" i="2"/>
  <c r="C110" i="2" s="1"/>
  <c r="B115" i="2"/>
  <c r="AI115" i="2" s="1"/>
  <c r="AI114" i="2"/>
  <c r="AH114" i="2"/>
  <c r="AI113" i="2"/>
  <c r="AH113" i="2"/>
  <c r="AI112" i="2"/>
  <c r="AH112" i="2"/>
  <c r="AI111" i="2"/>
  <c r="AH111" i="2"/>
  <c r="AI109" i="2"/>
  <c r="AH109" i="2"/>
  <c r="AI108" i="2"/>
  <c r="AH108" i="2"/>
  <c r="AI107" i="2"/>
  <c r="AH107" i="2"/>
  <c r="AI106" i="2"/>
  <c r="AH106" i="2"/>
  <c r="AI105" i="2"/>
  <c r="AH105" i="2"/>
  <c r="AI104" i="2"/>
  <c r="AH104" i="2"/>
  <c r="AI103" i="2"/>
  <c r="AH103" i="2"/>
  <c r="AI102" i="2"/>
  <c r="AH102" i="2"/>
  <c r="AI101" i="2"/>
  <c r="AH101" i="2"/>
  <c r="B100" i="2"/>
  <c r="C99" i="2"/>
  <c r="B99" i="2"/>
  <c r="AI98" i="2"/>
  <c r="AH98" i="2"/>
  <c r="AI97" i="2"/>
  <c r="AH97" i="2"/>
  <c r="AI96" i="2"/>
  <c r="AH96" i="2"/>
  <c r="AI95" i="2"/>
  <c r="AH95" i="2"/>
  <c r="AI94" i="2"/>
  <c r="AH94" i="2"/>
  <c r="AI93" i="2"/>
  <c r="AH93" i="2"/>
  <c r="AI90" i="2"/>
  <c r="AH90" i="2"/>
  <c r="AI88" i="2"/>
  <c r="AH88" i="2"/>
  <c r="AG88" i="2"/>
  <c r="AI87" i="2"/>
  <c r="AH87" i="2"/>
  <c r="AI86" i="2"/>
  <c r="AH86" i="2"/>
  <c r="AI85" i="2"/>
  <c r="AH85" i="2"/>
  <c r="AG84" i="2"/>
  <c r="AF84" i="2"/>
  <c r="AE84" i="2"/>
  <c r="AD5" i="2" s="1"/>
  <c r="AD84" i="2"/>
  <c r="AC5" i="2" s="1"/>
  <c r="AC84" i="2"/>
  <c r="AC99" i="2" s="1"/>
  <c r="AC100" i="2" s="1"/>
  <c r="AB84" i="2"/>
  <c r="Y84" i="2"/>
  <c r="X84" i="2"/>
  <c r="U84" i="2"/>
  <c r="U99" i="2" s="1"/>
  <c r="U100" i="2" s="1"/>
  <c r="T84" i="2"/>
  <c r="S5" i="2" s="1"/>
  <c r="S84" i="2"/>
  <c r="S99" i="2" s="1"/>
  <c r="R84" i="2"/>
  <c r="Q84" i="2"/>
  <c r="O84" i="2"/>
  <c r="N5" i="2" s="1"/>
  <c r="N84" i="2"/>
  <c r="M84" i="2"/>
  <c r="M99" i="2" s="1"/>
  <c r="M100" i="2" s="1"/>
  <c r="L84" i="2"/>
  <c r="K5" i="2" s="1"/>
  <c r="K84" i="2"/>
  <c r="K99" i="2" s="1"/>
  <c r="J84" i="2"/>
  <c r="J99" i="2" s="1"/>
  <c r="J100" i="2" s="1"/>
  <c r="I84" i="2"/>
  <c r="H84" i="2"/>
  <c r="G84" i="2"/>
  <c r="F5" i="2" s="1"/>
  <c r="F84" i="2"/>
  <c r="E5" i="2" s="1"/>
  <c r="E84" i="2"/>
  <c r="E99" i="2" s="1"/>
  <c r="E100" i="2" s="1"/>
  <c r="D84" i="2"/>
  <c r="C84" i="2"/>
  <c r="B84" i="2"/>
  <c r="AI83" i="2"/>
  <c r="AH83" i="2"/>
  <c r="AI82" i="2"/>
  <c r="AH82" i="2"/>
  <c r="AI81" i="2"/>
  <c r="AH81" i="2"/>
  <c r="AI80" i="2"/>
  <c r="AH80" i="2"/>
  <c r="AI79" i="2"/>
  <c r="AH79" i="2"/>
  <c r="AI78" i="2"/>
  <c r="AH78" i="2"/>
  <c r="AI77" i="2"/>
  <c r="AH77" i="2"/>
  <c r="AI76" i="2"/>
  <c r="AH76" i="2"/>
  <c r="AI75" i="2"/>
  <c r="AH75" i="2"/>
  <c r="AI74" i="2"/>
  <c r="AH74" i="2"/>
  <c r="AI73" i="2"/>
  <c r="AH73" i="2"/>
  <c r="AG72" i="2"/>
  <c r="AF72" i="2"/>
  <c r="AE72" i="2"/>
  <c r="AD72" i="2"/>
  <c r="AC72" i="2"/>
  <c r="AB72" i="2"/>
  <c r="Y72" i="2"/>
  <c r="X72" i="2"/>
  <c r="U72" i="2"/>
  <c r="T72" i="2"/>
  <c r="S72" i="2"/>
  <c r="R72" i="2"/>
  <c r="Q72" i="2"/>
  <c r="O72" i="2"/>
  <c r="N72" i="2"/>
  <c r="M72" i="2"/>
  <c r="L72" i="2"/>
  <c r="B72" i="2"/>
  <c r="AI71" i="2"/>
  <c r="AH71" i="2"/>
  <c r="AI70" i="2"/>
  <c r="AH70" i="2"/>
  <c r="AI69" i="2"/>
  <c r="AH69" i="2"/>
  <c r="AF68" i="2"/>
  <c r="AE68" i="2"/>
  <c r="AD68" i="2"/>
  <c r="AC68" i="2"/>
  <c r="AB68" i="2"/>
  <c r="Y68" i="2"/>
  <c r="X68" i="2"/>
  <c r="U68" i="2"/>
  <c r="T68" i="2"/>
  <c r="S68" i="2"/>
  <c r="R68" i="2"/>
  <c r="Q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I67" i="2"/>
  <c r="AH67" i="2"/>
  <c r="AG67" i="2"/>
  <c r="AG68" i="2" s="1"/>
  <c r="AI66" i="2"/>
  <c r="AH66" i="2"/>
  <c r="AI65" i="2"/>
  <c r="AH65" i="2"/>
  <c r="AI64" i="2"/>
  <c r="AH64" i="2"/>
  <c r="AI63" i="2"/>
  <c r="AH63" i="2"/>
  <c r="AI62" i="2"/>
  <c r="AH62" i="2"/>
  <c r="AI61" i="2"/>
  <c r="AH61" i="2"/>
  <c r="AI60" i="2"/>
  <c r="AH60" i="2"/>
  <c r="AI59" i="2"/>
  <c r="AH59" i="2"/>
  <c r="AI58" i="2"/>
  <c r="AH58" i="2"/>
  <c r="AI57" i="2"/>
  <c r="AH57" i="2"/>
  <c r="AI56" i="2"/>
  <c r="AH56" i="2"/>
  <c r="AI55" i="2"/>
  <c r="AH55" i="2"/>
  <c r="AG54" i="2"/>
  <c r="AF54" i="2"/>
  <c r="AE54" i="2"/>
  <c r="AD54" i="2"/>
  <c r="AC54" i="2"/>
  <c r="AB54" i="2"/>
  <c r="Y54" i="2"/>
  <c r="X54" i="2"/>
  <c r="U54" i="2"/>
  <c r="T54" i="2"/>
  <c r="S54" i="2"/>
  <c r="R54" i="2"/>
  <c r="Q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I53" i="2"/>
  <c r="AH53" i="2"/>
  <c r="AI52" i="2"/>
  <c r="AH52" i="2"/>
  <c r="AI51" i="2"/>
  <c r="AH51" i="2"/>
  <c r="AG50" i="2"/>
  <c r="AF50" i="2"/>
  <c r="AE50" i="2"/>
  <c r="AD50" i="2"/>
  <c r="AC50" i="2"/>
  <c r="AB50" i="2"/>
  <c r="Y50" i="2"/>
  <c r="X50" i="2"/>
  <c r="U50" i="2"/>
  <c r="T50" i="2"/>
  <c r="S50" i="2"/>
  <c r="R50" i="2"/>
  <c r="Q50" i="2"/>
  <c r="O50" i="2"/>
  <c r="N50" i="2"/>
  <c r="M50" i="2"/>
  <c r="L50" i="2"/>
  <c r="K50" i="2"/>
  <c r="J50" i="2"/>
  <c r="I50" i="2"/>
  <c r="H50" i="2"/>
  <c r="G50" i="2"/>
  <c r="F50" i="2"/>
  <c r="E50" i="2"/>
  <c r="D50" i="2"/>
  <c r="D89" i="2" s="1"/>
  <c r="D91" i="2" s="1"/>
  <c r="C50" i="2"/>
  <c r="C89" i="2" s="1"/>
  <c r="C91" i="2" s="1"/>
  <c r="B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8" i="2"/>
  <c r="AH18" i="2"/>
  <c r="AI17" i="2"/>
  <c r="AH17" i="2"/>
  <c r="AI16" i="2"/>
  <c r="AH16" i="2"/>
  <c r="AI15" i="2"/>
  <c r="AH15" i="2"/>
  <c r="AI14" i="2"/>
  <c r="AH14" i="2"/>
  <c r="AI13" i="2"/>
  <c r="AH13" i="2"/>
  <c r="AI12" i="2"/>
  <c r="AH12" i="2"/>
  <c r="AI11" i="2"/>
  <c r="AH11" i="2"/>
  <c r="AF5" i="2"/>
  <c r="AA5" i="2"/>
  <c r="Z5" i="2"/>
  <c r="Y5" i="2"/>
  <c r="V5" i="2"/>
  <c r="U5" i="2"/>
  <c r="Q5" i="2"/>
  <c r="I5" i="2"/>
  <c r="D5" i="2"/>
  <c r="C5" i="2"/>
  <c r="B5" i="2"/>
  <c r="K4" i="2"/>
  <c r="E4" i="2"/>
  <c r="H4" i="2" s="1"/>
  <c r="AG3" i="2"/>
  <c r="AG2" i="2"/>
  <c r="AE89" i="2" l="1"/>
  <c r="AE91" i="2" s="1"/>
  <c r="AD99" i="2"/>
  <c r="AD100" i="2"/>
  <c r="AD89" i="2"/>
  <c r="AD91" i="2" s="1"/>
  <c r="AB5" i="2"/>
  <c r="AB89" i="2"/>
  <c r="AB91" i="2" s="1"/>
  <c r="AT249" i="2" s="1"/>
  <c r="T5" i="2"/>
  <c r="T89" i="2"/>
  <c r="T91" i="2" s="1"/>
  <c r="R5" i="2"/>
  <c r="S89" i="2"/>
  <c r="S91" i="2" s="1"/>
  <c r="R99" i="2"/>
  <c r="R100" i="2" s="1"/>
  <c r="R89" i="2"/>
  <c r="R91" i="2" s="1"/>
  <c r="R92" i="2" s="1"/>
  <c r="R7" i="2" s="1"/>
  <c r="O89" i="2"/>
  <c r="O91" i="2" s="1"/>
  <c r="AG249" i="2" s="1"/>
  <c r="N99" i="2"/>
  <c r="N100" i="2" s="1"/>
  <c r="M5" i="2"/>
  <c r="N89" i="2"/>
  <c r="N91" i="2" s="1"/>
  <c r="N92" i="2" s="1"/>
  <c r="N7" i="2" s="1"/>
  <c r="L5" i="2"/>
  <c r="AI72" i="2"/>
  <c r="J89" i="2"/>
  <c r="J91" i="2" s="1"/>
  <c r="AB249" i="2" s="1"/>
  <c r="L89" i="2"/>
  <c r="L91" i="2" s="1"/>
  <c r="AD249" i="2" s="1"/>
  <c r="J5" i="2"/>
  <c r="K89" i="2"/>
  <c r="K91" i="2" s="1"/>
  <c r="AC249" i="2" s="1"/>
  <c r="K100" i="2"/>
  <c r="F99" i="2"/>
  <c r="F89" i="2"/>
  <c r="F91" i="2" s="1"/>
  <c r="X249" i="2" s="1"/>
  <c r="F100" i="2"/>
  <c r="G89" i="2"/>
  <c r="G91" i="2" s="1"/>
  <c r="Y249" i="2" s="1"/>
  <c r="D246" i="2"/>
  <c r="AO249" i="2"/>
  <c r="H89" i="2"/>
  <c r="H91" i="2" s="1"/>
  <c r="X89" i="2"/>
  <c r="X91" i="2" s="1"/>
  <c r="AF89" i="2"/>
  <c r="AF91" i="2" s="1"/>
  <c r="AI54" i="2"/>
  <c r="AN249" i="2"/>
  <c r="V7" i="2"/>
  <c r="AV249" i="2"/>
  <c r="AD92" i="2"/>
  <c r="AD7" i="2" s="1"/>
  <c r="AI50" i="2"/>
  <c r="E110" i="2"/>
  <c r="H99" i="2"/>
  <c r="H100" i="2" s="1"/>
  <c r="G5" i="2"/>
  <c r="AI68" i="2"/>
  <c r="I99" i="2"/>
  <c r="I100" i="2" s="1"/>
  <c r="H5" i="2"/>
  <c r="I89" i="2"/>
  <c r="I91" i="2" s="1"/>
  <c r="Q99" i="2"/>
  <c r="Q100" i="2" s="1"/>
  <c r="P5" i="2"/>
  <c r="Y99" i="2"/>
  <c r="Y100" i="2" s="1"/>
  <c r="X5" i="2"/>
  <c r="AG91" i="2"/>
  <c r="AK249" i="2"/>
  <c r="S92" i="2"/>
  <c r="S7" i="2" s="1"/>
  <c r="V249" i="2"/>
  <c r="AL249" i="2"/>
  <c r="E89" i="2"/>
  <c r="E91" i="2" s="1"/>
  <c r="M89" i="2"/>
  <c r="M91" i="2" s="1"/>
  <c r="U89" i="2"/>
  <c r="U91" i="2" s="1"/>
  <c r="AC89" i="2"/>
  <c r="AC91" i="2" s="1"/>
  <c r="AI84" i="2"/>
  <c r="U249" i="2"/>
  <c r="C92" i="2"/>
  <c r="C7" i="2" s="1"/>
  <c r="AS249" i="2"/>
  <c r="AA7" i="2"/>
  <c r="AH68" i="2"/>
  <c r="Q89" i="2"/>
  <c r="Q91" i="2" s="1"/>
  <c r="Y89" i="2"/>
  <c r="Y91" i="2" s="1"/>
  <c r="AG4" i="2"/>
  <c r="AG6" i="2" s="1"/>
  <c r="AG89" i="2"/>
  <c r="C100" i="2"/>
  <c r="S100" i="2"/>
  <c r="AW249" i="2"/>
  <c r="AR249" i="2"/>
  <c r="Z7" i="2"/>
  <c r="AH72" i="2"/>
  <c r="AH84" i="2"/>
  <c r="D99" i="2"/>
  <c r="D100" i="2" s="1"/>
  <c r="L99" i="2"/>
  <c r="L100" i="2" s="1"/>
  <c r="T99" i="2"/>
  <c r="T92" i="2" s="1"/>
  <c r="T7" i="2" s="1"/>
  <c r="AB99" i="2"/>
  <c r="AB100" i="2" s="1"/>
  <c r="E230" i="2"/>
  <c r="E234" i="2"/>
  <c r="C270" i="2"/>
  <c r="O5" i="2"/>
  <c r="B89" i="2"/>
  <c r="G99" i="2"/>
  <c r="G100" i="2" s="1"/>
  <c r="O99" i="2"/>
  <c r="O100" i="2" s="1"/>
  <c r="AE99" i="2"/>
  <c r="AE92" i="2" s="1"/>
  <c r="AE7" i="2" s="1"/>
  <c r="F229" i="2"/>
  <c r="AE5" i="2"/>
  <c r="AH50" i="2"/>
  <c r="AH54" i="2"/>
  <c r="X99" i="2"/>
  <c r="X100" i="2" s="1"/>
  <c r="AF99" i="2"/>
  <c r="AF100" i="2" s="1"/>
  <c r="AH115" i="2"/>
  <c r="W5" i="2"/>
  <c r="AJ249" i="2" l="1"/>
  <c r="J92" i="2"/>
  <c r="J7" i="2" s="1"/>
  <c r="F92" i="2"/>
  <c r="F7" i="2" s="1"/>
  <c r="AF249" i="2"/>
  <c r="L92" i="2"/>
  <c r="L7" i="2" s="1"/>
  <c r="K92" i="2"/>
  <c r="K7" i="2" s="1"/>
  <c r="C244" i="2"/>
  <c r="B244" i="2"/>
  <c r="G92" i="2"/>
  <c r="G7" i="2" s="1"/>
  <c r="F230" i="2"/>
  <c r="G230" i="2" s="1"/>
  <c r="H230" i="2" s="1"/>
  <c r="I230" i="2" s="1"/>
  <c r="J230" i="2" s="1"/>
  <c r="K230" i="2" s="1"/>
  <c r="L230" i="2" s="1"/>
  <c r="M230" i="2" s="1"/>
  <c r="N230" i="2" s="1"/>
  <c r="O230" i="2" s="1"/>
  <c r="P230" i="2" s="1"/>
  <c r="Q230" i="2" s="1"/>
  <c r="R230" i="2" s="1"/>
  <c r="S230" i="2" s="1"/>
  <c r="T230" i="2" s="1"/>
  <c r="U230" i="2" s="1"/>
  <c r="V230" i="2" s="1"/>
  <c r="W230" i="2" s="1"/>
  <c r="X230" i="2" s="1"/>
  <c r="Y230" i="2" s="1"/>
  <c r="Z230" i="2" s="1"/>
  <c r="AA230" i="2" s="1"/>
  <c r="AB230" i="2" s="1"/>
  <c r="AC230" i="2" s="1"/>
  <c r="AD230" i="2" s="1"/>
  <c r="AE230" i="2" s="1"/>
  <c r="AF230" i="2" s="1"/>
  <c r="B230" i="2" s="1"/>
  <c r="E235" i="2"/>
  <c r="AP249" i="2"/>
  <c r="X92" i="2"/>
  <c r="X7" i="2" s="1"/>
  <c r="D92" i="2"/>
  <c r="D7" i="2" s="1"/>
  <c r="AB92" i="2"/>
  <c r="AB7" i="2" s="1"/>
  <c r="AI99" i="2"/>
  <c r="AH249" i="2"/>
  <c r="P7" i="2"/>
  <c r="Z249" i="2"/>
  <c r="H92" i="2"/>
  <c r="H7" i="2" s="1"/>
  <c r="AU249" i="2"/>
  <c r="AC92" i="2"/>
  <c r="AC7" i="2" s="1"/>
  <c r="T100" i="2"/>
  <c r="AH100" i="2" s="1"/>
  <c r="AI249" i="2"/>
  <c r="Q92" i="2"/>
  <c r="Q7" i="2" s="1"/>
  <c r="AI89" i="2"/>
  <c r="AH89" i="2"/>
  <c r="B91" i="2"/>
  <c r="AM249" i="2"/>
  <c r="U92" i="2"/>
  <c r="U7" i="2" s="1"/>
  <c r="AA249" i="2"/>
  <c r="I92" i="2"/>
  <c r="I7" i="2" s="1"/>
  <c r="AE100" i="2"/>
  <c r="W7" i="2"/>
  <c r="AE249" i="2"/>
  <c r="M92" i="2"/>
  <c r="M7" i="2" s="1"/>
  <c r="O92" i="2"/>
  <c r="O7" i="2" s="1"/>
  <c r="AH99" i="2"/>
  <c r="W249" i="2"/>
  <c r="E92" i="2"/>
  <c r="E7" i="2" s="1"/>
  <c r="G229" i="2"/>
  <c r="D270" i="2"/>
  <c r="F234" i="2"/>
  <c r="AQ249" i="2"/>
  <c r="Y92" i="2"/>
  <c r="Y7" i="2" s="1"/>
  <c r="AX249" i="2"/>
  <c r="AF92" i="2"/>
  <c r="AF7" i="2" s="1"/>
  <c r="K6" i="2" l="1"/>
  <c r="E270" i="2"/>
  <c r="G234" i="2"/>
  <c r="F235" i="2"/>
  <c r="T249" i="2"/>
  <c r="B92" i="2"/>
  <c r="AI91" i="2"/>
  <c r="AH91" i="2"/>
  <c r="H229" i="2"/>
  <c r="G110" i="2"/>
  <c r="AI100" i="2"/>
  <c r="F110" i="2"/>
  <c r="I229" i="2" l="1"/>
  <c r="AI92" i="2"/>
  <c r="AH92" i="2"/>
  <c r="B7" i="2"/>
  <c r="A7" i="2" s="1"/>
  <c r="F270" i="2"/>
  <c r="H234" i="2"/>
  <c r="G235" i="2"/>
  <c r="G270" i="2" l="1"/>
  <c r="I234" i="2"/>
  <c r="I235" i="2" s="1"/>
  <c r="H110" i="2"/>
  <c r="H235" i="2"/>
  <c r="I110" i="2"/>
  <c r="J229" i="2"/>
  <c r="K229" i="2" l="1"/>
  <c r="H270" i="2"/>
  <c r="J234" i="2"/>
  <c r="K234" i="2" l="1"/>
  <c r="I270" i="2"/>
  <c r="K235" i="2"/>
  <c r="K110" i="2"/>
  <c r="L229" i="2"/>
  <c r="J110" i="2"/>
  <c r="J235" i="2"/>
  <c r="M229" i="2" l="1"/>
  <c r="L234" i="2"/>
  <c r="J270" i="2"/>
  <c r="K270" i="2" l="1"/>
  <c r="M234" i="2"/>
  <c r="M110" i="2"/>
  <c r="N229" i="2"/>
  <c r="M235" i="2"/>
  <c r="L110" i="2"/>
  <c r="L235" i="2"/>
  <c r="O229" i="2" l="1"/>
  <c r="L270" i="2"/>
  <c r="N234" i="2"/>
  <c r="M270" i="2" l="1"/>
  <c r="O234" i="2"/>
  <c r="O235" i="2" s="1"/>
  <c r="N235" i="2"/>
  <c r="P229" i="2"/>
  <c r="O110" i="2"/>
  <c r="N110" i="2"/>
  <c r="Q229" i="2" l="1"/>
  <c r="N270" i="2"/>
  <c r="P234" i="2"/>
  <c r="O270" i="2" l="1"/>
  <c r="Q234" i="2"/>
  <c r="P235" i="2"/>
  <c r="Q235" i="2"/>
  <c r="R229" i="2"/>
  <c r="Q110" i="2"/>
  <c r="S229" i="2" l="1"/>
  <c r="P270" i="2"/>
  <c r="R234" i="2"/>
  <c r="S234" i="2" l="1"/>
  <c r="Q270" i="2"/>
  <c r="S235" i="2"/>
  <c r="S110" i="2"/>
  <c r="T229" i="2"/>
  <c r="R110" i="2"/>
  <c r="R235" i="2"/>
  <c r="U229" i="2" l="1"/>
  <c r="T234" i="2"/>
  <c r="R270" i="2"/>
  <c r="V229" i="2" l="1"/>
  <c r="S270" i="2"/>
  <c r="U234" i="2"/>
  <c r="T110" i="2"/>
  <c r="T235" i="2"/>
  <c r="T270" i="2" l="1"/>
  <c r="V234" i="2"/>
  <c r="U235" i="2"/>
  <c r="W229" i="2"/>
  <c r="V235" i="2"/>
  <c r="U110" i="2"/>
  <c r="X229" i="2" l="1"/>
  <c r="U270" i="2"/>
  <c r="W234" i="2"/>
  <c r="V270" i="2" l="1"/>
  <c r="X234" i="2"/>
  <c r="W235" i="2"/>
  <c r="Y229" i="2"/>
  <c r="X235" i="2"/>
  <c r="X110" i="2"/>
  <c r="Y110" i="2" l="1"/>
  <c r="Z229" i="2"/>
  <c r="W270" i="2"/>
  <c r="Y234" i="2"/>
  <c r="X270" i="2" l="1"/>
  <c r="Z234" i="2"/>
  <c r="Z235" i="2"/>
  <c r="AA229" i="2"/>
  <c r="Y235" i="2"/>
  <c r="AB229" i="2" l="1"/>
  <c r="AA234" i="2"/>
  <c r="Y270" i="2"/>
  <c r="AB234" i="2" l="1"/>
  <c r="Z270" i="2"/>
  <c r="AB235" i="2"/>
  <c r="AB110" i="2"/>
  <c r="AC229" i="2"/>
  <c r="AA235" i="2"/>
  <c r="AD229" i="2" l="1"/>
  <c r="AA270" i="2"/>
  <c r="AC234" i="2"/>
  <c r="AB270" i="2" l="1"/>
  <c r="AD234" i="2"/>
  <c r="AC235" i="2"/>
  <c r="AE229" i="2"/>
  <c r="AD235" i="2"/>
  <c r="AC110" i="2"/>
  <c r="AF229" i="2" l="1"/>
  <c r="AC270" i="2"/>
  <c r="AE234" i="2"/>
  <c r="AD270" i="2" l="1"/>
  <c r="AF234" i="2"/>
  <c r="AF110" i="2" s="1"/>
  <c r="AE235" i="2"/>
  <c r="AE110" i="2"/>
  <c r="AF235" i="2"/>
  <c r="B229" i="2"/>
  <c r="B234" i="2" l="1"/>
  <c r="AF270" i="2" s="1"/>
  <c r="AE270" i="2"/>
  <c r="B110" i="2" l="1"/>
  <c r="B235" i="2"/>
  <c r="AI110" i="2" l="1"/>
  <c r="AH1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4B0E69F-2592-4D90-BB25-54D0EA7DAD6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C878485-7B05-4B7D-B7D8-38FB5D82952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12F30EB-A001-4D16-9961-4501BB7B161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5889353-A91F-4255-B7A9-0CDEE1D5EEB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783CF67-71B8-4971-8247-CE2662008C1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76E399A-3110-439D-9A60-1CFDAE29CCC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867BDB5-B8C2-4DE2-B434-4EF551D4311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779FDF1-B494-48B2-A51C-5F433DF705C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C396FB7-5FBA-4D41-B4A3-0CF6140898A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4414CD5-DAAB-4237-A6A3-9DC8B20C5C1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D0654C7-A387-4BD5-B15D-8DD307D866B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F55439F-8B56-45B9-8412-CAF19850440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43DD9A2-8ED6-44CA-A87C-440D4ABF47D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BE2C338-D536-406E-99F1-1886093D214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9AF2DDF-F73C-4EE4-8113-1E0D9E36382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9932C87-0B35-432A-86E5-BDDEF93920E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70E38B8-1057-4996-9262-0BBF5BC9051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3257190-0997-4AAD-A788-8290E71F179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C579807-C7C4-4928-9035-6AD84E6B3E6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F02B228-E610-4895-AA41-60CB1F1E287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13FADBB-B938-4551-8832-64225082CB2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9B7934F-A591-4AB9-BF54-C2555BDA5DE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B1A0369-6610-4826-8826-AB26F11A9D2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20A3F5C-970F-4FC4-B4E6-4A53752FD5C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88ABE85-EDF1-43C5-9DF3-088E1FAD86A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1010266-22B1-4CF5-B2D6-88321BD54E0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2D9F2F9-0E48-4340-B652-ED4432F53E2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27B5F27-2E78-4BE4-AC35-13BD4C6662D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6D9284A-4E0E-4275-906C-E8A2D6A03F9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A96F538-C20B-4E6F-ADE8-D3885545C8E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8A5B49D-456E-4726-9F27-51E149DC273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<sst xmlns="http://schemas.openxmlformats.org/spreadsheetml/2006/main" count="8814" uniqueCount="428">
  <si>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</si>
  <si>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</si>
  <si>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</si>
  <si>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</si>
  <si>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</si>
  <si>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</si>
  <si>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</si>
  <si>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</si>
  <si>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</si>
  <si>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</si>
  <si>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</si>
  <si>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</si>
  <si>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</si>
  <si>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</si>
  <si>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</si>
  <si>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</si>
  <si>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</si>
  <si>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</si>
  <si>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</si>
  <si>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</si>
  <si>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Super Dordi (54)</t>
  </si>
  <si>
    <t>Likhu-IV(52.4)</t>
  </si>
  <si>
    <t>Upper Marsyangdi "A"(50)</t>
  </si>
  <si>
    <t>Upper Bhotekoshi Khola(45)</t>
  </si>
  <si>
    <t>Super Madi ( 44 )</t>
  </si>
  <si>
    <t>Mistri Khola(42)</t>
  </si>
  <si>
    <t>Upper Kalanga Gad(38.46)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</si>
  <si>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</si>
  <si>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</si>
  <si>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</si>
  <si>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</si>
  <si>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</si>
  <si>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</si>
  <si>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</si>
  <si>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</si>
  <si>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</si>
  <si>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</si>
  <si>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</si>
  <si>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</si>
  <si>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</si>
  <si>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</si>
  <si>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</si>
  <si>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</si>
  <si>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Kalanga Gad(15.33)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</si>
  <si>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</si>
  <si>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</si>
  <si>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</si>
  <si>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</si>
  <si>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</si>
  <si>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</si>
  <si>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</si>
  <si>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</si>
  <si>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</si>
  <si>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</si>
  <si>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Makari Gad(10.0)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</si>
  <si>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</si>
  <si>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</si>
  <si>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</si>
  <si>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</si>
  <si>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</si>
  <si>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</si>
  <si>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</si>
  <si>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</si>
  <si>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</si>
  <si>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</si>
  <si>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</si>
  <si>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</si>
  <si>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</si>
  <si>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</si>
  <si>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</si>
  <si>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</si>
  <si>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</si>
  <si>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</si>
  <si>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</si>
  <si>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</si>
  <si>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</si>
  <si>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</si>
  <si>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</si>
  <si>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</si>
  <si>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</si>
  <si>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</si>
  <si>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</si>
  <si>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</si>
  <si>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</si>
  <si>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</si>
  <si>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</si>
  <si>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</si>
  <si>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</si>
  <si>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</si>
  <si>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</si>
  <si>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</si>
  <si>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</si>
  <si>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</si>
  <si>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</si>
  <si>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</si>
  <si>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</si>
  <si>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</si>
  <si>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</si>
  <si>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</si>
  <si>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</si>
  <si>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</si>
  <si>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</si>
  <si>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</si>
  <si>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</si>
  <si>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</si>
  <si>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</si>
  <si>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</si>
  <si>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</si>
  <si>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</si>
  <si>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</si>
  <si>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</si>
  <si>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</si>
  <si>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</si>
  <si>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</si>
  <si>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</si>
  <si>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</si>
  <si>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</si>
  <si>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</si>
  <si>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</si>
  <si>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</si>
  <si>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</si>
  <si>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</si>
  <si>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</si>
  <si>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</si>
  <si>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</si>
  <si>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</si>
  <si>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</si>
  <si>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Hetauda-Kamane</t>
  </si>
  <si>
    <t>DHALKE-MIRCHAIYA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</si>
  <si>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</si>
  <si>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</si>
  <si>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</si>
  <si>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</si>
  <si>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</si>
  <si>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</si>
  <si>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</si>
  <si>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</si>
  <si>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</si>
  <si>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</si>
  <si>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</si>
  <si>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</si>
  <si>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</si>
  <si>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</si>
  <si>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</si>
  <si>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</si>
  <si>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</si>
  <si>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</si>
  <si>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</si>
  <si>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</si>
  <si>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</si>
  <si>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</si>
  <si>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</si>
  <si>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</si>
  <si>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</si>
  <si>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</si>
  <si>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</si>
  <si>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</si>
  <si>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</si>
  <si>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</si>
  <si>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</si>
  <si>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</si>
  <si>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</si>
  <si>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</si>
  <si>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</si>
  <si>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</si>
  <si>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</si>
  <si>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</si>
  <si>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</si>
  <si>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</si>
  <si>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</si>
  <si>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</si>
  <si>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</si>
  <si>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</si>
  <si>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</si>
  <si>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</si>
  <si>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</si>
  <si>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</si>
  <si>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</si>
  <si>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</si>
  <si>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</si>
  <si>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</si>
  <si>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</si>
  <si>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</si>
  <si>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</si>
  <si>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</si>
  <si>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</si>
  <si>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</si>
  <si>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</si>
  <si>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</si>
  <si>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</si>
  <si>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</si>
  <si>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</si>
  <si>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</si>
  <si>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</si>
  <si>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</si>
  <si>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</si>
  <si>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</si>
  <si>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</si>
  <si>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</si>
  <si>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</si>
  <si>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</si>
  <si>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</si>
  <si>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</si>
  <si>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</si>
  <si>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</si>
  <si>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</si>
  <si>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</si>
  <si>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</si>
  <si>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</si>
  <si>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</si>
  <si>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</si>
  <si>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</si>
  <si>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</si>
  <si>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</si>
  <si>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</si>
  <si>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</si>
  <si>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</si>
  <si>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</si>
  <si>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</si>
  <si>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</si>
  <si>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</si>
  <si>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</si>
  <si>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</si>
  <si>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</si>
  <si>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</si>
  <si>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</si>
  <si>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</si>
  <si>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</si>
  <si>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</si>
  <si>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</si>
  <si>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</si>
  <si>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</si>
  <si>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</si>
  <si>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</si>
  <si>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</si>
  <si>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</si>
  <si>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</si>
  <si>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</si>
  <si>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</si>
  <si>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</si>
  <si>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</si>
  <si>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</si>
  <si>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</si>
  <si>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</si>
  <si>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</si>
  <si>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</si>
  <si>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</si>
  <si>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</si>
  <si>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</si>
  <si>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</si>
  <si>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</si>
  <si>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</si>
  <si>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</si>
  <si>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</si>
  <si>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</si>
  <si>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</si>
  <si>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</si>
  <si>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</si>
  <si>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 xml:space="preserve"> </t>
  </si>
  <si>
    <t>128..4</t>
  </si>
  <si>
    <t>DHALKE-NAWALPUR I</t>
  </si>
  <si>
    <t>KHIMTI-Lamosanghu</t>
  </si>
  <si>
    <t>LAMOSHAGU-BHAKTAPUR</t>
  </si>
  <si>
    <t>BALAJU-SYUCHATAR</t>
  </si>
  <si>
    <t>N. BHARATPUR-BARDGHAT</t>
  </si>
  <si>
    <t>MIRCHAIYA LAHAN 2</t>
  </si>
  <si>
    <t>LAMOSHANGU-BHAKTAPUR</t>
  </si>
  <si>
    <t>KHIMTI-LAMOSANGHU</t>
  </si>
  <si>
    <t>HETAUDA-KAMANE</t>
  </si>
  <si>
    <t>Likhu-II(55)</t>
  </si>
  <si>
    <t>Upper Chameliya(40)</t>
  </si>
  <si>
    <t>Mathilo Solu khola(19.8)</t>
  </si>
  <si>
    <t>Sangen(14.8)</t>
  </si>
  <si>
    <t>Ghar khola(14)</t>
  </si>
  <si>
    <t>Upper Sanigad(10.7)</t>
  </si>
  <si>
    <t>Down Piluwa(10.3)</t>
  </si>
  <si>
    <t>Pure-Solar(10)</t>
  </si>
  <si>
    <t>134..3</t>
  </si>
  <si>
    <t>Syule</t>
  </si>
  <si>
    <t>Upper Kalangad 38</t>
  </si>
  <si>
    <t>Kalanga Gad_15.33</t>
  </si>
  <si>
    <t>Upper Sanigad 10.70</t>
  </si>
  <si>
    <t>Upper Chameliya_</t>
  </si>
  <si>
    <t>API Darchula 8</t>
  </si>
  <si>
    <t>ind</t>
  </si>
  <si>
    <t>2 feeder</t>
  </si>
  <si>
    <t>purano</t>
  </si>
  <si>
    <t>11 kV</t>
  </si>
  <si>
    <t>L likhu</t>
  </si>
  <si>
    <t>labipur</t>
  </si>
  <si>
    <t>Mainya</t>
  </si>
  <si>
    <t>2 fed</t>
  </si>
  <si>
    <t>light</t>
  </si>
  <si>
    <t>1 fed</t>
  </si>
  <si>
    <t>8-9 MW</t>
  </si>
  <si>
    <t>45 MVA</t>
  </si>
  <si>
    <t>Butwal</t>
  </si>
  <si>
    <t>Argach</t>
  </si>
  <si>
    <t>Dhagdhagi</t>
  </si>
  <si>
    <t>300 Amp</t>
  </si>
  <si>
    <t>2 feeders of 33 kV</t>
  </si>
  <si>
    <t>Sunwal</t>
  </si>
  <si>
    <t>palpa+goyal</t>
  </si>
  <si>
    <t>10 MW</t>
  </si>
  <si>
    <t>2.5 domes</t>
  </si>
  <si>
    <t>Sarb shut</t>
  </si>
  <si>
    <t>laxmi</t>
  </si>
  <si>
    <t>1 mw</t>
  </si>
  <si>
    <t xml:space="preserve">Goyal </t>
  </si>
  <si>
    <t>5 mw</t>
  </si>
  <si>
    <t>Nyadi</t>
  </si>
  <si>
    <t>mistri</t>
  </si>
  <si>
    <t>Upper Sanigad</t>
  </si>
  <si>
    <t>Likhu2</t>
  </si>
  <si>
    <t>Sdordi</t>
  </si>
  <si>
    <t>ghalemdi</t>
  </si>
  <si>
    <t>Upper Chameliya</t>
  </si>
  <si>
    <t>udordi</t>
  </si>
  <si>
    <t>ghar khola</t>
  </si>
  <si>
    <t>dordi27</t>
  </si>
  <si>
    <t>lmodi1</t>
  </si>
  <si>
    <t>dordi 12</t>
  </si>
  <si>
    <t>lmodi20</t>
  </si>
  <si>
    <t>Chepe</t>
  </si>
  <si>
    <t>Dordi Corridor Total</t>
  </si>
  <si>
    <t>Dordi NyadiSpill</t>
  </si>
  <si>
    <t>Mistri</t>
  </si>
  <si>
    <t>L Modi</t>
  </si>
  <si>
    <t>L Modi-1</t>
  </si>
  <si>
    <t>Ghar</t>
  </si>
  <si>
    <t>Middle Modi</t>
  </si>
  <si>
    <t>Ghalamdi</t>
  </si>
  <si>
    <t>Date: 9</t>
  </si>
  <si>
    <t>Load at 0730</t>
  </si>
  <si>
    <t>DAM at 0730</t>
  </si>
  <si>
    <t>UTK at 0730</t>
  </si>
  <si>
    <t>Ghalamdi_5</t>
  </si>
  <si>
    <t>L-Modi</t>
  </si>
  <si>
    <t>Load at 4</t>
  </si>
  <si>
    <t>DAM at 0400</t>
  </si>
  <si>
    <t>UTK at 0400</t>
  </si>
  <si>
    <t>Ghar Khola_14</t>
  </si>
  <si>
    <t>M-Modi</t>
  </si>
  <si>
    <t>increase in Load</t>
  </si>
  <si>
    <t>Export Increase</t>
  </si>
  <si>
    <t>UTK Increase</t>
  </si>
  <si>
    <t>IdiMardi</t>
  </si>
  <si>
    <t>Super Madi</t>
  </si>
  <si>
    <t>Upper Madi</t>
  </si>
  <si>
    <t>KGA Increase</t>
  </si>
  <si>
    <t>Namarjun_12</t>
  </si>
  <si>
    <t>MMRS Increase</t>
  </si>
  <si>
    <t>Sikless_13</t>
  </si>
  <si>
    <t>IdiMardi_7</t>
  </si>
  <si>
    <t>Likhu-A</t>
  </si>
  <si>
    <t>L-Likhu</t>
  </si>
  <si>
    <t>Khimti</t>
  </si>
  <si>
    <t>Likhu-IV</t>
  </si>
  <si>
    <t>Likhu 2</t>
  </si>
  <si>
    <t>BKPC</t>
  </si>
  <si>
    <t>Balephi</t>
  </si>
  <si>
    <t>Singati</t>
  </si>
  <si>
    <t>Sipring_9.6</t>
  </si>
  <si>
    <t>Ghatte_5</t>
  </si>
  <si>
    <t>Spill</t>
  </si>
  <si>
    <t>U Solu_23.5</t>
  </si>
  <si>
    <t>Solu86</t>
  </si>
  <si>
    <t>-</t>
  </si>
  <si>
    <t>20 MW</t>
  </si>
  <si>
    <t>45 MW</t>
  </si>
  <si>
    <t>Shree Steel</t>
  </si>
  <si>
    <t>12 MW</t>
  </si>
  <si>
    <t>half load</t>
  </si>
  <si>
    <t>40 MW</t>
  </si>
  <si>
    <t>Full load</t>
  </si>
  <si>
    <t>Shivpur</t>
  </si>
  <si>
    <t>UTK</t>
  </si>
  <si>
    <t>Godak</t>
  </si>
  <si>
    <t>Sanima</t>
  </si>
  <si>
    <t>Panchakanya, 2 PH, supermai</t>
  </si>
  <si>
    <t>Sagarmatha</t>
  </si>
  <si>
    <t>PuwaNEA</t>
  </si>
  <si>
    <t>Jogmai</t>
  </si>
  <si>
    <t>Puwa khola</t>
  </si>
  <si>
    <t>Himal dolaka</t>
  </si>
  <si>
    <t>Mai beni</t>
  </si>
  <si>
    <t>13:45-14:00</t>
  </si>
  <si>
    <t>14:00-14:15</t>
  </si>
  <si>
    <t>DM</t>
  </si>
  <si>
    <t>Tanakpur</t>
  </si>
  <si>
    <t>Ghorai</t>
  </si>
  <si>
    <t xml:space="preserve">Sona </t>
  </si>
  <si>
    <t>S/D</t>
  </si>
  <si>
    <t>Bijaya Cement</t>
  </si>
  <si>
    <t>25 at peak</t>
  </si>
  <si>
    <t>7.2 after industry shutdown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</si>
  <si>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</si>
  <si>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</si>
  <si>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</si>
  <si>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</si>
  <si>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</si>
  <si>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</si>
  <si>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</si>
  <si>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</si>
  <si>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</si>
  <si>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</si>
  <si>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</si>
  <si>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</si>
  <si>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</si>
  <si>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</si>
  <si>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</si>
  <si>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</si>
  <si>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</si>
  <si>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</si>
  <si>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09:00-09:15</t>
  </si>
  <si>
    <t>CHM</t>
  </si>
  <si>
    <t>5-2.6</t>
  </si>
  <si>
    <t>135..7</t>
  </si>
  <si>
    <t>9-10 MW peak</t>
  </si>
  <si>
    <t>Birjung</t>
  </si>
  <si>
    <t>Bir-5- industry</t>
  </si>
  <si>
    <t>Bindambasini-Ind</t>
  </si>
  <si>
    <t>Parsuani-Ind</t>
  </si>
  <si>
    <t xml:space="preserve">Sarbottam </t>
  </si>
  <si>
    <t xml:space="preserve">Birg1: </t>
  </si>
  <si>
    <t>Parwani-Het</t>
  </si>
  <si>
    <t>Birjung-Parwani</t>
  </si>
  <si>
    <t>400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</si>
</sst>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Times New Roman"/>
      <family val="1"/>
    </font>
    <font>
      <sz val="12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Aptos Narrow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1"/>
      <name val="Times New Roman"/>
      <family val="1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Aptos Narrow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FF0000"/>
      <name val="Aptos Narrow"/>
      <family val="2"/>
      <scheme val="minor"/>
    </font>
    <font>
      <b/>
      <sz val="14"/>
      <color theme="1"/>
      <name val="Times New Roman"/>
      <family val="1"/>
    </font>
    <font>
      <u/>
      <sz val="8"/>
      <name val="Arial Narrow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name val="Arial Narrow"/>
      <family val="2"/>
    </font>
    <font>
      <sz val="10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259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6" fillId="0" borderId="0" xfId="1" applyFont="1" applyAlignment="1">
      <alignment vertical="center"/>
    </xf>
    <xf numFmtId="164" fontId="7" fillId="0" borderId="2" xfId="1" applyFont="1" applyBorder="1" applyAlignment="1">
      <alignment vertical="center"/>
    </xf>
    <xf numFmtId="164" fontId="7" fillId="0" borderId="4" xfId="1" applyFont="1" applyBorder="1" applyAlignment="1">
      <alignment vertical="center"/>
    </xf>
    <xf numFmtId="164" fontId="4" fillId="0" borderId="6" xfId="1" applyFont="1" applyBorder="1" applyAlignment="1">
      <alignment horizontal="center" vertical="center"/>
    </xf>
    <xf numFmtId="164" fontId="4" fillId="0" borderId="6" xfId="1" applyFont="1" applyBorder="1" applyAlignment="1">
      <alignment vertical="center"/>
    </xf>
    <xf numFmtId="164" fontId="4" fillId="0" borderId="0" xfId="1" applyFont="1" applyAlignment="1">
      <alignment vertical="center"/>
    </xf>
    <xf numFmtId="14" fontId="8" fillId="0" borderId="0" xfId="1" applyNumberFormat="1" applyFont="1" applyAlignment="1">
      <alignment vertical="center"/>
    </xf>
    <xf numFmtId="43" fontId="9" fillId="3" borderId="0" xfId="2" applyFont="1" applyFill="1" applyAlignment="1">
      <alignment horizontal="center"/>
    </xf>
    <xf numFmtId="164" fontId="9" fillId="3" borderId="0" xfId="1" applyFont="1" applyFill="1"/>
    <xf numFmtId="164" fontId="1" fillId="3" borderId="0" xfId="1" applyFill="1"/>
    <xf numFmtId="164" fontId="10" fillId="0" borderId="0" xfId="1" applyFont="1" applyAlignment="1">
      <alignment horizontal="center" vertical="center"/>
    </xf>
    <xf numFmtId="164" fontId="11" fillId="0" borderId="0" xfId="1" applyFont="1"/>
    <xf numFmtId="164" fontId="12" fillId="0" borderId="0" xfId="1" applyFont="1" applyAlignment="1">
      <alignment vertical="center"/>
    </xf>
    <xf numFmtId="164" fontId="7" fillId="0" borderId="8" xfId="1" applyFont="1" applyBorder="1" applyAlignment="1">
      <alignment vertical="center"/>
    </xf>
    <xf numFmtId="164" fontId="7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12" fillId="0" borderId="0" xfId="1" applyFont="1" applyAlignment="1">
      <alignment horizontal="center" vertical="center"/>
    </xf>
    <xf numFmtId="43" fontId="13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4" fillId="0" borderId="0" xfId="1" applyNumberFormat="1" applyFont="1"/>
    <xf numFmtId="164" fontId="15" fillId="4" borderId="0" xfId="1" applyFont="1" applyFill="1" applyAlignment="1">
      <alignment horizontal="right" vertical="center"/>
    </xf>
    <xf numFmtId="164" fontId="16" fillId="0" borderId="0" xfId="1" applyFont="1" applyAlignment="1">
      <alignment vertical="center"/>
    </xf>
    <xf numFmtId="164" fontId="17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5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5" fillId="4" borderId="0" xfId="1" applyFont="1" applyFill="1" applyAlignment="1">
      <alignment horizontal="left" vertical="center"/>
    </xf>
    <xf numFmtId="164" fontId="18" fillId="3" borderId="0" xfId="1" applyFont="1" applyFill="1"/>
    <xf numFmtId="164" fontId="19" fillId="0" borderId="0" xfId="1" applyFont="1" applyAlignment="1">
      <alignment horizontal="left" vertical="center"/>
    </xf>
    <xf numFmtId="1" fontId="20" fillId="0" borderId="0" xfId="1" applyNumberFormat="1" applyFont="1" applyAlignment="1">
      <alignment horizontal="center" vertical="center"/>
    </xf>
    <xf numFmtId="43" fontId="21" fillId="0" borderId="0" xfId="2" applyFont="1" applyFill="1" applyAlignment="1">
      <alignment horizontal="center" vertical="center"/>
    </xf>
    <xf numFmtId="164" fontId="2" fillId="0" borderId="0" xfId="1" applyFont="1"/>
    <xf numFmtId="164" fontId="12" fillId="0" borderId="12" xfId="1" applyFont="1" applyBorder="1" applyAlignment="1">
      <alignment vertical="center"/>
    </xf>
    <xf numFmtId="2" fontId="12" fillId="6" borderId="16" xfId="1" applyNumberFormat="1" applyFont="1" applyFill="1" applyBorder="1" applyAlignment="1">
      <alignment horizontal="center" vertical="center"/>
    </xf>
    <xf numFmtId="164" fontId="18" fillId="0" borderId="0" xfId="1" applyFont="1" applyAlignment="1">
      <alignment horizontal="center"/>
    </xf>
    <xf numFmtId="164" fontId="18" fillId="0" borderId="0" xfId="1" applyFont="1"/>
    <xf numFmtId="164" fontId="18" fillId="0" borderId="0" xfId="1" applyFont="1" applyAlignment="1">
      <alignment horizontal="left"/>
    </xf>
    <xf numFmtId="164" fontId="1" fillId="0" borderId="0" xfId="1" applyAlignment="1">
      <alignment horizontal="center"/>
    </xf>
    <xf numFmtId="164" fontId="12" fillId="0" borderId="24" xfId="1" applyFont="1" applyBorder="1" applyAlignment="1">
      <alignment horizontal="right" vertical="center"/>
    </xf>
    <xf numFmtId="166" fontId="12" fillId="0" borderId="25" xfId="1" applyNumberFormat="1" applyFont="1" applyBorder="1" applyAlignment="1" applyProtection="1">
      <alignment horizontal="center" vertical="center"/>
      <protection locked="0"/>
    </xf>
    <xf numFmtId="169" fontId="12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2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6" fontId="12" fillId="9" borderId="25" xfId="1" applyNumberFormat="1" applyFont="1" applyFill="1" applyBorder="1" applyAlignment="1" applyProtection="1">
      <alignment horizontal="center" vertical="center"/>
      <protection locked="0"/>
    </xf>
    <xf numFmtId="169" fontId="25" fillId="0" borderId="27" xfId="1" applyNumberFormat="1" applyFont="1" applyBorder="1" applyAlignment="1">
      <alignment horizontal="center" vertical="center"/>
    </xf>
    <xf numFmtId="2" fontId="25" fillId="0" borderId="27" xfId="1" applyNumberFormat="1" applyFont="1" applyBorder="1" applyAlignment="1">
      <alignment horizontal="center" vertical="center"/>
    </xf>
    <xf numFmtId="164" fontId="12" fillId="0" borderId="28" xfId="1" applyFont="1" applyBorder="1" applyAlignment="1">
      <alignment horizontal="right" vertical="center"/>
    </xf>
    <xf numFmtId="169" fontId="25" fillId="0" borderId="29" xfId="1" applyNumberFormat="1" applyFont="1" applyBorder="1" applyAlignment="1">
      <alignment horizontal="center" vertical="center"/>
    </xf>
    <xf numFmtId="164" fontId="26" fillId="0" borderId="28" xfId="1" applyFont="1" applyBorder="1" applyAlignment="1">
      <alignment horizontal="right" vertical="center"/>
    </xf>
    <xf numFmtId="166" fontId="12" fillId="10" borderId="6" xfId="1" applyNumberFormat="1" applyFont="1" applyFill="1" applyBorder="1" applyAlignment="1" applyProtection="1">
      <alignment horizontal="center" vertical="center"/>
      <protection locked="0"/>
    </xf>
    <xf numFmtId="164" fontId="16" fillId="0" borderId="24" xfId="1" applyFont="1" applyBorder="1" applyAlignment="1">
      <alignment horizontal="right" vertical="center"/>
    </xf>
    <xf numFmtId="164" fontId="16" fillId="0" borderId="30" xfId="1" applyFont="1" applyBorder="1" applyAlignment="1">
      <alignment horizontal="left" vertical="center"/>
    </xf>
    <xf numFmtId="166" fontId="16" fillId="0" borderId="31" xfId="1" applyNumberFormat="1" applyFont="1" applyBorder="1" applyAlignment="1">
      <alignment horizontal="center" vertical="center"/>
    </xf>
    <xf numFmtId="169" fontId="16" fillId="0" borderId="31" xfId="1" applyNumberFormat="1" applyFont="1" applyBorder="1" applyAlignment="1">
      <alignment horizontal="center" vertical="center"/>
    </xf>
    <xf numFmtId="164" fontId="12" fillId="0" borderId="32" xfId="1" applyFont="1" applyBorder="1" applyAlignment="1">
      <alignment horizontal="right" vertical="center"/>
    </xf>
    <xf numFmtId="166" fontId="12" fillId="11" borderId="25" xfId="1" applyNumberFormat="1" applyFont="1" applyFill="1" applyBorder="1" applyAlignment="1" applyProtection="1">
      <alignment horizontal="center" vertical="center"/>
      <protection locked="0"/>
    </xf>
    <xf numFmtId="164" fontId="12" fillId="0" borderId="33" xfId="1" applyFont="1" applyBorder="1" applyAlignment="1">
      <alignment horizontal="right" vertical="center"/>
    </xf>
    <xf numFmtId="166" fontId="12" fillId="0" borderId="6" xfId="1" applyNumberFormat="1" applyFont="1" applyBorder="1" applyAlignment="1" applyProtection="1">
      <alignment horizontal="center" vertical="center"/>
      <protection locked="0"/>
    </xf>
    <xf numFmtId="164" fontId="12" fillId="0" borderId="34" xfId="1" applyFont="1" applyBorder="1" applyAlignment="1">
      <alignment horizontal="right" vertical="center"/>
    </xf>
    <xf numFmtId="166" fontId="12" fillId="0" borderId="18" xfId="1" applyNumberFormat="1" applyFont="1" applyBorder="1" applyAlignment="1" applyProtection="1">
      <alignment horizontal="center" vertical="center"/>
      <protection locked="0"/>
    </xf>
    <xf numFmtId="169" fontId="25" fillId="0" borderId="23" xfId="1" applyNumberFormat="1" applyFont="1" applyBorder="1" applyAlignment="1">
      <alignment horizontal="center" vertical="center"/>
    </xf>
    <xf numFmtId="164" fontId="16" fillId="0" borderId="35" xfId="1" applyFont="1" applyBorder="1" applyAlignment="1">
      <alignment horizontal="left" vertical="center"/>
    </xf>
    <xf numFmtId="164" fontId="27" fillId="0" borderId="0" xfId="1" applyFont="1"/>
    <xf numFmtId="164" fontId="12" fillId="0" borderId="36" xfId="1" applyFont="1" applyBorder="1" applyAlignment="1">
      <alignment horizontal="right" vertical="center"/>
    </xf>
    <xf numFmtId="2" fontId="26" fillId="0" borderId="37" xfId="1" applyNumberFormat="1" applyFont="1" applyBorder="1" applyAlignment="1">
      <alignment horizontal="center" vertical="center"/>
    </xf>
    <xf numFmtId="169" fontId="26" fillId="0" borderId="37" xfId="1" applyNumberFormat="1" applyFont="1" applyBorder="1" applyAlignment="1">
      <alignment horizontal="center" vertical="center"/>
    </xf>
    <xf numFmtId="164" fontId="16" fillId="0" borderId="38" xfId="1" applyFont="1" applyBorder="1" applyAlignment="1">
      <alignment horizontal="left" vertical="center"/>
    </xf>
    <xf numFmtId="169" fontId="12" fillId="0" borderId="29" xfId="1" applyNumberFormat="1" applyFont="1" applyBorder="1" applyAlignment="1">
      <alignment horizontal="center" vertical="center"/>
    </xf>
    <xf numFmtId="166" fontId="12" fillId="0" borderId="25" xfId="1" applyNumberFormat="1" applyFont="1" applyBorder="1" applyAlignment="1">
      <alignment horizontal="center" vertical="center"/>
    </xf>
    <xf numFmtId="166" fontId="12" fillId="0" borderId="6" xfId="1" applyNumberFormat="1" applyFont="1" applyBorder="1" applyAlignment="1">
      <alignment horizontal="center" vertical="center"/>
    </xf>
    <xf numFmtId="164" fontId="2" fillId="12" borderId="0" xfId="1" applyFont="1" applyFill="1"/>
    <xf numFmtId="20" fontId="1" fillId="0" borderId="39" xfId="1" applyNumberFormat="1" applyBorder="1"/>
    <xf numFmtId="166" fontId="12" fillId="0" borderId="2" xfId="1" applyNumberFormat="1" applyFont="1" applyBorder="1" applyAlignment="1" applyProtection="1">
      <alignment horizontal="center" vertical="center"/>
      <protection locked="0"/>
    </xf>
    <xf numFmtId="166" fontId="12" fillId="0" borderId="4" xfId="1" applyNumberFormat="1" applyFont="1" applyBorder="1" applyAlignment="1" applyProtection="1">
      <alignment horizontal="center" vertical="center"/>
      <protection locked="0"/>
    </xf>
    <xf numFmtId="164" fontId="0" fillId="0" borderId="5" xfId="1" applyFont="1" applyBorder="1"/>
    <xf numFmtId="166" fontId="12" fillId="0" borderId="40" xfId="1" applyNumberFormat="1" applyFont="1" applyBorder="1" applyAlignment="1" applyProtection="1">
      <alignment horizontal="center" vertical="center"/>
      <protection locked="0"/>
    </xf>
    <xf numFmtId="164" fontId="12" fillId="0" borderId="41" xfId="1" applyFont="1" applyBorder="1" applyAlignment="1">
      <alignment horizontal="right" vertical="center"/>
    </xf>
    <xf numFmtId="169" fontId="12" fillId="0" borderId="42" xfId="1" applyNumberFormat="1" applyFont="1" applyBorder="1" applyAlignment="1">
      <alignment horizontal="center" vertical="center"/>
    </xf>
    <xf numFmtId="164" fontId="1" fillId="0" borderId="5" xfId="1" applyBorder="1"/>
    <xf numFmtId="166" fontId="12" fillId="12" borderId="43" xfId="1" applyNumberFormat="1" applyFont="1" applyFill="1" applyBorder="1" applyAlignment="1" applyProtection="1">
      <alignment horizontal="center" vertical="center"/>
      <protection locked="0"/>
    </xf>
    <xf numFmtId="169" fontId="16" fillId="0" borderId="44" xfId="1" applyNumberFormat="1" applyFont="1" applyBorder="1" applyAlignment="1">
      <alignment horizontal="center" vertical="center"/>
    </xf>
    <xf numFmtId="166" fontId="12" fillId="0" borderId="45" xfId="1" applyNumberFormat="1" applyFont="1" applyBorder="1" applyAlignment="1">
      <alignment horizontal="center" vertical="center"/>
    </xf>
    <xf numFmtId="169" fontId="12" fillId="0" borderId="27" xfId="1" applyNumberFormat="1" applyFont="1" applyBorder="1" applyAlignment="1">
      <alignment horizontal="center" vertical="center"/>
    </xf>
    <xf numFmtId="164" fontId="1" fillId="0" borderId="48" xfId="1" applyBorder="1"/>
    <xf numFmtId="166" fontId="12" fillId="0" borderId="8" xfId="1" applyNumberFormat="1" applyFont="1" applyBorder="1" applyAlignment="1" applyProtection="1">
      <alignment horizontal="center" vertical="center"/>
      <protection locked="0"/>
    </xf>
    <xf numFmtId="166" fontId="12" fillId="0" borderId="10" xfId="1" applyNumberFormat="1" applyFont="1" applyBorder="1" applyAlignment="1" applyProtection="1">
      <alignment horizontal="center" vertical="center"/>
      <protection locked="0"/>
    </xf>
    <xf numFmtId="166" fontId="12" fillId="0" borderId="37" xfId="1" applyNumberFormat="1" applyFont="1" applyBorder="1" applyAlignment="1">
      <alignment horizontal="center" vertical="center"/>
    </xf>
    <xf numFmtId="1" fontId="16" fillId="0" borderId="31" xfId="1" applyNumberFormat="1" applyFont="1" applyBorder="1" applyAlignment="1">
      <alignment horizontal="center" vertical="center"/>
    </xf>
    <xf numFmtId="164" fontId="16" fillId="12" borderId="38" xfId="1" applyFont="1" applyFill="1" applyBorder="1" applyAlignment="1">
      <alignment vertical="center" wrapText="1"/>
    </xf>
    <xf numFmtId="166" fontId="12" fillId="0" borderId="31" xfId="1" applyNumberFormat="1" applyFont="1" applyBorder="1" applyAlignment="1" applyProtection="1">
      <alignment horizontal="center" vertical="center"/>
      <protection locked="0"/>
    </xf>
    <xf numFmtId="169" fontId="25" fillId="0" borderId="42" xfId="1" applyNumberFormat="1" applyFont="1" applyBorder="1" applyAlignment="1">
      <alignment horizontal="center" vertical="center"/>
    </xf>
    <xf numFmtId="164" fontId="16" fillId="0" borderId="38" xfId="1" applyFont="1" applyBorder="1" applyAlignment="1">
      <alignment horizontal="center" vertical="center"/>
    </xf>
    <xf numFmtId="164" fontId="12" fillId="0" borderId="49" xfId="1" applyFont="1" applyBorder="1" applyAlignment="1">
      <alignment horizontal="right" vertical="center"/>
    </xf>
    <xf numFmtId="2" fontId="12" fillId="0" borderId="2" xfId="1" applyNumberFormat="1" applyFont="1" applyBorder="1" applyAlignment="1" applyProtection="1">
      <alignment horizontal="center" vertical="center"/>
      <protection locked="0"/>
    </xf>
    <xf numFmtId="169" fontId="12" fillId="0" borderId="50" xfId="1" applyNumberFormat="1" applyFont="1" applyBorder="1" applyAlignment="1">
      <alignment horizontal="center" vertical="center"/>
    </xf>
    <xf numFmtId="164" fontId="12" fillId="0" borderId="51" xfId="1" applyFont="1" applyBorder="1" applyAlignment="1">
      <alignment horizontal="right" vertical="center"/>
    </xf>
    <xf numFmtId="169" fontId="12" fillId="0" borderId="52" xfId="1" applyNumberFormat="1" applyFont="1" applyBorder="1" applyAlignment="1">
      <alignment horizontal="center" vertical="center"/>
    </xf>
    <xf numFmtId="164" fontId="12" fillId="0" borderId="53" xfId="1" applyFont="1" applyBorder="1" applyAlignment="1">
      <alignment horizontal="right" vertical="center"/>
    </xf>
    <xf numFmtId="166" fontId="12" fillId="0" borderId="6" xfId="1" applyNumberFormat="1" applyFont="1" applyBorder="1" applyAlignment="1" applyProtection="1">
      <alignment horizontal="center"/>
      <protection locked="0"/>
    </xf>
    <xf numFmtId="169" fontId="12" fillId="0" borderId="52" xfId="1" applyNumberFormat="1" applyFont="1" applyBorder="1" applyAlignment="1">
      <alignment horizontal="center"/>
    </xf>
    <xf numFmtId="169" fontId="12" fillId="0" borderId="54" xfId="1" applyNumberFormat="1" applyFont="1" applyBorder="1" applyAlignment="1">
      <alignment horizontal="center" vertical="center"/>
    </xf>
    <xf numFmtId="164" fontId="16" fillId="0" borderId="0" xfId="1" applyFont="1" applyAlignment="1">
      <alignment horizontal="right" vertical="center"/>
    </xf>
    <xf numFmtId="164" fontId="12" fillId="0" borderId="1" xfId="1" applyFont="1" applyBorder="1" applyAlignment="1">
      <alignment vertical="center"/>
    </xf>
    <xf numFmtId="166" fontId="16" fillId="0" borderId="3" xfId="1" applyNumberFormat="1" applyFont="1" applyBorder="1" applyAlignment="1">
      <alignment horizontal="center" vertical="center"/>
    </xf>
    <xf numFmtId="169" fontId="1" fillId="0" borderId="0" xfId="1" applyNumberFormat="1"/>
    <xf numFmtId="166" fontId="12" fillId="0" borderId="55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6" fontId="12" fillId="0" borderId="45" xfId="1" applyNumberFormat="1" applyFont="1" applyBorder="1" applyAlignment="1" applyProtection="1">
      <alignment horizontal="center" vertical="center"/>
      <protection locked="0"/>
    </xf>
    <xf numFmtId="164" fontId="12" fillId="0" borderId="56" xfId="1" applyFont="1" applyBorder="1" applyAlignment="1">
      <alignment horizontal="right" vertical="center"/>
    </xf>
    <xf numFmtId="166" fontId="12" fillId="0" borderId="57" xfId="1" applyNumberFormat="1" applyFont="1" applyBorder="1" applyAlignment="1" applyProtection="1">
      <alignment horizontal="center"/>
      <protection locked="0"/>
    </xf>
    <xf numFmtId="169" fontId="1" fillId="0" borderId="37" xfId="1" applyNumberFormat="1" applyBorder="1" applyAlignment="1">
      <alignment horizontal="center"/>
    </xf>
    <xf numFmtId="169" fontId="1" fillId="0" borderId="0" xfId="1" applyNumberFormat="1" applyAlignment="1">
      <alignment horizontal="center"/>
    </xf>
    <xf numFmtId="164" fontId="12" fillId="0" borderId="6" xfId="1" applyFont="1" applyBorder="1" applyAlignment="1">
      <alignment horizontal="right" vertical="center"/>
    </xf>
    <xf numFmtId="164" fontId="28" fillId="0" borderId="6" xfId="1" applyFont="1" applyBorder="1" applyAlignment="1">
      <alignment horizontal="right" vertical="center"/>
    </xf>
    <xf numFmtId="164" fontId="16" fillId="0" borderId="48" xfId="1" applyFont="1" applyBorder="1" applyAlignment="1">
      <alignment vertical="center"/>
    </xf>
    <xf numFmtId="164" fontId="1" fillId="0" borderId="58" xfId="1" applyBorder="1" applyAlignment="1">
      <alignment horizontal="center"/>
    </xf>
    <xf numFmtId="169" fontId="1" fillId="0" borderId="59" xfId="1" applyNumberFormat="1" applyBorder="1" applyAlignment="1">
      <alignment horizontal="center"/>
    </xf>
    <xf numFmtId="164" fontId="12" fillId="0" borderId="60" xfId="1" applyFont="1" applyBorder="1" applyAlignment="1">
      <alignment horizontal="right" vertical="center"/>
    </xf>
    <xf numFmtId="2" fontId="12" fillId="0" borderId="25" xfId="1" applyNumberFormat="1" applyFont="1" applyBorder="1" applyAlignment="1">
      <alignment horizontal="center" vertical="center"/>
    </xf>
    <xf numFmtId="2" fontId="12" fillId="0" borderId="25" xfId="1" applyNumberFormat="1" applyFont="1" applyBorder="1" applyAlignment="1" applyProtection="1">
      <alignment horizontal="center" vertical="center"/>
      <protection locked="0"/>
    </xf>
    <xf numFmtId="169" fontId="25" fillId="0" borderId="61" xfId="1" applyNumberFormat="1" applyFont="1" applyBorder="1" applyAlignment="1">
      <alignment horizontal="center" vertical="center"/>
    </xf>
    <xf numFmtId="2" fontId="12" fillId="0" borderId="6" xfId="1" applyNumberFormat="1" applyFont="1" applyBorder="1" applyAlignment="1">
      <alignment horizontal="center" vertical="center"/>
    </xf>
    <xf numFmtId="2" fontId="12" fillId="0" borderId="6" xfId="1" applyNumberFormat="1" applyFont="1" applyBorder="1" applyAlignment="1" applyProtection="1">
      <alignment horizontal="center" vertical="center"/>
      <protection locked="0"/>
    </xf>
    <xf numFmtId="169" fontId="25" fillId="0" borderId="40" xfId="1" applyNumberFormat="1" applyFont="1" applyBorder="1" applyAlignment="1">
      <alignment horizontal="center" vertical="center"/>
    </xf>
    <xf numFmtId="169" fontId="25" fillId="0" borderId="62" xfId="1" applyNumberFormat="1" applyFont="1" applyBorder="1" applyAlignment="1">
      <alignment horizontal="center" vertical="center"/>
    </xf>
    <xf numFmtId="2" fontId="12" fillId="0" borderId="37" xfId="1" applyNumberFormat="1" applyFont="1" applyBorder="1" applyAlignment="1">
      <alignment horizontal="center" vertical="center"/>
    </xf>
    <xf numFmtId="2" fontId="12" fillId="0" borderId="18" xfId="1" applyNumberFormat="1" applyFont="1" applyBorder="1" applyAlignment="1" applyProtection="1">
      <alignment horizontal="center" vertical="center"/>
      <protection locked="0"/>
    </xf>
    <xf numFmtId="164" fontId="12" fillId="0" borderId="35" xfId="1" applyFont="1" applyBorder="1" applyAlignment="1">
      <alignment vertical="center"/>
    </xf>
    <xf numFmtId="2" fontId="12" fillId="0" borderId="63" xfId="1" applyNumberFormat="1" applyFont="1" applyBorder="1" applyAlignment="1">
      <alignment horizontal="center" vertical="center"/>
    </xf>
    <xf numFmtId="2" fontId="12" fillId="0" borderId="31" xfId="1" applyNumberFormat="1" applyFont="1" applyBorder="1" applyAlignment="1">
      <alignment horizontal="center" vertical="center"/>
    </xf>
    <xf numFmtId="2" fontId="12" fillId="0" borderId="64" xfId="1" applyNumberFormat="1" applyFont="1" applyBorder="1" applyAlignment="1">
      <alignment horizontal="center" vertical="center"/>
    </xf>
    <xf numFmtId="169" fontId="25" fillId="0" borderId="35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/>
    </xf>
    <xf numFmtId="2" fontId="12" fillId="0" borderId="2" xfId="1" applyNumberFormat="1" applyFont="1" applyBorder="1" applyAlignment="1">
      <alignment horizontal="center" vertical="center"/>
    </xf>
    <xf numFmtId="169" fontId="29" fillId="0" borderId="4" xfId="1" applyNumberFormat="1" applyFont="1" applyBorder="1" applyAlignment="1">
      <alignment horizontal="center" vertical="center"/>
    </xf>
    <xf numFmtId="169" fontId="29" fillId="0" borderId="40" xfId="1" applyNumberFormat="1" applyFont="1" applyBorder="1" applyAlignment="1">
      <alignment horizontal="center" vertical="center"/>
    </xf>
    <xf numFmtId="169" fontId="29" fillId="0" borderId="62" xfId="1" applyNumberFormat="1" applyFont="1" applyBorder="1" applyAlignment="1">
      <alignment horizontal="center" vertical="center"/>
    </xf>
    <xf numFmtId="164" fontId="12" fillId="0" borderId="63" xfId="1" applyFont="1" applyBorder="1" applyAlignment="1">
      <alignment horizontal="right" vertical="center"/>
    </xf>
    <xf numFmtId="169" fontId="1" fillId="0" borderId="65" xfId="1" applyNumberFormat="1" applyBorder="1" applyAlignment="1">
      <alignment horizontal="center"/>
    </xf>
    <xf numFmtId="164" fontId="16" fillId="0" borderId="49" xfId="1" applyFont="1" applyBorder="1" applyAlignment="1">
      <alignment vertical="center"/>
    </xf>
    <xf numFmtId="2" fontId="30" fillId="0" borderId="2" xfId="1" applyNumberFormat="1" applyFont="1" applyBorder="1" applyAlignment="1">
      <alignment horizontal="center" vertical="center"/>
    </xf>
    <xf numFmtId="2" fontId="30" fillId="0" borderId="4" xfId="1" applyNumberFormat="1" applyFont="1" applyBorder="1" applyAlignment="1">
      <alignment horizontal="center" vertical="center"/>
    </xf>
    <xf numFmtId="164" fontId="16" fillId="0" borderId="60" xfId="1" applyFont="1" applyBorder="1" applyAlignment="1">
      <alignment vertical="center"/>
    </xf>
    <xf numFmtId="2" fontId="30" fillId="0" borderId="25" xfId="1" applyNumberFormat="1" applyFont="1" applyBorder="1" applyAlignment="1">
      <alignment horizontal="center" vertical="center"/>
    </xf>
    <xf numFmtId="2" fontId="30" fillId="0" borderId="61" xfId="1" applyNumberFormat="1" applyFont="1" applyBorder="1" applyAlignment="1">
      <alignment horizontal="center" vertical="center"/>
    </xf>
    <xf numFmtId="164" fontId="1" fillId="0" borderId="66" xfId="1" applyBorder="1" applyAlignment="1">
      <alignment horizontal="center"/>
    </xf>
    <xf numFmtId="164" fontId="16" fillId="0" borderId="51" xfId="1" applyFont="1" applyBorder="1" applyAlignment="1">
      <alignment vertical="center"/>
    </xf>
    <xf numFmtId="2" fontId="30" fillId="0" borderId="6" xfId="1" applyNumberFormat="1" applyFont="1" applyBorder="1" applyAlignment="1">
      <alignment horizontal="center" vertical="center"/>
    </xf>
    <xf numFmtId="2" fontId="30" fillId="0" borderId="40" xfId="1" applyNumberFormat="1" applyFont="1" applyBorder="1" applyAlignment="1">
      <alignment horizontal="center" vertical="center"/>
    </xf>
    <xf numFmtId="164" fontId="16" fillId="0" borderId="67" xfId="1" applyFont="1" applyBorder="1" applyAlignment="1">
      <alignment vertical="center"/>
    </xf>
    <xf numFmtId="2" fontId="30" fillId="0" borderId="8" xfId="1" applyNumberFormat="1" applyFont="1" applyBorder="1" applyAlignment="1">
      <alignment horizontal="center" vertical="center"/>
    </xf>
    <xf numFmtId="2" fontId="30" fillId="0" borderId="10" xfId="1" applyNumberFormat="1" applyFont="1" applyBorder="1" applyAlignment="1">
      <alignment horizontal="center" vertical="center"/>
    </xf>
    <xf numFmtId="164" fontId="12" fillId="13" borderId="6" xfId="1" applyFont="1" applyFill="1" applyBorder="1" applyAlignment="1">
      <alignment vertical="center"/>
    </xf>
    <xf numFmtId="1" fontId="1" fillId="13" borderId="6" xfId="1" applyNumberFormat="1" applyFill="1" applyBorder="1"/>
    <xf numFmtId="20" fontId="31" fillId="13" borderId="6" xfId="1" applyNumberFormat="1" applyFont="1" applyFill="1" applyBorder="1" applyAlignment="1">
      <alignment horizontal="center"/>
    </xf>
    <xf numFmtId="164" fontId="1" fillId="0" borderId="0" xfId="1" applyAlignment="1">
      <alignment horizontal="left"/>
    </xf>
    <xf numFmtId="164" fontId="32" fillId="15" borderId="0" xfId="1" applyFont="1" applyFill="1"/>
    <xf numFmtId="164" fontId="1" fillId="16" borderId="0" xfId="1" applyFill="1" applyProtection="1">
      <protection locked="0"/>
    </xf>
    <xf numFmtId="164" fontId="16" fillId="0" borderId="0" xfId="1" applyFont="1" applyAlignment="1">
      <alignment vertical="top" wrapText="1"/>
    </xf>
    <xf numFmtId="20" fontId="12" fillId="0" borderId="37" xfId="1" applyNumberFormat="1" applyFont="1" applyBorder="1" applyAlignment="1">
      <alignment vertical="center"/>
    </xf>
    <xf numFmtId="167" fontId="12" fillId="0" borderId="68" xfId="1" applyNumberFormat="1" applyFont="1" applyBorder="1" applyAlignment="1">
      <alignment vertical="center"/>
    </xf>
    <xf numFmtId="167" fontId="12" fillId="0" borderId="37" xfId="1" applyNumberFormat="1" applyFont="1" applyBorder="1" applyAlignment="1">
      <alignment vertical="center"/>
    </xf>
    <xf numFmtId="167" fontId="12" fillId="0" borderId="19" xfId="1" applyNumberFormat="1" applyFont="1" applyBorder="1" applyAlignment="1">
      <alignment vertical="center"/>
    </xf>
    <xf numFmtId="1" fontId="1" fillId="0" borderId="0" xfId="1" applyNumberFormat="1" applyAlignment="1">
      <alignment horizontal="center"/>
    </xf>
    <xf numFmtId="165" fontId="1" fillId="16" borderId="0" xfId="1" applyNumberFormat="1" applyFill="1" applyProtection="1">
      <protection locked="0"/>
    </xf>
    <xf numFmtId="164" fontId="1" fillId="0" borderId="6" xfId="1" applyBorder="1"/>
    <xf numFmtId="166" fontId="1" fillId="0" borderId="6" xfId="1" applyNumberFormat="1" applyBorder="1" applyAlignment="1">
      <alignment horizontal="center"/>
    </xf>
    <xf numFmtId="2" fontId="1" fillId="0" borderId="6" xfId="1" applyNumberFormat="1" applyBorder="1" applyAlignment="1">
      <alignment horizontal="center"/>
    </xf>
    <xf numFmtId="164" fontId="0" fillId="0" borderId="58" xfId="1" applyFont="1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6" xfId="0" applyBorder="1" applyAlignment="1">
      <alignment horizontal="center"/>
    </xf>
    <xf numFmtId="164" fontId="12" fillId="0" borderId="49" xfId="1" applyFont="1" applyBorder="1" applyAlignment="1">
      <alignment horizontal="center" vertical="center"/>
    </xf>
    <xf numFmtId="164" fontId="12" fillId="0" borderId="51" xfId="1" applyFont="1" applyBorder="1" applyAlignment="1">
      <alignment horizontal="center" vertical="center"/>
    </xf>
    <xf numFmtId="164" fontId="12" fillId="0" borderId="49" xfId="1" applyFont="1" applyBorder="1" applyAlignment="1">
      <alignment horizontal="right" vertical="center" indent="1"/>
    </xf>
    <xf numFmtId="164" fontId="12" fillId="0" borderId="51" xfId="1" applyFont="1" applyBorder="1" applyAlignment="1">
      <alignment horizontal="right" vertical="center" indent="1"/>
    </xf>
    <xf numFmtId="169" fontId="1" fillId="0" borderId="58" xfId="1" applyNumberFormat="1" applyBorder="1" applyAlignment="1">
      <alignment horizontal="center"/>
    </xf>
    <xf numFmtId="166" fontId="35" fillId="0" borderId="25" xfId="1" applyNumberFormat="1" applyFont="1" applyBorder="1" applyAlignment="1" applyProtection="1">
      <alignment horizontal="center" vertical="center"/>
      <protection locked="0"/>
    </xf>
    <xf numFmtId="0" fontId="0" fillId="0" borderId="6" xfId="0" applyBorder="1"/>
    <xf numFmtId="9" fontId="0" fillId="0" borderId="0" xfId="0" applyNumberFormat="1"/>
    <xf numFmtId="0" fontId="2" fillId="0" borderId="6" xfId="0" applyFont="1" applyBorder="1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0" fontId="0" fillId="0" borderId="45" xfId="0" applyBorder="1"/>
    <xf numFmtId="0" fontId="2" fillId="0" borderId="45" xfId="0" applyFont="1" applyBorder="1" applyAlignment="1">
      <alignment horizontal="right"/>
    </xf>
    <xf numFmtId="0" fontId="36" fillId="0" borderId="6" xfId="0" applyFont="1" applyBorder="1"/>
    <xf numFmtId="0" fontId="0" fillId="0" borderId="0" xfId="0" applyAlignment="1">
      <alignment horizontal="center"/>
    </xf>
    <xf numFmtId="20" fontId="0" fillId="0" borderId="0" xfId="0" applyNumberFormat="1"/>
    <xf numFmtId="2" fontId="0" fillId="0" borderId="0" xfId="0" applyNumberFormat="1" applyAlignment="1">
      <alignment horizontal="left" vertical="center"/>
    </xf>
    <xf numFmtId="0" fontId="37" fillId="0" borderId="0" xfId="0" applyFont="1"/>
    <xf numFmtId="2" fontId="37" fillId="0" borderId="0" xfId="0" applyNumberFormat="1" applyFont="1" applyAlignment="1">
      <alignment horizontal="left" vertical="center"/>
    </xf>
    <xf numFmtId="2" fontId="4" fillId="0" borderId="6" xfId="0" applyNumberFormat="1" applyFont="1" applyBorder="1" applyAlignment="1">
      <alignment horizontal="left" vertical="center"/>
    </xf>
    <xf numFmtId="164" fontId="16" fillId="0" borderId="51" xfId="1" applyFont="1" applyBorder="1" applyAlignment="1">
      <alignment horizontal="right" vertical="center" indent="1"/>
    </xf>
    <xf numFmtId="2" fontId="38" fillId="0" borderId="2" xfId="1" applyNumberFormat="1" applyFont="1" applyBorder="1" applyAlignment="1">
      <alignment horizontal="center" vertical="center"/>
    </xf>
    <xf numFmtId="0" fontId="12" fillId="0" borderId="57" xfId="1" applyNumberFormat="1" applyFont="1" applyBorder="1" applyAlignment="1" applyProtection="1">
      <alignment horizontal="center"/>
      <protection locked="0"/>
    </xf>
    <xf numFmtId="166" fontId="12" fillId="0" borderId="26" xfId="1" applyNumberFormat="1" applyFont="1" applyBorder="1" applyAlignment="1" applyProtection="1">
      <alignment horizontal="center" vertical="center"/>
      <protection locked="0"/>
    </xf>
    <xf numFmtId="166" fontId="12" fillId="0" borderId="57" xfId="1" applyNumberFormat="1" applyFont="1" applyBorder="1" applyAlignment="1" applyProtection="1">
      <alignment horizontal="center" vertical="center"/>
      <protection locked="0"/>
    </xf>
    <xf numFmtId="166" fontId="12" fillId="0" borderId="45" xfId="1" applyNumberFormat="1" applyFont="1" applyBorder="1" applyAlignment="1" applyProtection="1">
      <alignment horizontal="center"/>
      <protection locked="0"/>
    </xf>
    <xf numFmtId="164" fontId="12" fillId="0" borderId="56" xfId="1" applyFont="1" applyBorder="1" applyAlignment="1">
      <alignment horizontal="right" vertical="center" indent="1"/>
    </xf>
    <xf numFmtId="166" fontId="12" fillId="0" borderId="37" xfId="1" applyNumberFormat="1" applyFont="1" applyBorder="1" applyAlignment="1" applyProtection="1">
      <alignment horizontal="center"/>
      <protection locked="0"/>
    </xf>
    <xf numFmtId="164" fontId="16" fillId="0" borderId="60" xfId="1" applyFont="1" applyBorder="1" applyAlignment="1">
      <alignment horizontal="right" vertical="center" indent="1"/>
    </xf>
    <xf numFmtId="164" fontId="1" fillId="0" borderId="70" xfId="1" applyBorder="1" applyAlignment="1">
      <alignment horizontal="center"/>
    </xf>
    <xf numFmtId="2" fontId="30" fillId="0" borderId="31" xfId="1" applyNumberFormat="1" applyFont="1" applyBorder="1" applyAlignment="1">
      <alignment horizontal="center" vertical="center"/>
    </xf>
    <xf numFmtId="2" fontId="30" fillId="0" borderId="65" xfId="1" applyNumberFormat="1" applyFont="1" applyBorder="1" applyAlignment="1">
      <alignment horizontal="center" vertical="center"/>
    </xf>
    <xf numFmtId="164" fontId="16" fillId="0" borderId="71" xfId="1" applyFont="1" applyBorder="1" applyAlignment="1">
      <alignment vertical="center"/>
    </xf>
    <xf numFmtId="2" fontId="30" fillId="0" borderId="63" xfId="1" applyNumberFormat="1" applyFont="1" applyBorder="1" applyAlignment="1">
      <alignment horizontal="center" vertical="center"/>
    </xf>
    <xf numFmtId="164" fontId="1" fillId="0" borderId="35" xfId="1" applyBorder="1" applyAlignment="1">
      <alignment horizontal="center"/>
    </xf>
    <xf numFmtId="2" fontId="39" fillId="0" borderId="25" xfId="1" applyNumberFormat="1" applyFont="1" applyBorder="1" applyAlignment="1">
      <alignment horizontal="center" vertical="center"/>
    </xf>
    <xf numFmtId="2" fontId="39" fillId="0" borderId="6" xfId="1" applyNumberFormat="1" applyFont="1" applyBorder="1" applyAlignment="1">
      <alignment horizontal="center" vertical="center"/>
    </xf>
    <xf numFmtId="2" fontId="39" fillId="0" borderId="8" xfId="1" applyNumberFormat="1" applyFont="1" applyBorder="1" applyAlignment="1">
      <alignment horizontal="center" vertical="center"/>
    </xf>
    <xf numFmtId="2" fontId="40" fillId="0" borderId="25" xfId="1" applyNumberFormat="1" applyFont="1" applyBorder="1" applyAlignment="1">
      <alignment horizontal="center" vertical="center"/>
    </xf>
    <xf numFmtId="2" fontId="41" fillId="0" borderId="25" xfId="1" applyNumberFormat="1" applyFont="1" applyBorder="1" applyAlignment="1">
      <alignment horizontal="center" vertical="center"/>
    </xf>
    <xf numFmtId="2" fontId="40" fillId="0" borderId="6" xfId="1" applyNumberFormat="1" applyFont="1" applyBorder="1" applyAlignment="1">
      <alignment horizontal="center" vertical="center"/>
    </xf>
    <xf numFmtId="2" fontId="41" fillId="0" borderId="6" xfId="1" applyNumberFormat="1" applyFont="1" applyBorder="1" applyAlignment="1">
      <alignment horizontal="center" vertical="center"/>
    </xf>
    <xf numFmtId="2" fontId="40" fillId="0" borderId="8" xfId="1" applyNumberFormat="1" applyFont="1" applyBorder="1" applyAlignment="1">
      <alignment horizontal="center" vertical="center"/>
    </xf>
    <xf numFmtId="2" fontId="41" fillId="0" borderId="8" xfId="1" applyNumberFormat="1" applyFont="1" applyBorder="1" applyAlignment="1">
      <alignment horizontal="center" vertical="center"/>
    </xf>
    <xf numFmtId="2" fontId="12" fillId="0" borderId="57" xfId="1" applyNumberFormat="1" applyFont="1" applyBorder="1" applyAlignment="1" applyProtection="1">
      <alignment horizontal="center"/>
      <protection locked="0"/>
    </xf>
    <xf numFmtId="2" fontId="39" fillId="0" borderId="6" xfId="1" applyNumberFormat="1" applyFont="1" applyBorder="1" applyAlignment="1" applyProtection="1">
      <alignment horizontal="center"/>
      <protection locked="0"/>
    </xf>
    <xf numFmtId="2" fontId="42" fillId="0" borderId="25" xfId="1" applyNumberFormat="1" applyFont="1" applyBorder="1" applyAlignment="1">
      <alignment horizontal="center" vertical="center"/>
    </xf>
    <xf numFmtId="2" fontId="42" fillId="0" borderId="6" xfId="1" applyNumberFormat="1" applyFont="1" applyBorder="1" applyAlignment="1">
      <alignment horizontal="center" vertical="center"/>
    </xf>
    <xf numFmtId="2" fontId="42" fillId="0" borderId="8" xfId="1" applyNumberFormat="1" applyFont="1" applyBorder="1" applyAlignment="1">
      <alignment horizontal="center" vertical="center"/>
    </xf>
    <xf numFmtId="2" fontId="39" fillId="0" borderId="61" xfId="1" applyNumberFormat="1" applyFont="1" applyBorder="1" applyAlignment="1">
      <alignment horizontal="center" vertical="center"/>
    </xf>
    <xf numFmtId="2" fontId="39" fillId="0" borderId="40" xfId="1" applyNumberFormat="1" applyFont="1" applyBorder="1" applyAlignment="1">
      <alignment horizontal="center" vertical="center"/>
    </xf>
    <xf numFmtId="2" fontId="39" fillId="0" borderId="10" xfId="1" applyNumberFormat="1" applyFont="1" applyBorder="1" applyAlignment="1">
      <alignment horizontal="center" vertical="center"/>
    </xf>
    <xf numFmtId="166" fontId="16" fillId="12" borderId="46" xfId="1" applyNumberFormat="1" applyFont="1" applyFill="1" applyBorder="1" applyAlignment="1">
      <alignment horizontal="center" vertical="center"/>
    </xf>
    <xf numFmtId="166" fontId="16" fillId="12" borderId="47" xfId="1" applyNumberFormat="1" applyFont="1" applyFill="1" applyBorder="1" applyAlignment="1">
      <alignment horizontal="center" vertical="center"/>
    </xf>
    <xf numFmtId="164" fontId="32" fillId="14" borderId="0" xfId="1" applyFont="1" applyFill="1" applyAlignment="1">
      <alignment horizontal="center"/>
    </xf>
    <xf numFmtId="167" fontId="12" fillId="0" borderId="19" xfId="1" applyNumberFormat="1" applyFont="1" applyBorder="1" applyAlignment="1">
      <alignment horizontal="center" vertical="center"/>
    </xf>
    <xf numFmtId="167" fontId="12" fillId="0" borderId="22" xfId="1" applyNumberFormat="1" applyFont="1" applyBorder="1" applyAlignment="1">
      <alignment horizontal="center" vertical="center"/>
    </xf>
    <xf numFmtId="168" fontId="24" fillId="8" borderId="20" xfId="1" applyNumberFormat="1" applyFont="1" applyFill="1" applyBorder="1" applyAlignment="1">
      <alignment horizontal="center" vertical="center" wrapText="1"/>
    </xf>
    <xf numFmtId="168" fontId="24" fillId="8" borderId="23" xfId="1" applyNumberFormat="1" applyFont="1" applyFill="1" applyBorder="1" applyAlignment="1">
      <alignment horizontal="center" vertical="center" wrapText="1"/>
    </xf>
    <xf numFmtId="167" fontId="12" fillId="7" borderId="19" xfId="1" applyNumberFormat="1" applyFont="1" applyFill="1" applyBorder="1" applyAlignment="1">
      <alignment horizontal="center" vertical="center"/>
    </xf>
    <xf numFmtId="167" fontId="12" fillId="7" borderId="22" xfId="1" applyNumberFormat="1" applyFont="1" applyFill="1" applyBorder="1" applyAlignment="1">
      <alignment horizontal="center" vertical="center"/>
    </xf>
    <xf numFmtId="167" fontId="12" fillId="0" borderId="18" xfId="1" applyNumberFormat="1" applyFont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164" fontId="16" fillId="0" borderId="17" xfId="1" applyFont="1" applyBorder="1" applyAlignment="1">
      <alignment horizontal="left" vertical="top" wrapText="1"/>
    </xf>
    <xf numFmtId="164" fontId="16" fillId="0" borderId="21" xfId="1" applyFont="1" applyBorder="1" applyAlignment="1">
      <alignment horizontal="left" vertical="top" wrapText="1"/>
    </xf>
    <xf numFmtId="164" fontId="15" fillId="4" borderId="11" xfId="1" applyFont="1" applyFill="1" applyBorder="1" applyAlignment="1">
      <alignment horizontal="left" vertical="center"/>
    </xf>
    <xf numFmtId="164" fontId="15" fillId="4" borderId="11" xfId="1" applyFont="1" applyFill="1" applyBorder="1" applyAlignment="1">
      <alignment horizontal="center" vertical="center"/>
    </xf>
    <xf numFmtId="2" fontId="22" fillId="0" borderId="13" xfId="1" applyNumberFormat="1" applyFont="1" applyBorder="1" applyAlignment="1">
      <alignment horizontal="center" vertical="center"/>
    </xf>
    <xf numFmtId="2" fontId="22" fillId="0" borderId="14" xfId="1" applyNumberFormat="1" applyFont="1" applyBorder="1" applyAlignment="1">
      <alignment horizontal="center" vertical="center"/>
    </xf>
    <xf numFmtId="2" fontId="22" fillId="0" borderId="15" xfId="1" applyNumberFormat="1" applyFont="1" applyBorder="1" applyAlignment="1">
      <alignment horizontal="center" vertical="center"/>
    </xf>
    <xf numFmtId="164" fontId="4" fillId="0" borderId="0" xfId="1" applyFont="1" applyAlignment="1">
      <alignment horizontal="center" vertical="center" wrapText="1"/>
    </xf>
    <xf numFmtId="164" fontId="5" fillId="2" borderId="0" xfId="1" applyFont="1" applyFill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  <xf numFmtId="0" fontId="0" fillId="0" borderId="0" xfId="0" applyAlignment="1">
      <alignment horizontal="center" vertical="center"/>
    </xf>
  </cellXfs>
  <cellStyles count="3">
    <cellStyle name="Comma 2" xfId="2" xr:uid="{642D5685-8EF1-4C79-8202-1B9999E0DF09}"/>
    <cellStyle name="Normal" xfId="0" builtinId="0"/>
    <cellStyle name="Normal 2" xfId="1" xr:uid="{ECE62FCF-10BF-4865-9E6E-574E37C04DE3}"/>
  </cellStyles>
  <dxfs count="3719"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16-480C-BFA7-018CA8B7FD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16-480C-BFA7-018CA8B7FD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16-480C-BFA7-018CA8B7FD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16-480C-BFA7-018CA8B7FD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16-480C-BFA7-018CA8B7FD6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916-480C-BFA7-018CA8B7FD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7C-4B07-AE85-5FDA839E7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84-4879-AC70-31A1A6D87C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84-4879-AC70-31A1A6D87C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84-4879-AC70-31A1A6D87C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84-4879-AC70-31A1A6D87C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84-4879-AC70-31A1A6D87C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184-4879-AC70-31A1A6D87C9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A7-4532-A1F6-313DC4AD3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D9-4EEA-8D40-B0046B57A0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D9-4EEA-8D40-B0046B57A0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D9-4EEA-8D40-B0046B57A0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D9-4EEA-8D40-B0046B57A0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D9-4EEA-8D40-B0046B57A0B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BD9-4EEA-8D40-B0046B57A0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31-4230-A057-C3E770CCE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19-4D26-A253-D7D76023C9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19-4D26-A253-D7D76023C9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19-4D26-A253-D7D76023C9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19-4D26-A253-D7D76023C9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19-4D26-A253-D7D76023C93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E19-4D26-A253-D7D76023C9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6B-4F6C-A934-7A559893E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2F-4142-BA37-3F0926209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2F-4142-BA37-3F0926209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2F-4142-BA37-3F09262099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2F-4142-BA37-3F09262099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2F-4142-BA37-3F092620992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62F-4142-BA37-3F09262099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77-4C9F-A326-E1E81AD26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E6-41CF-B309-D2C0338364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E6-41CF-B309-D2C0338364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E6-41CF-B309-D2C0338364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DE6-41CF-B309-D2C0338364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DE6-41CF-B309-D2C0338364C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DE6-41CF-B309-D2C0338364C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F9-430C-A229-2F2C9E260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7A-4AC1-AEA3-D13D87BBB7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7A-4AC1-AEA3-D13D87BBB7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7A-4AC1-AEA3-D13D87BBB7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87A-4AC1-AEA3-D13D87BBB7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87A-4AC1-AEA3-D13D87BBB7A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87A-4AC1-AEA3-D13D87BBB7A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65-45BD-98DF-109C77CFA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5D-4C36-A8F7-7BC8E9DBCF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5D-4C36-A8F7-7BC8E9DBCF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5D-4C36-A8F7-7BC8E9DBCF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15D-4C36-A8F7-7BC8E9DBCF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15D-4C36-A8F7-7BC8E9DBCF8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15D-4C36-A8F7-7BC8E9DBCF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7D-4C7F-AE14-CB26B44A7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89-4738-BE1A-F7C1354068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89-4738-BE1A-F7C1354068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89-4738-BE1A-F7C1354068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89-4738-BE1A-F7C1354068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89-4738-BE1A-F7C1354068B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789-4738-BE1A-F7C1354068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C7-488E-95D1-82E3DF88C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46-4A8F-80C6-CD03ED5C22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46-4A8F-80C6-CD03ED5C22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46-4A8F-80C6-CD03ED5C22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46-4A8F-80C6-CD03ED5C22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46-4A8F-80C6-CD03ED5C22B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A46-4A8F-80C6-CD03ED5C22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72-465F-A45C-A4B4138E0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5D-4E7A-91B5-742D8308BC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5D-4E7A-91B5-742D8308BC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5D-4E7A-91B5-742D8308BC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15D-4E7A-91B5-742D8308BC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15D-4E7A-91B5-742D8308BCF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15D-4E7A-91B5-742D8308BC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34-4EDF-A62A-B02314378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45-4C40-9736-C51FFA4891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45-4C40-9736-C51FFA4891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45-4C40-9736-C51FFA4891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45-4C40-9736-C51FFA4891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345-4C40-9736-C51FFA4891F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345-4C40-9736-C51FFA4891F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F4-46B2-BA38-D320016DB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4A-419B-8A39-6E500148B1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4A-419B-8A39-6E500148B1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4A-419B-8A39-6E500148B1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84A-419B-8A39-6E500148B1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84A-419B-8A39-6E500148B11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84A-419B-8A39-6E500148B1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A7-4A28-84F6-EA94D637D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CE-4F9E-996D-8D16424AC5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CE-4F9E-996D-8D16424AC5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CE-4F9E-996D-8D16424AC5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CE-4F9E-996D-8D16424AC5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7CE-4F9E-996D-8D16424AC58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7CE-4F9E-996D-8D16424AC5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28-4998-8414-CFCEDC1C7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E6-4231-8B35-D8F3DA275F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E6-4231-8B35-D8F3DA275F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E6-4231-8B35-D8F3DA275F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E6-4231-8B35-D8F3DA275F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4E6-4231-8B35-D8F3DA275FD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4E6-4231-8B35-D8F3DA275FD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78-47ED-8436-DB877B17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99-4F6D-B816-503173F2C8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99-4F6D-B816-503173F2C8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99-4F6D-B816-503173F2C8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99-4F6D-B816-503173F2C8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99-4F6D-B816-503173F2C81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199-4F6D-B816-503173F2C8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67-4E1D-983B-5D8BE5935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FB-4BF7-BAFB-4C8C40D437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FB-4BF7-BAFB-4C8C40D437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FB-4BF7-BAFB-4C8C40D437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FB-4BF7-BAFB-4C8C40D437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8FB-4BF7-BAFB-4C8C40D437D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8FB-4BF7-BAFB-4C8C40D437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BD-47C1-8199-635F7F51C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FE-4F30-93DC-264A9ABEE7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FE-4F30-93DC-264A9ABEE7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FE-4F30-93DC-264A9ABEE7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FE-4F30-93DC-264A9ABEE7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7FE-4F30-93DC-264A9ABEE7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7FE-4F30-93DC-264A9ABEE7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E9-46E8-B24A-E6281C52F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EC-4F3E-B156-0D59B5602B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EC-4F3E-B156-0D59B5602B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EC-4F3E-B156-0D59B5602B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EC-4F3E-B156-0D59B5602B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5EC-4F3E-B156-0D59B5602BA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5EC-4F3E-B156-0D59B5602BA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D1-43C2-97A1-20FB95C7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29-4B0E-BC19-F018DAAF2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29-4B0E-BC19-F018DAAF2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29-4B0E-BC19-F018DAAF2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429-4B0E-BC19-F018DAAF2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429-4B0E-BC19-F018DAAF2EF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429-4B0E-BC19-F018DAAF2E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6F-4B62-A172-617C92236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CC-41EA-8992-910BAD1BFC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CC-41EA-8992-910BAD1BFC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CC-41EA-8992-910BAD1BFC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CC-41EA-8992-910BAD1BFC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CC-41EA-8992-910BAD1BFC3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9CC-41EA-8992-910BAD1BFC3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2B-4259-92F5-1D496FDCC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4B-4AB8-B97F-1AA1A0556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4B-4AB8-B97F-1AA1A0556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4B-4AB8-B97F-1AA1A0556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4B-4AB8-B97F-1AA1A0556E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4B-4AB8-B97F-1AA1A0556E2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34B-4AB8-B97F-1AA1A0556E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16-455A-9C79-6135F9DB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44-481F-BE8A-3F593879D4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44-481F-BE8A-3F593879D4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44-481F-BE8A-3F593879D4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44-481F-BE8A-3F593879D4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544-481F-BE8A-3F593879D42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544-481F-BE8A-3F593879D4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79-4079-912F-6811B7CD1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BC-4EEF-ADAC-78350059B0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BC-4EEF-ADAC-78350059B0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BC-4EEF-ADAC-78350059B0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BC-4EEF-ADAC-78350059B0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BC-4EEF-ADAC-78350059B0B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2BC-4EEF-ADAC-78350059B0B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F7-42EA-9955-81271D3C4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00-450E-B52A-AE91F8A347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00-450E-B52A-AE91F8A347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00-450E-B52A-AE91F8A347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00-450E-B52A-AE91F8A347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500-450E-B52A-AE91F8A3470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500-450E-B52A-AE91F8A347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72-44BA-B845-60D2507D0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0C-4998-B71D-586989E756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0C-4998-B71D-586989E756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0C-4998-B71D-586989E756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0C-4998-B71D-586989E756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0C-4998-B71D-586989E7566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30C-4998-B71D-586989E756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F5-4F18-B122-AB94F9BD0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0F-40DF-9974-3C09B132C1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0F-40DF-9974-3C09B132C1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0F-40DF-9974-3C09B132C1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0F-40DF-9974-3C09B132C1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0F-40DF-9974-3C09B132C10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40F-40DF-9974-3C09B132C1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DF-49EF-B797-32A7F7D8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EF-4B68-8C0B-5E04E8EE27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EF-4B68-8C0B-5E04E8EE27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EF-4B68-8C0B-5E04E8EE27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EF-4B68-8C0B-5E04E8EE27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EF-4B68-8C0B-5E04E8EE275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3EF-4B68-8C0B-5E04E8EE275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2A-4E7B-A99C-82EFFE314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6A-421F-8F3D-D091156D59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6A-421F-8F3D-D091156D59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6A-421F-8F3D-D091156D59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6A-421F-8F3D-D091156D59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6A-421F-8F3D-D091156D59A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46A-421F-8F3D-D091156D59A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EB-4D61-A49F-0D6AD351B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46-4C9E-8E7D-89E76C97B2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46-4C9E-8E7D-89E76C97B2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46-4C9E-8E7D-89E76C97B2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46-4C9E-8E7D-89E76C97B2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946-4C9E-8E7D-89E76C97B25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946-4C9E-8E7D-89E76C97B2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4A-46D6-B0EF-7A28FC2CF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0A-4375-BCA0-C92DEB1672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0A-4375-BCA0-C92DEB1672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0A-4375-BCA0-C92DEB1672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0A-4375-BCA0-C92DEB1672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50A-4375-BCA0-C92DEB16720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50A-4375-BCA0-C92DEB1672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C0-43E0-9E13-D757FB253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6A9F2-C197-435E-976F-110539612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9BC6B1-AEC3-4172-AFF2-EA06C790F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8EAAA-3F4C-4C40-94BA-1C69141AA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F7436A-4395-4FB5-92DB-0296DBB8F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6C09B-102B-4A43-8EB5-27A081B26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E4E74D-4F12-4A55-AE9E-932489193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197F9-0D3B-4BC6-8853-00A672C80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47FE8-58F6-4717-9257-0436A53D4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7CA7B-745F-4B6D-8201-43BC03F18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EEA9EC-FB3D-454A-B0F6-02757782D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B6ED2-A963-4E1E-BCC3-F0BED7896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F323A6-0C75-42F8-90B0-BDC0C8449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02A64-F16F-498D-9FF1-3E5A9B486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98B865-7A69-4EBF-80CA-5C8228D32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70546F-C735-4048-99E5-CA88EE6C3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DE0C1A-C5B3-4E1E-82F6-77975F1B2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56A02-C720-40CB-A6E6-7F0AEB409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6FD2DD-51FD-4087-AC35-2648E5363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248</xdr:row>
      <xdr:rowOff>57156</xdr:rowOff>
    </xdr:from>
    <xdr:to>
      <xdr:col>15</xdr:col>
      <xdr:colOff>219074</xdr:colOff>
      <xdr:row>270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6ADCF-B0C6-4D29-A3D9-870A2C90F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251</xdr:row>
      <xdr:rowOff>133356</xdr:rowOff>
    </xdr:from>
    <xdr:to>
      <xdr:col>32</xdr:col>
      <xdr:colOff>9524</xdr:colOff>
      <xdr:row>269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486510-659E-409B-95D2-2198F77B1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968D3-981A-4C79-9EE9-80A9F7DE4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F22BA-C7CF-4835-885B-EC448650F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F791F-62ED-4202-99A0-4829C8628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54B3B3-1532-4BE3-BAA2-63A01B69C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CA0F8-41A1-4F36-B5DA-711A71C9A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034E35-3BD1-42DA-ADC9-E602045EC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C2A44-3D92-44A7-8A14-A47FB8249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4C5678-13F7-4ECA-B5B0-786A70701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757CA-71FF-44EF-BC7D-1269B0E6F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969AE2-B989-4EBA-8FC8-76806269E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27C50-A168-41D7-9008-79ED3CA40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32440-F6B7-4869-B6EA-C06BEA183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29F3B-283F-44FE-8CDF-C5D4BC4B2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3A03B4-8C53-4A1A-86C6-5555F2066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F38A5-C25B-45FA-986A-1BF0FCC0F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AB72E5-9A70-4682-B8FD-10261D6FF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B1207-9EF6-49F3-9EE5-36BD16C45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511C2B-CCF4-4A2F-8628-652399AC6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5F2CA-A247-4446-A195-E217F9DB9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843903-529A-4748-A9DB-8896F87F1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2734B-700C-4C7A-A7FF-416B39D68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112750-7F4B-4C2D-BF08-688A6ABAE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256</xdr:row>
      <xdr:rowOff>57156</xdr:rowOff>
    </xdr:from>
    <xdr:to>
      <xdr:col>15</xdr:col>
      <xdr:colOff>219074</xdr:colOff>
      <xdr:row>278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64F87-50C4-4D32-8642-A7F3FDCB4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259</xdr:row>
      <xdr:rowOff>133356</xdr:rowOff>
    </xdr:from>
    <xdr:to>
      <xdr:col>32</xdr:col>
      <xdr:colOff>9524</xdr:colOff>
      <xdr:row>277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44EDC4-78DD-42D6-90B5-9757457DB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ECDE05-A9B0-4483-B30A-ABB4B4011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B26CA6-5DE7-4778-A438-0EA7A86D2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29123-1AA6-4271-B555-8EFCF7EF9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9C4BE-0BA6-4606-AC3B-2E2F90F09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D16DD-7A4D-4808-9FB1-80B236E8B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2A6C0D-3830-4EC4-9AB7-B17B718D8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51790-A1E6-4D03-BCFE-246DB70E1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01F19-67AD-4484-A22A-B8B23FC0E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11E1A0-B67C-455E-B88A-43C28F5A8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C8E37-568B-46D1-860E-625D2E382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78ED5-3CF6-4746-AA6E-E128FCBA2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F9C241-097A-4F9A-B859-7068F62C6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DAA53-7941-4226-8B70-B1EE4E87B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5A93E2-BA60-46D1-9D2C-C7B2E2A53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8BB33-4031-4C5C-BE92-5BDF98A17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7109F4-92A2-4EA5-83B3-55D57ECAE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416C7-1651-404D-9F0F-8CD26A025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2D1200-164A-4B2D-97F6-D155D45F6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65</xdr:row>
      <xdr:rowOff>114300</xdr:rowOff>
    </xdr:from>
    <xdr:to>
      <xdr:col>15</xdr:col>
      <xdr:colOff>504825</xdr:colOff>
      <xdr:row>106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A171C-DFE2-FA8E-5D0B-FB538A5C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2687300"/>
          <a:ext cx="9239250" cy="771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9B9A-8D8F-46E2-83E7-FABF8AEC79E1}">
  <sheetPr codeName="Sheet1"/>
  <dimension ref="A1:CJ281"/>
  <sheetViews>
    <sheetView workbookViewId="0">
      <pane xSplit="1" ySplit="10" topLeftCell="B6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D76" sqref="D7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2080/09/1</v>
      </c>
      <c r="C4" s="246"/>
      <c r="D4" s="246"/>
      <c r="E4" s="247" t="str">
        <f ca="1">"2080/"&amp;"08/"&amp;INT(MID(CELL("filename",G6),FIND("]",CELL("filename",G6))+1,200))</f>
        <v>2080/08/1</v>
      </c>
      <c r="F4" s="247"/>
      <c r="G4" s="247"/>
      <c r="H4" s="247" t="str">
        <f ca="1">TEXT(E4,"dddd")</f>
        <v>Thursday</v>
      </c>
      <c r="I4" s="247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46.3</v>
      </c>
      <c r="C5" s="30">
        <f t="shared" si="0"/>
        <v>20.7</v>
      </c>
      <c r="D5" s="30">
        <f t="shared" si="0"/>
        <v>22</v>
      </c>
      <c r="E5" s="30">
        <f t="shared" si="0"/>
        <v>32.200000000000003</v>
      </c>
      <c r="F5" s="30">
        <f t="shared" si="0"/>
        <v>66.400000000000006</v>
      </c>
      <c r="G5" s="30">
        <f t="shared" si="0"/>
        <v>155.9</v>
      </c>
      <c r="H5" s="30">
        <f t="shared" si="0"/>
        <v>225.7</v>
      </c>
      <c r="I5" s="30">
        <f t="shared" si="0"/>
        <v>219</v>
      </c>
      <c r="J5" s="30">
        <f t="shared" si="0"/>
        <v>122.12</v>
      </c>
      <c r="K5" s="30">
        <f t="shared" si="0"/>
        <v>143.6</v>
      </c>
      <c r="L5" s="30">
        <f t="shared" si="0"/>
        <v>53</v>
      </c>
      <c r="M5" s="30">
        <f t="shared" si="0"/>
        <v>141</v>
      </c>
      <c r="N5" s="30">
        <f t="shared" si="0"/>
        <v>257</v>
      </c>
      <c r="O5" s="30">
        <f t="shared" si="0"/>
        <v>268.09999999999997</v>
      </c>
      <c r="P5" s="30">
        <f t="shared" si="0"/>
        <v>280</v>
      </c>
      <c r="Q5" s="30">
        <f t="shared" si="0"/>
        <v>283</v>
      </c>
      <c r="R5" s="30">
        <f t="shared" si="0"/>
        <v>299.2</v>
      </c>
      <c r="S5" s="30">
        <f t="shared" si="0"/>
        <v>283.89999999999998</v>
      </c>
      <c r="T5" s="30">
        <f t="shared" si="0"/>
        <v>264.8</v>
      </c>
      <c r="U5" s="30">
        <f t="shared" si="0"/>
        <v>33</v>
      </c>
      <c r="V5" s="30">
        <f t="shared" si="0"/>
        <v>24</v>
      </c>
      <c r="W5" s="30">
        <f t="shared" si="0"/>
        <v>30.7</v>
      </c>
      <c r="X5" s="30">
        <f t="shared" si="0"/>
        <v>17</v>
      </c>
      <c r="Y5" s="30">
        <f t="shared" si="0"/>
        <v>14</v>
      </c>
      <c r="Z5" s="30">
        <f t="shared" si="0"/>
        <v>16</v>
      </c>
      <c r="AA5" s="30">
        <f t="shared" si="0"/>
        <v>39.700000000000003</v>
      </c>
      <c r="AB5" s="30">
        <f t="shared" si="0"/>
        <v>117.7</v>
      </c>
      <c r="AC5" s="30">
        <f t="shared" si="0"/>
        <v>116.7</v>
      </c>
      <c r="AD5" s="30">
        <f t="shared" si="0"/>
        <v>119.2</v>
      </c>
      <c r="AE5" s="30">
        <f t="shared" si="0"/>
        <v>126.80000000000001</v>
      </c>
      <c r="AF5" s="30">
        <f>B84</f>
        <v>104.6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1700MW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Load=1023</v>
      </c>
      <c r="B7" s="35">
        <f>B92</f>
        <v>1077.74</v>
      </c>
      <c r="C7" s="35">
        <f t="shared" ref="C7:AF7" si="1">C92</f>
        <v>1061.3399999999999</v>
      </c>
      <c r="D7" s="35">
        <f t="shared" si="1"/>
        <v>1022.6400000000001</v>
      </c>
      <c r="E7" s="35">
        <f t="shared" si="1"/>
        <v>1053.04</v>
      </c>
      <c r="F7" s="35">
        <f t="shared" si="1"/>
        <v>1073.1400000000001</v>
      </c>
      <c r="G7" s="35">
        <f t="shared" si="1"/>
        <v>1105.7400000000002</v>
      </c>
      <c r="H7" s="35">
        <f t="shared" si="1"/>
        <v>1238.9400000000003</v>
      </c>
      <c r="I7" s="35">
        <f t="shared" si="1"/>
        <v>1310.3400000000001</v>
      </c>
      <c r="J7" s="35">
        <f t="shared" si="1"/>
        <v>1455.8400000000001</v>
      </c>
      <c r="K7" s="35">
        <f t="shared" si="1"/>
        <v>1684.96</v>
      </c>
      <c r="L7" s="35">
        <f t="shared" si="1"/>
        <v>1700.44</v>
      </c>
      <c r="M7" s="35">
        <f t="shared" si="1"/>
        <v>1630.54</v>
      </c>
      <c r="N7" s="35">
        <f t="shared" si="1"/>
        <v>1619.54</v>
      </c>
      <c r="O7" s="35">
        <f t="shared" si="1"/>
        <v>1553.44</v>
      </c>
      <c r="P7" s="35">
        <f t="shared" si="1"/>
        <v>1449.7399999999998</v>
      </c>
      <c r="Q7" s="35">
        <f t="shared" si="1"/>
        <v>1402.94</v>
      </c>
      <c r="R7" s="35">
        <f t="shared" si="1"/>
        <v>1365.8400000000001</v>
      </c>
      <c r="S7" s="35">
        <f t="shared" si="1"/>
        <v>1358.0400000000002</v>
      </c>
      <c r="T7" s="35">
        <f t="shared" si="1"/>
        <v>1321.6399999999999</v>
      </c>
      <c r="U7" s="35">
        <f t="shared" si="1"/>
        <v>1363.94</v>
      </c>
      <c r="V7" s="35">
        <f t="shared" si="1"/>
        <v>1473.44</v>
      </c>
      <c r="W7" s="35">
        <f t="shared" si="1"/>
        <v>1500.54</v>
      </c>
      <c r="X7" s="35">
        <f t="shared" si="1"/>
        <v>1720.8400000000001</v>
      </c>
      <c r="Y7" s="35">
        <f t="shared" si="1"/>
        <v>1659.74</v>
      </c>
      <c r="Z7" s="35">
        <f t="shared" si="1"/>
        <v>1588.74</v>
      </c>
      <c r="AA7" s="35">
        <f t="shared" si="1"/>
        <v>1540.44</v>
      </c>
      <c r="AB7" s="35">
        <f t="shared" si="1"/>
        <v>1479.64</v>
      </c>
      <c r="AC7" s="35">
        <f t="shared" si="1"/>
        <v>1424.64</v>
      </c>
      <c r="AD7" s="35">
        <f t="shared" si="1"/>
        <v>1423.64</v>
      </c>
      <c r="AE7" s="35">
        <f t="shared" si="1"/>
        <v>1171.8400000000001</v>
      </c>
      <c r="AF7" s="35">
        <f t="shared" si="1"/>
        <v>1105.1400000000001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40.9</v>
      </c>
      <c r="C11" s="45">
        <v>40.9</v>
      </c>
      <c r="D11" s="45">
        <v>40.9</v>
      </c>
      <c r="E11" s="45">
        <v>44.1</v>
      </c>
      <c r="F11" s="45">
        <v>42.8</v>
      </c>
      <c r="G11" s="45">
        <v>42.8</v>
      </c>
      <c r="H11" s="45">
        <v>42.8</v>
      </c>
      <c r="I11" s="45">
        <v>42.8</v>
      </c>
      <c r="J11" s="45">
        <v>41.5</v>
      </c>
      <c r="K11" s="45">
        <v>41.5</v>
      </c>
      <c r="L11" s="45">
        <v>41.5</v>
      </c>
      <c r="M11" s="45">
        <v>41.5</v>
      </c>
      <c r="N11" s="45">
        <v>41.5</v>
      </c>
      <c r="O11" s="45">
        <v>41.5</v>
      </c>
      <c r="P11" s="45">
        <v>41.5</v>
      </c>
      <c r="Q11" s="45">
        <v>41.5</v>
      </c>
      <c r="R11" s="45">
        <v>41.5</v>
      </c>
      <c r="S11" s="45">
        <v>41.5</v>
      </c>
      <c r="T11" s="45">
        <v>42</v>
      </c>
      <c r="U11" s="45">
        <v>42</v>
      </c>
      <c r="V11" s="45">
        <v>42</v>
      </c>
      <c r="W11" s="45">
        <v>42</v>
      </c>
      <c r="X11" s="45">
        <v>42</v>
      </c>
      <c r="Y11" s="45">
        <v>42</v>
      </c>
      <c r="Z11" s="45">
        <v>42</v>
      </c>
      <c r="AA11" s="45">
        <v>42</v>
      </c>
      <c r="AB11" s="45">
        <v>42</v>
      </c>
      <c r="AC11" s="45">
        <v>42</v>
      </c>
      <c r="AD11" s="45">
        <v>42</v>
      </c>
      <c r="AE11" s="45">
        <v>42</v>
      </c>
      <c r="AF11" s="45">
        <v>42</v>
      </c>
      <c r="AG11" s="46">
        <v>86</v>
      </c>
      <c r="AH11" s="47">
        <f t="shared" ref="AH11:AH76" si="2">MAX(B11:AF11)</f>
        <v>44.1</v>
      </c>
      <c r="AI11" s="48">
        <f t="shared" ref="AI11:AI76" si="3">MIN(B11:AF11)</f>
        <v>40.9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20</v>
      </c>
      <c r="C12" s="45">
        <v>20</v>
      </c>
      <c r="D12" s="45">
        <v>20</v>
      </c>
      <c r="E12" s="45">
        <v>20</v>
      </c>
      <c r="F12" s="45">
        <v>20</v>
      </c>
      <c r="G12" s="45">
        <v>20</v>
      </c>
      <c r="H12" s="45">
        <v>20</v>
      </c>
      <c r="I12" s="45">
        <v>20</v>
      </c>
      <c r="J12" s="45">
        <v>20</v>
      </c>
      <c r="K12" s="45">
        <v>20</v>
      </c>
      <c r="L12" s="45">
        <v>20</v>
      </c>
      <c r="M12" s="45">
        <v>20</v>
      </c>
      <c r="N12" s="45">
        <v>20</v>
      </c>
      <c r="O12" s="45">
        <v>20</v>
      </c>
      <c r="P12" s="45">
        <v>20</v>
      </c>
      <c r="Q12" s="45">
        <v>20</v>
      </c>
      <c r="R12" s="45">
        <v>20</v>
      </c>
      <c r="S12" s="45">
        <v>20</v>
      </c>
      <c r="T12" s="45">
        <v>20</v>
      </c>
      <c r="U12" s="45">
        <v>20</v>
      </c>
      <c r="V12" s="45">
        <v>20</v>
      </c>
      <c r="W12" s="45">
        <v>20</v>
      </c>
      <c r="X12" s="45">
        <v>20</v>
      </c>
      <c r="Y12" s="45">
        <v>20</v>
      </c>
      <c r="Z12" s="45">
        <v>20</v>
      </c>
      <c r="AA12" s="45">
        <v>20</v>
      </c>
      <c r="AB12" s="45">
        <v>20</v>
      </c>
      <c r="AC12" s="45">
        <v>20</v>
      </c>
      <c r="AD12" s="45">
        <v>20</v>
      </c>
      <c r="AE12" s="45">
        <v>20</v>
      </c>
      <c r="AF12" s="45">
        <v>20</v>
      </c>
      <c r="AG12" s="49">
        <v>54</v>
      </c>
      <c r="AH12" s="47">
        <f t="shared" si="2"/>
        <v>20</v>
      </c>
      <c r="AI12" s="48">
        <f t="shared" si="3"/>
        <v>20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24.1</v>
      </c>
      <c r="C13" s="45">
        <v>24.1</v>
      </c>
      <c r="D13" s="45">
        <v>24.1</v>
      </c>
      <c r="E13" s="45">
        <v>24.1</v>
      </c>
      <c r="F13" s="45">
        <v>24.1</v>
      </c>
      <c r="G13" s="45">
        <v>24.1</v>
      </c>
      <c r="H13" s="45">
        <v>24.1</v>
      </c>
      <c r="I13" s="45">
        <v>24.1</v>
      </c>
      <c r="J13" s="45">
        <v>24.1</v>
      </c>
      <c r="K13" s="45">
        <v>24.1</v>
      </c>
      <c r="L13" s="45">
        <v>24.1</v>
      </c>
      <c r="M13" s="45">
        <v>24.1</v>
      </c>
      <c r="N13" s="45">
        <v>24.1</v>
      </c>
      <c r="O13" s="45">
        <v>24.1</v>
      </c>
      <c r="P13" s="45">
        <v>24.1</v>
      </c>
      <c r="Q13" s="45">
        <v>24.1</v>
      </c>
      <c r="R13" s="45">
        <v>24.1</v>
      </c>
      <c r="S13" s="45">
        <v>24.1</v>
      </c>
      <c r="T13" s="45">
        <v>24.1</v>
      </c>
      <c r="U13" s="45">
        <v>24.1</v>
      </c>
      <c r="V13" s="45">
        <v>24.1</v>
      </c>
      <c r="W13" s="45">
        <v>24.1</v>
      </c>
      <c r="X13" s="45">
        <v>24.1</v>
      </c>
      <c r="Y13" s="45">
        <v>24.1</v>
      </c>
      <c r="Z13" s="45">
        <v>24.1</v>
      </c>
      <c r="AA13" s="45">
        <v>24.1</v>
      </c>
      <c r="AB13" s="45">
        <v>24.1</v>
      </c>
      <c r="AC13" s="45">
        <v>24.1</v>
      </c>
      <c r="AD13" s="45">
        <v>24.1</v>
      </c>
      <c r="AE13" s="45">
        <v>24.1</v>
      </c>
      <c r="AF13" s="45">
        <v>24.1</v>
      </c>
      <c r="AG13" s="46">
        <v>52.4</v>
      </c>
      <c r="AH13" s="47">
        <f t="shared" si="2"/>
        <v>24.1</v>
      </c>
      <c r="AI13" s="48">
        <f t="shared" si="3"/>
        <v>24.1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1">
        <v>49.7</v>
      </c>
      <c r="C14" s="51">
        <v>49.7</v>
      </c>
      <c r="D14" s="51">
        <v>49.7</v>
      </c>
      <c r="E14" s="51">
        <v>49.7</v>
      </c>
      <c r="F14" s="51">
        <v>49.7</v>
      </c>
      <c r="G14" s="51">
        <v>49.7</v>
      </c>
      <c r="H14" s="51">
        <v>49.7</v>
      </c>
      <c r="I14" s="51">
        <v>49.7</v>
      </c>
      <c r="J14" s="51">
        <v>49.7</v>
      </c>
      <c r="K14" s="51">
        <v>49.7</v>
      </c>
      <c r="L14" s="51">
        <v>49.7</v>
      </c>
      <c r="M14" s="51">
        <v>49.7</v>
      </c>
      <c r="N14" s="51">
        <v>49.7</v>
      </c>
      <c r="O14" s="51">
        <v>49.7</v>
      </c>
      <c r="P14" s="51">
        <v>49.7</v>
      </c>
      <c r="Q14" s="51">
        <v>49.7</v>
      </c>
      <c r="R14" s="51">
        <v>49.7</v>
      </c>
      <c r="S14" s="51">
        <v>49.7</v>
      </c>
      <c r="T14" s="51">
        <v>49.7</v>
      </c>
      <c r="U14" s="51">
        <v>49.7</v>
      </c>
      <c r="V14" s="51">
        <v>49.7</v>
      </c>
      <c r="W14" s="51">
        <v>49.7</v>
      </c>
      <c r="X14" s="51">
        <v>49.7</v>
      </c>
      <c r="Y14" s="51">
        <v>49.7</v>
      </c>
      <c r="Z14" s="51">
        <v>49.7</v>
      </c>
      <c r="AA14" s="51">
        <v>49.7</v>
      </c>
      <c r="AB14" s="51">
        <v>49.7</v>
      </c>
      <c r="AC14" s="51">
        <v>49.7</v>
      </c>
      <c r="AD14" s="51">
        <v>49.7</v>
      </c>
      <c r="AE14" s="51">
        <v>49.7</v>
      </c>
      <c r="AF14" s="51">
        <v>49.7</v>
      </c>
      <c r="AG14" s="49">
        <v>50</v>
      </c>
      <c r="AH14" s="47">
        <f t="shared" si="2"/>
        <v>49.7</v>
      </c>
      <c r="AI14" s="48">
        <f t="shared" si="3"/>
        <v>49.7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24.5</v>
      </c>
      <c r="C15" s="45">
        <v>24.5</v>
      </c>
      <c r="D15" s="45">
        <v>24.5</v>
      </c>
      <c r="E15" s="45">
        <v>24.5</v>
      </c>
      <c r="F15" s="45">
        <v>24.5</v>
      </c>
      <c r="G15" s="45">
        <v>24.5</v>
      </c>
      <c r="H15" s="45">
        <v>24.5</v>
      </c>
      <c r="I15" s="45">
        <v>24.5</v>
      </c>
      <c r="J15" s="45">
        <v>24.5</v>
      </c>
      <c r="K15" s="45">
        <v>24.5</v>
      </c>
      <c r="L15" s="45">
        <v>24.5</v>
      </c>
      <c r="M15" s="45">
        <v>24.5</v>
      </c>
      <c r="N15" s="45">
        <v>24.5</v>
      </c>
      <c r="O15" s="45">
        <v>24.5</v>
      </c>
      <c r="P15" s="45">
        <v>24.5</v>
      </c>
      <c r="Q15" s="45">
        <v>24.5</v>
      </c>
      <c r="R15" s="45">
        <v>24.5</v>
      </c>
      <c r="S15" s="45">
        <v>24.5</v>
      </c>
      <c r="T15" s="45">
        <v>24.5</v>
      </c>
      <c r="U15" s="45">
        <v>24.5</v>
      </c>
      <c r="V15" s="45">
        <v>24.5</v>
      </c>
      <c r="W15" s="45">
        <v>24.5</v>
      </c>
      <c r="X15" s="45">
        <v>24.5</v>
      </c>
      <c r="Y15" s="45">
        <v>24.5</v>
      </c>
      <c r="Z15" s="45">
        <v>24.5</v>
      </c>
      <c r="AA15" s="45">
        <v>24.5</v>
      </c>
      <c r="AB15" s="45">
        <v>24.5</v>
      </c>
      <c r="AC15" s="45">
        <v>24.5</v>
      </c>
      <c r="AD15" s="45">
        <v>24.5</v>
      </c>
      <c r="AE15" s="45">
        <v>24.5</v>
      </c>
      <c r="AF15" s="45">
        <v>24.5</v>
      </c>
      <c r="AG15" s="49">
        <v>45</v>
      </c>
      <c r="AH15" s="47">
        <f t="shared" si="2"/>
        <v>24.5</v>
      </c>
      <c r="AI15" s="48">
        <f t="shared" si="3"/>
        <v>24.5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22</v>
      </c>
      <c r="M16" s="45">
        <v>22</v>
      </c>
      <c r="N16" s="45">
        <v>22</v>
      </c>
      <c r="O16" s="45">
        <v>22</v>
      </c>
      <c r="P16" s="45">
        <v>22</v>
      </c>
      <c r="Q16" s="45">
        <v>22</v>
      </c>
      <c r="R16" s="45">
        <v>22</v>
      </c>
      <c r="S16" s="45">
        <v>22</v>
      </c>
      <c r="T16" s="45">
        <v>22</v>
      </c>
      <c r="U16" s="45">
        <v>22</v>
      </c>
      <c r="V16" s="45">
        <v>22</v>
      </c>
      <c r="W16" s="45">
        <v>22</v>
      </c>
      <c r="X16" s="45">
        <v>22</v>
      </c>
      <c r="Y16" s="45">
        <v>22</v>
      </c>
      <c r="Z16" s="45">
        <v>22</v>
      </c>
      <c r="AA16" s="45">
        <v>22</v>
      </c>
      <c r="AB16" s="45">
        <v>22</v>
      </c>
      <c r="AC16" s="45">
        <v>22</v>
      </c>
      <c r="AD16" s="45">
        <v>22</v>
      </c>
      <c r="AE16" s="45">
        <v>22</v>
      </c>
      <c r="AF16" s="45">
        <v>22</v>
      </c>
      <c r="AG16" s="49">
        <v>44</v>
      </c>
      <c r="AH16" s="47">
        <f>MAX(B16:AG16)</f>
        <v>44</v>
      </c>
      <c r="AI16" s="48">
        <f>MIN(B16:AG16)</f>
        <v>22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13</v>
      </c>
      <c r="C17" s="45">
        <v>13</v>
      </c>
      <c r="D17" s="45">
        <v>13</v>
      </c>
      <c r="E17" s="45">
        <v>13</v>
      </c>
      <c r="F17" s="45">
        <v>13</v>
      </c>
      <c r="G17" s="45">
        <v>13</v>
      </c>
      <c r="H17" s="45">
        <v>13</v>
      </c>
      <c r="I17" s="45">
        <v>13</v>
      </c>
      <c r="J17" s="45">
        <v>13</v>
      </c>
      <c r="K17" s="45">
        <v>13</v>
      </c>
      <c r="L17" s="45">
        <v>13</v>
      </c>
      <c r="M17" s="45">
        <v>13</v>
      </c>
      <c r="N17" s="45">
        <v>13</v>
      </c>
      <c r="O17" s="45">
        <v>13</v>
      </c>
      <c r="P17" s="45">
        <v>13</v>
      </c>
      <c r="Q17" s="45">
        <v>13</v>
      </c>
      <c r="R17" s="45">
        <v>13</v>
      </c>
      <c r="S17" s="45">
        <v>13</v>
      </c>
      <c r="T17" s="45">
        <v>13</v>
      </c>
      <c r="U17" s="45">
        <v>13</v>
      </c>
      <c r="V17" s="45">
        <v>13</v>
      </c>
      <c r="W17" s="45">
        <v>13</v>
      </c>
      <c r="X17" s="45">
        <v>13</v>
      </c>
      <c r="Y17" s="45">
        <v>13</v>
      </c>
      <c r="Z17" s="45">
        <v>13</v>
      </c>
      <c r="AA17" s="45">
        <v>13</v>
      </c>
      <c r="AB17" s="45">
        <v>13</v>
      </c>
      <c r="AC17" s="45">
        <v>13</v>
      </c>
      <c r="AD17" s="45">
        <v>13</v>
      </c>
      <c r="AE17" s="45">
        <v>13</v>
      </c>
      <c r="AF17" s="45">
        <v>13</v>
      </c>
      <c r="AG17" s="49">
        <v>42</v>
      </c>
      <c r="AH17" s="47">
        <f t="shared" si="2"/>
        <v>13</v>
      </c>
      <c r="AI17" s="48">
        <f t="shared" si="3"/>
        <v>13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49">
        <v>38.46</v>
      </c>
      <c r="AH18" s="47">
        <f t="shared" si="2"/>
        <v>13</v>
      </c>
      <c r="AI18" s="48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18</v>
      </c>
      <c r="G19" s="45">
        <v>18</v>
      </c>
      <c r="H19" s="45">
        <v>18</v>
      </c>
      <c r="I19" s="45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18</v>
      </c>
      <c r="AB19" s="45">
        <v>18</v>
      </c>
      <c r="AC19" s="45">
        <v>18</v>
      </c>
      <c r="AD19" s="45">
        <v>18</v>
      </c>
      <c r="AE19" s="45">
        <v>18</v>
      </c>
      <c r="AF19" s="45">
        <v>18</v>
      </c>
      <c r="AG19" s="49">
        <v>36</v>
      </c>
      <c r="AH19" s="47">
        <f t="shared" si="2"/>
        <v>18</v>
      </c>
      <c r="AI19" s="48">
        <f t="shared" si="3"/>
        <v>18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13.3</v>
      </c>
      <c r="C20" s="45">
        <v>13.3</v>
      </c>
      <c r="D20" s="45">
        <v>13.3</v>
      </c>
      <c r="E20" s="45">
        <v>13.3</v>
      </c>
      <c r="F20" s="45">
        <v>13.3</v>
      </c>
      <c r="G20" s="45">
        <v>13.3</v>
      </c>
      <c r="H20" s="45">
        <v>13.3</v>
      </c>
      <c r="I20" s="45">
        <v>13.3</v>
      </c>
      <c r="J20" s="45">
        <v>13.3</v>
      </c>
      <c r="K20" s="45">
        <v>13.3</v>
      </c>
      <c r="L20" s="45">
        <v>13.3</v>
      </c>
      <c r="M20" s="45">
        <v>13.3</v>
      </c>
      <c r="N20" s="45">
        <v>13.3</v>
      </c>
      <c r="O20" s="45">
        <v>13.3</v>
      </c>
      <c r="P20" s="45">
        <v>13.3</v>
      </c>
      <c r="Q20" s="45">
        <v>13.3</v>
      </c>
      <c r="R20" s="45">
        <v>13.3</v>
      </c>
      <c r="S20" s="45">
        <v>13.3</v>
      </c>
      <c r="T20" s="45">
        <v>13.3</v>
      </c>
      <c r="U20" s="45">
        <v>13.3</v>
      </c>
      <c r="V20" s="45">
        <v>13.3</v>
      </c>
      <c r="W20" s="45">
        <v>13.3</v>
      </c>
      <c r="X20" s="45">
        <v>13.3</v>
      </c>
      <c r="Y20" s="45">
        <v>13.3</v>
      </c>
      <c r="Z20" s="45">
        <v>13.3</v>
      </c>
      <c r="AA20" s="45">
        <v>13.3</v>
      </c>
      <c r="AB20" s="45">
        <v>13.3</v>
      </c>
      <c r="AC20" s="45">
        <v>13.3</v>
      </c>
      <c r="AD20" s="45">
        <v>13.3</v>
      </c>
      <c r="AE20" s="45">
        <v>13.3</v>
      </c>
      <c r="AF20" s="45">
        <v>13.3</v>
      </c>
      <c r="AG20" s="52">
        <v>30</v>
      </c>
      <c r="AH20" s="47">
        <f t="shared" si="2"/>
        <v>13.3</v>
      </c>
      <c r="AI20" s="48">
        <f t="shared" si="3"/>
        <v>13.3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11</v>
      </c>
      <c r="C21" s="45">
        <v>11</v>
      </c>
      <c r="D21" s="45">
        <v>11</v>
      </c>
      <c r="E21" s="45">
        <v>11</v>
      </c>
      <c r="F21" s="45">
        <v>11</v>
      </c>
      <c r="G21" s="45">
        <v>11</v>
      </c>
      <c r="H21" s="45">
        <v>11</v>
      </c>
      <c r="I21" s="45">
        <v>11</v>
      </c>
      <c r="J21" s="45">
        <v>11</v>
      </c>
      <c r="K21" s="45">
        <v>11</v>
      </c>
      <c r="L21" s="45">
        <v>11</v>
      </c>
      <c r="M21" s="45">
        <v>11</v>
      </c>
      <c r="N21" s="45">
        <v>11</v>
      </c>
      <c r="O21" s="45">
        <v>11</v>
      </c>
      <c r="P21" s="45">
        <v>11</v>
      </c>
      <c r="Q21" s="45">
        <v>11</v>
      </c>
      <c r="R21" s="45">
        <v>11</v>
      </c>
      <c r="S21" s="45">
        <v>11</v>
      </c>
      <c r="T21" s="45">
        <v>11</v>
      </c>
      <c r="U21" s="45">
        <v>11</v>
      </c>
      <c r="V21" s="45">
        <v>11</v>
      </c>
      <c r="W21" s="45">
        <v>11</v>
      </c>
      <c r="X21" s="45">
        <v>11</v>
      </c>
      <c r="Y21" s="45">
        <v>11</v>
      </c>
      <c r="Z21" s="45">
        <v>11</v>
      </c>
      <c r="AA21" s="45">
        <v>11</v>
      </c>
      <c r="AB21" s="45">
        <v>11</v>
      </c>
      <c r="AC21" s="45">
        <v>11</v>
      </c>
      <c r="AD21" s="45">
        <v>11</v>
      </c>
      <c r="AE21" s="45">
        <v>11</v>
      </c>
      <c r="AF21" s="45">
        <v>11</v>
      </c>
      <c r="AG21" s="49">
        <v>24.2</v>
      </c>
      <c r="AH21" s="47">
        <f t="shared" si="2"/>
        <v>11</v>
      </c>
      <c r="AI21" s="48">
        <f t="shared" si="3"/>
        <v>11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13.5</v>
      </c>
      <c r="C22" s="45">
        <v>13.5</v>
      </c>
      <c r="D22" s="45">
        <v>13.5</v>
      </c>
      <c r="E22" s="45">
        <v>13.5</v>
      </c>
      <c r="F22" s="45">
        <v>13.5</v>
      </c>
      <c r="G22" s="45">
        <v>13.5</v>
      </c>
      <c r="H22" s="45">
        <v>13.5</v>
      </c>
      <c r="I22" s="45">
        <v>13.5</v>
      </c>
      <c r="J22" s="45">
        <v>13.5</v>
      </c>
      <c r="K22" s="45">
        <v>13.5</v>
      </c>
      <c r="L22" s="45">
        <v>13.5</v>
      </c>
      <c r="M22" s="45">
        <v>13.5</v>
      </c>
      <c r="N22" s="45">
        <v>13.5</v>
      </c>
      <c r="O22" s="45">
        <v>13.5</v>
      </c>
      <c r="P22" s="45">
        <v>13.5</v>
      </c>
      <c r="Q22" s="45">
        <v>13.5</v>
      </c>
      <c r="R22" s="45">
        <v>13.5</v>
      </c>
      <c r="S22" s="45">
        <v>13.5</v>
      </c>
      <c r="T22" s="45">
        <v>13.5</v>
      </c>
      <c r="U22" s="45">
        <v>13.5</v>
      </c>
      <c r="V22" s="45">
        <v>13.5</v>
      </c>
      <c r="W22" s="45">
        <v>13.5</v>
      </c>
      <c r="X22" s="45">
        <v>13.5</v>
      </c>
      <c r="Y22" s="45">
        <v>13.5</v>
      </c>
      <c r="Z22" s="45">
        <v>13.5</v>
      </c>
      <c r="AA22" s="45">
        <v>13.5</v>
      </c>
      <c r="AB22" s="45">
        <v>13.5</v>
      </c>
      <c r="AC22" s="45">
        <v>13.5</v>
      </c>
      <c r="AD22" s="45">
        <v>13.5</v>
      </c>
      <c r="AE22" s="45">
        <v>13.5</v>
      </c>
      <c r="AF22" s="45">
        <v>13.5</v>
      </c>
      <c r="AG22" s="49">
        <v>28</v>
      </c>
      <c r="AH22" s="47">
        <f t="shared" si="2"/>
        <v>13.5</v>
      </c>
      <c r="AI22" s="48">
        <f t="shared" si="3"/>
        <v>13.5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12.4</v>
      </c>
      <c r="C23" s="45">
        <v>12.4</v>
      </c>
      <c r="D23" s="45">
        <v>12.4</v>
      </c>
      <c r="E23" s="45">
        <v>12.4</v>
      </c>
      <c r="F23" s="45">
        <v>12.4</v>
      </c>
      <c r="G23" s="45">
        <v>12.4</v>
      </c>
      <c r="H23" s="45">
        <v>12.4</v>
      </c>
      <c r="I23" s="45">
        <v>12.4</v>
      </c>
      <c r="J23" s="45">
        <v>12.4</v>
      </c>
      <c r="K23" s="45">
        <v>12.4</v>
      </c>
      <c r="L23" s="45">
        <v>12.4</v>
      </c>
      <c r="M23" s="45">
        <v>12.4</v>
      </c>
      <c r="N23" s="45">
        <v>12.4</v>
      </c>
      <c r="O23" s="45">
        <v>12.4</v>
      </c>
      <c r="P23" s="45">
        <v>12.4</v>
      </c>
      <c r="Q23" s="45">
        <v>12.4</v>
      </c>
      <c r="R23" s="45">
        <v>12.4</v>
      </c>
      <c r="S23" s="45">
        <v>12.4</v>
      </c>
      <c r="T23" s="45">
        <v>12.4</v>
      </c>
      <c r="U23" s="45">
        <v>12.4</v>
      </c>
      <c r="V23" s="45">
        <v>12.4</v>
      </c>
      <c r="W23" s="45">
        <v>12.4</v>
      </c>
      <c r="X23" s="45">
        <v>12.4</v>
      </c>
      <c r="Y23" s="45">
        <v>12.4</v>
      </c>
      <c r="Z23" s="45">
        <v>12.4</v>
      </c>
      <c r="AA23" s="45">
        <v>12.4</v>
      </c>
      <c r="AB23" s="45">
        <v>12.4</v>
      </c>
      <c r="AC23" s="45">
        <v>12.4</v>
      </c>
      <c r="AD23" s="45">
        <v>12.4</v>
      </c>
      <c r="AE23" s="45">
        <v>12.4</v>
      </c>
      <c r="AF23" s="45">
        <v>12.4</v>
      </c>
      <c r="AG23" s="52">
        <v>30</v>
      </c>
      <c r="AH23" s="47">
        <f t="shared" si="2"/>
        <v>12.4</v>
      </c>
      <c r="AI23" s="48">
        <f t="shared" si="3"/>
        <v>12.4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13.1</v>
      </c>
      <c r="C24" s="45">
        <v>13.1</v>
      </c>
      <c r="D24" s="45">
        <v>13.1</v>
      </c>
      <c r="E24" s="45">
        <v>13.1</v>
      </c>
      <c r="F24" s="45">
        <v>13.1</v>
      </c>
      <c r="G24" s="45">
        <v>13.1</v>
      </c>
      <c r="H24" s="45">
        <v>13.1</v>
      </c>
      <c r="I24" s="45">
        <v>13.1</v>
      </c>
      <c r="J24" s="45">
        <v>13.1</v>
      </c>
      <c r="K24" s="45">
        <v>13.1</v>
      </c>
      <c r="L24" s="45">
        <v>13.1</v>
      </c>
      <c r="M24" s="45">
        <v>13.1</v>
      </c>
      <c r="N24" s="45">
        <v>13.1</v>
      </c>
      <c r="O24" s="45">
        <v>13.1</v>
      </c>
      <c r="P24" s="45">
        <v>13.1</v>
      </c>
      <c r="Q24" s="45">
        <v>13.1</v>
      </c>
      <c r="R24" s="45">
        <v>13.1</v>
      </c>
      <c r="S24" s="45">
        <v>13.1</v>
      </c>
      <c r="T24" s="45">
        <v>13.1</v>
      </c>
      <c r="U24" s="45">
        <v>13.1</v>
      </c>
      <c r="V24" s="45">
        <v>13.1</v>
      </c>
      <c r="W24" s="45">
        <v>13.1</v>
      </c>
      <c r="X24" s="45">
        <v>13.1</v>
      </c>
      <c r="Y24" s="45">
        <v>13.1</v>
      </c>
      <c r="Z24" s="45">
        <v>13.1</v>
      </c>
      <c r="AA24" s="45">
        <v>13.1</v>
      </c>
      <c r="AB24" s="45">
        <v>13.1</v>
      </c>
      <c r="AC24" s="45">
        <v>13.1</v>
      </c>
      <c r="AD24" s="45">
        <v>13.1</v>
      </c>
      <c r="AE24" s="45">
        <v>13.1</v>
      </c>
      <c r="AF24" s="45">
        <v>13.1</v>
      </c>
      <c r="AG24" s="49">
        <v>25</v>
      </c>
      <c r="AH24" s="47">
        <f t="shared" si="2"/>
        <v>13.1</v>
      </c>
      <c r="AI24" s="48">
        <f t="shared" si="3"/>
        <v>13.1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12</v>
      </c>
      <c r="C26" s="45">
        <v>12</v>
      </c>
      <c r="D26" s="45">
        <v>12</v>
      </c>
      <c r="E26" s="45">
        <v>12</v>
      </c>
      <c r="F26" s="45">
        <v>12</v>
      </c>
      <c r="G26" s="45">
        <v>12</v>
      </c>
      <c r="H26" s="45">
        <v>12</v>
      </c>
      <c r="I26" s="45">
        <v>12</v>
      </c>
      <c r="J26" s="45">
        <v>12</v>
      </c>
      <c r="K26" s="45">
        <v>12</v>
      </c>
      <c r="L26" s="45">
        <v>12</v>
      </c>
      <c r="M26" s="45">
        <v>12</v>
      </c>
      <c r="N26" s="45">
        <v>12</v>
      </c>
      <c r="O26" s="45">
        <v>12</v>
      </c>
      <c r="P26" s="45">
        <v>12</v>
      </c>
      <c r="Q26" s="45">
        <v>12</v>
      </c>
      <c r="R26" s="45">
        <v>12</v>
      </c>
      <c r="S26" s="45">
        <v>12</v>
      </c>
      <c r="T26" s="45">
        <v>12</v>
      </c>
      <c r="U26" s="45">
        <v>12</v>
      </c>
      <c r="V26" s="45">
        <v>12</v>
      </c>
      <c r="W26" s="45">
        <v>12</v>
      </c>
      <c r="X26" s="45">
        <v>12</v>
      </c>
      <c r="Y26" s="45">
        <v>12</v>
      </c>
      <c r="Z26" s="45">
        <v>12</v>
      </c>
      <c r="AA26" s="45">
        <v>12</v>
      </c>
      <c r="AB26" s="45">
        <v>12</v>
      </c>
      <c r="AC26" s="45">
        <v>12</v>
      </c>
      <c r="AD26" s="45">
        <v>12</v>
      </c>
      <c r="AE26" s="45">
        <v>12</v>
      </c>
      <c r="AF26" s="45">
        <v>12</v>
      </c>
      <c r="AG26" s="49">
        <v>25</v>
      </c>
      <c r="AH26" s="47">
        <f t="shared" si="2"/>
        <v>12</v>
      </c>
      <c r="AI26" s="48">
        <f t="shared" si="3"/>
        <v>12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13</v>
      </c>
      <c r="C27" s="45">
        <v>13</v>
      </c>
      <c r="D27" s="45">
        <v>13</v>
      </c>
      <c r="E27" s="45">
        <v>13</v>
      </c>
      <c r="F27" s="45">
        <v>13</v>
      </c>
      <c r="G27" s="45">
        <v>13</v>
      </c>
      <c r="H27" s="45">
        <v>13</v>
      </c>
      <c r="I27" s="45">
        <v>13</v>
      </c>
      <c r="J27" s="45">
        <v>13</v>
      </c>
      <c r="K27" s="45">
        <v>13</v>
      </c>
      <c r="L27" s="45">
        <v>13</v>
      </c>
      <c r="M27" s="45">
        <v>13</v>
      </c>
      <c r="N27" s="45">
        <v>13</v>
      </c>
      <c r="O27" s="45">
        <v>13</v>
      </c>
      <c r="P27" s="45">
        <v>13</v>
      </c>
      <c r="Q27" s="45">
        <v>13</v>
      </c>
      <c r="R27" s="45">
        <v>13</v>
      </c>
      <c r="S27" s="45">
        <v>13</v>
      </c>
      <c r="T27" s="45">
        <v>13</v>
      </c>
      <c r="U27" s="45">
        <v>13</v>
      </c>
      <c r="V27" s="45">
        <v>13</v>
      </c>
      <c r="W27" s="45">
        <v>13</v>
      </c>
      <c r="X27" s="45">
        <v>13</v>
      </c>
      <c r="Y27" s="45">
        <v>13</v>
      </c>
      <c r="Z27" s="45">
        <v>13</v>
      </c>
      <c r="AA27" s="45">
        <v>13</v>
      </c>
      <c r="AB27" s="45">
        <v>13</v>
      </c>
      <c r="AC27" s="45">
        <v>13</v>
      </c>
      <c r="AD27" s="45">
        <v>13</v>
      </c>
      <c r="AE27" s="45">
        <v>13</v>
      </c>
      <c r="AF27" s="45">
        <v>13</v>
      </c>
      <c r="AG27" s="49">
        <v>25</v>
      </c>
      <c r="AH27" s="47">
        <f t="shared" si="2"/>
        <v>13</v>
      </c>
      <c r="AI27" s="48">
        <f t="shared" si="3"/>
        <v>13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12.3</v>
      </c>
      <c r="C28" s="45">
        <v>12.3</v>
      </c>
      <c r="D28" s="45">
        <v>12.3</v>
      </c>
      <c r="E28" s="45">
        <v>12.3</v>
      </c>
      <c r="F28" s="45">
        <v>12.3</v>
      </c>
      <c r="G28" s="45">
        <v>12.3</v>
      </c>
      <c r="H28" s="45">
        <v>12.3</v>
      </c>
      <c r="I28" s="45">
        <v>12.3</v>
      </c>
      <c r="J28" s="45">
        <v>12.3</v>
      </c>
      <c r="K28" s="45">
        <v>12.3</v>
      </c>
      <c r="L28" s="45">
        <v>12.3</v>
      </c>
      <c r="M28" s="45">
        <v>12.3</v>
      </c>
      <c r="N28" s="45">
        <v>12.3</v>
      </c>
      <c r="O28" s="45">
        <v>12.3</v>
      </c>
      <c r="P28" s="45">
        <v>12.3</v>
      </c>
      <c r="Q28" s="45">
        <v>12.3</v>
      </c>
      <c r="R28" s="45">
        <v>12.3</v>
      </c>
      <c r="S28" s="45">
        <v>12.3</v>
      </c>
      <c r="T28" s="45">
        <v>12.3</v>
      </c>
      <c r="U28" s="45">
        <v>12.3</v>
      </c>
      <c r="V28" s="45">
        <v>12.3</v>
      </c>
      <c r="W28" s="45">
        <v>12.3</v>
      </c>
      <c r="X28" s="45">
        <v>12.3</v>
      </c>
      <c r="Y28" s="45">
        <v>12.3</v>
      </c>
      <c r="Z28" s="45">
        <v>12.3</v>
      </c>
      <c r="AA28" s="45">
        <v>12.3</v>
      </c>
      <c r="AB28" s="45">
        <v>12.3</v>
      </c>
      <c r="AC28" s="45">
        <v>12.3</v>
      </c>
      <c r="AD28" s="45">
        <v>12.3</v>
      </c>
      <c r="AE28" s="45">
        <v>12.3</v>
      </c>
      <c r="AF28" s="45">
        <v>12.3</v>
      </c>
      <c r="AG28" s="49">
        <v>23.5</v>
      </c>
      <c r="AH28" s="47">
        <f t="shared" si="2"/>
        <v>12.3</v>
      </c>
      <c r="AI28" s="48">
        <f t="shared" si="3"/>
        <v>12.3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49">
        <v>22.2</v>
      </c>
      <c r="AH29" s="47">
        <f t="shared" si="2"/>
        <v>10</v>
      </c>
      <c r="AI29" s="48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7.9</v>
      </c>
      <c r="C32" s="45">
        <v>7.9</v>
      </c>
      <c r="D32" s="45">
        <v>7.9</v>
      </c>
      <c r="E32" s="45">
        <v>7.9</v>
      </c>
      <c r="F32" s="45">
        <v>7.9</v>
      </c>
      <c r="G32" s="45">
        <v>7.9</v>
      </c>
      <c r="H32" s="45">
        <v>7.9</v>
      </c>
      <c r="I32" s="45">
        <v>7.9</v>
      </c>
      <c r="J32" s="45">
        <v>7.9</v>
      </c>
      <c r="K32" s="45">
        <v>7.9</v>
      </c>
      <c r="L32" s="45">
        <v>7.9</v>
      </c>
      <c r="M32" s="45">
        <v>7.9</v>
      </c>
      <c r="N32" s="45">
        <v>7.9</v>
      </c>
      <c r="O32" s="45">
        <v>7.9</v>
      </c>
      <c r="P32" s="45">
        <v>7.9</v>
      </c>
      <c r="Q32" s="45">
        <v>7.9</v>
      </c>
      <c r="R32" s="45">
        <v>7.9</v>
      </c>
      <c r="S32" s="45">
        <v>7.9</v>
      </c>
      <c r="T32" s="45">
        <v>7.9</v>
      </c>
      <c r="U32" s="45">
        <v>7.9</v>
      </c>
      <c r="V32" s="45">
        <v>7.9</v>
      </c>
      <c r="W32" s="45">
        <v>7.9</v>
      </c>
      <c r="X32" s="45">
        <v>7.9</v>
      </c>
      <c r="Y32" s="45">
        <v>7.9</v>
      </c>
      <c r="Z32" s="45">
        <v>7.9</v>
      </c>
      <c r="AA32" s="45">
        <v>7.9</v>
      </c>
      <c r="AB32" s="45">
        <v>7.9</v>
      </c>
      <c r="AC32" s="45">
        <v>7.9</v>
      </c>
      <c r="AD32" s="45">
        <v>7.9</v>
      </c>
      <c r="AE32" s="45">
        <v>7.9</v>
      </c>
      <c r="AF32" s="45">
        <v>7.9</v>
      </c>
      <c r="AG32" s="49">
        <v>22</v>
      </c>
      <c r="AH32" s="47">
        <f t="shared" si="2"/>
        <v>7.9</v>
      </c>
      <c r="AI32" s="48">
        <f t="shared" si="3"/>
        <v>7.9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9</v>
      </c>
      <c r="C33" s="45">
        <v>9</v>
      </c>
      <c r="D33" s="45">
        <v>9</v>
      </c>
      <c r="E33" s="45">
        <v>9</v>
      </c>
      <c r="F33" s="45">
        <v>9</v>
      </c>
      <c r="G33" s="45">
        <v>9</v>
      </c>
      <c r="H33" s="45">
        <v>9</v>
      </c>
      <c r="I33" s="45">
        <v>9</v>
      </c>
      <c r="J33" s="45">
        <v>9</v>
      </c>
      <c r="K33" s="45">
        <v>9</v>
      </c>
      <c r="L33" s="45">
        <v>9</v>
      </c>
      <c r="M33" s="45">
        <v>9</v>
      </c>
      <c r="N33" s="45">
        <v>9</v>
      </c>
      <c r="O33" s="45">
        <v>9</v>
      </c>
      <c r="P33" s="45">
        <v>9</v>
      </c>
      <c r="Q33" s="45">
        <v>9</v>
      </c>
      <c r="R33" s="45">
        <v>9</v>
      </c>
      <c r="S33" s="45">
        <v>9</v>
      </c>
      <c r="T33" s="45">
        <v>9</v>
      </c>
      <c r="U33" s="45">
        <v>9</v>
      </c>
      <c r="V33" s="45">
        <v>9</v>
      </c>
      <c r="W33" s="45">
        <v>9</v>
      </c>
      <c r="X33" s="45">
        <v>9</v>
      </c>
      <c r="Y33" s="45">
        <v>9</v>
      </c>
      <c r="Z33" s="45">
        <v>9</v>
      </c>
      <c r="AA33" s="45">
        <v>9</v>
      </c>
      <c r="AB33" s="45">
        <v>9</v>
      </c>
      <c r="AC33" s="45">
        <v>9</v>
      </c>
      <c r="AD33" s="45">
        <v>9</v>
      </c>
      <c r="AE33" s="45">
        <v>9</v>
      </c>
      <c r="AF33" s="45">
        <v>9</v>
      </c>
      <c r="AG33" s="49">
        <v>20</v>
      </c>
      <c r="AH33" s="47">
        <f t="shared" si="2"/>
        <v>9</v>
      </c>
      <c r="AI33" s="48">
        <f t="shared" si="3"/>
        <v>9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49">
        <v>18</v>
      </c>
      <c r="AH34" s="47">
        <f t="shared" si="2"/>
        <v>8</v>
      </c>
      <c r="AI34" s="48">
        <f t="shared" si="3"/>
        <v>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8.1999999999999993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0</v>
      </c>
      <c r="C43" s="45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5.8</v>
      </c>
      <c r="Q45" s="45">
        <v>5.8</v>
      </c>
      <c r="R45" s="45">
        <v>5.8</v>
      </c>
      <c r="S45" s="45">
        <v>5.8</v>
      </c>
      <c r="T45" s="45">
        <v>5.8</v>
      </c>
      <c r="U45" s="45">
        <v>5.8</v>
      </c>
      <c r="V45" s="45">
        <v>5.8</v>
      </c>
      <c r="W45" s="45">
        <v>5.8</v>
      </c>
      <c r="X45" s="45">
        <v>5.8</v>
      </c>
      <c r="Y45" s="45">
        <v>5.8</v>
      </c>
      <c r="Z45" s="45">
        <v>5.8</v>
      </c>
      <c r="AA45" s="45">
        <v>5.8</v>
      </c>
      <c r="AB45" s="45">
        <v>5.8</v>
      </c>
      <c r="AC45" s="45">
        <v>5.8</v>
      </c>
      <c r="AD45" s="45">
        <v>5.8</v>
      </c>
      <c r="AE45" s="45">
        <v>5.8</v>
      </c>
      <c r="AF45" s="45">
        <v>5.8</v>
      </c>
      <c r="AG45" s="55">
        <v>10</v>
      </c>
      <c r="AH45" s="47">
        <f t="shared" si="2"/>
        <v>5.8</v>
      </c>
      <c r="AI45" s="48">
        <f t="shared" si="3"/>
        <v>5.8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6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250</v>
      </c>
      <c r="C48" s="57">
        <v>250</v>
      </c>
      <c r="D48" s="57">
        <v>250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250</v>
      </c>
      <c r="N48" s="57">
        <v>250</v>
      </c>
      <c r="O48" s="57">
        <v>250</v>
      </c>
      <c r="P48" s="57">
        <v>250</v>
      </c>
      <c r="Q48" s="57">
        <v>250</v>
      </c>
      <c r="R48" s="57">
        <v>250</v>
      </c>
      <c r="S48" s="57">
        <v>250</v>
      </c>
      <c r="T48" s="57">
        <v>250</v>
      </c>
      <c r="U48" s="57">
        <v>250</v>
      </c>
      <c r="V48" s="57">
        <v>250</v>
      </c>
      <c r="W48" s="57">
        <v>250</v>
      </c>
      <c r="X48" s="57">
        <v>250</v>
      </c>
      <c r="Y48" s="57">
        <v>250</v>
      </c>
      <c r="Z48" s="57">
        <v>250</v>
      </c>
      <c r="AA48" s="57">
        <v>250</v>
      </c>
      <c r="AB48" s="57">
        <v>250</v>
      </c>
      <c r="AC48" s="57">
        <v>250</v>
      </c>
      <c r="AD48" s="57">
        <v>250</v>
      </c>
      <c r="AE48" s="57">
        <v>250</v>
      </c>
      <c r="AF48" s="57">
        <v>250</v>
      </c>
      <c r="AG48" s="55">
        <v>85</v>
      </c>
      <c r="AH48" s="47">
        <f t="shared" si="2"/>
        <v>250</v>
      </c>
      <c r="AI48" s="48">
        <f t="shared" si="3"/>
        <v>250</v>
      </c>
      <c r="AK48" s="50"/>
    </row>
    <row r="49" spans="1:41" ht="15.75" thickBot="1" x14ac:dyDescent="0.3">
      <c r="A49" s="58" t="s">
        <v>57</v>
      </c>
      <c r="B49" s="57">
        <v>42.4</v>
      </c>
      <c r="C49" s="57">
        <v>44.3</v>
      </c>
      <c r="D49" s="57">
        <v>44.3</v>
      </c>
      <c r="E49" s="57">
        <v>44.3</v>
      </c>
      <c r="F49" s="57">
        <v>44.3</v>
      </c>
      <c r="G49" s="57">
        <v>44.3</v>
      </c>
      <c r="H49" s="57">
        <v>44.3</v>
      </c>
      <c r="I49" s="57">
        <v>44.3</v>
      </c>
      <c r="J49" s="57">
        <v>44.3</v>
      </c>
      <c r="K49" s="57">
        <v>44.3</v>
      </c>
      <c r="L49" s="57">
        <v>44.3</v>
      </c>
      <c r="M49" s="57">
        <v>44.3</v>
      </c>
      <c r="N49" s="57">
        <v>44.3</v>
      </c>
      <c r="O49" s="57">
        <v>44.3</v>
      </c>
      <c r="P49" s="57">
        <v>44.3</v>
      </c>
      <c r="Q49" s="57">
        <v>44.3</v>
      </c>
      <c r="R49" s="57">
        <v>44.3</v>
      </c>
      <c r="S49" s="57">
        <v>44.3</v>
      </c>
      <c r="T49" s="57">
        <v>44.3</v>
      </c>
      <c r="U49" s="57">
        <v>44.3</v>
      </c>
      <c r="V49" s="57">
        <v>44.3</v>
      </c>
      <c r="W49" s="57">
        <v>44.3</v>
      </c>
      <c r="X49" s="57">
        <v>44.3</v>
      </c>
      <c r="Y49" s="57">
        <v>44.3</v>
      </c>
      <c r="Z49" s="57">
        <v>44.3</v>
      </c>
      <c r="AA49" s="57">
        <v>44.3</v>
      </c>
      <c r="AB49" s="57">
        <v>44.3</v>
      </c>
      <c r="AC49" s="57">
        <v>44.3</v>
      </c>
      <c r="AD49" s="57">
        <v>44.3</v>
      </c>
      <c r="AE49" s="57">
        <v>44.3</v>
      </c>
      <c r="AF49" s="57">
        <v>42.8</v>
      </c>
      <c r="AG49" s="55">
        <v>240</v>
      </c>
      <c r="AH49" s="47">
        <f t="shared" si="2"/>
        <v>44.3</v>
      </c>
      <c r="AI49" s="48">
        <f t="shared" si="3"/>
        <v>42.4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692</v>
      </c>
      <c r="C50" s="60">
        <f t="shared" si="4"/>
        <v>692</v>
      </c>
      <c r="D50" s="60">
        <f t="shared" si="4"/>
        <v>692</v>
      </c>
      <c r="E50" s="60">
        <f t="shared" si="4"/>
        <v>695.2</v>
      </c>
      <c r="F50" s="60">
        <f t="shared" si="4"/>
        <v>693.90000000000009</v>
      </c>
      <c r="G50" s="60">
        <f t="shared" si="4"/>
        <v>693.90000000000009</v>
      </c>
      <c r="H50" s="60">
        <f t="shared" si="4"/>
        <v>693.90000000000009</v>
      </c>
      <c r="I50" s="60">
        <f t="shared" si="4"/>
        <v>693.90000000000009</v>
      </c>
      <c r="J50" s="60">
        <f t="shared" si="4"/>
        <v>692.6</v>
      </c>
      <c r="K50" s="60">
        <f t="shared" si="4"/>
        <v>692.6</v>
      </c>
      <c r="L50" s="60">
        <f t="shared" si="4"/>
        <v>692.6</v>
      </c>
      <c r="M50" s="60">
        <f t="shared" si="4"/>
        <v>692.6</v>
      </c>
      <c r="N50" s="60">
        <f t="shared" si="4"/>
        <v>692.6</v>
      </c>
      <c r="O50" s="60">
        <f t="shared" si="4"/>
        <v>692.6</v>
      </c>
      <c r="P50" s="60">
        <f t="shared" ref="P50" si="5">SUM(P11:P48)</f>
        <v>692.6</v>
      </c>
      <c r="Q50" s="60">
        <f t="shared" si="4"/>
        <v>692.6</v>
      </c>
      <c r="R50" s="60">
        <f t="shared" si="4"/>
        <v>692.6</v>
      </c>
      <c r="S50" s="60">
        <f t="shared" si="4"/>
        <v>692.6</v>
      </c>
      <c r="T50" s="60">
        <f t="shared" si="4"/>
        <v>693.1</v>
      </c>
      <c r="U50" s="60">
        <f t="shared" si="4"/>
        <v>693.1</v>
      </c>
      <c r="V50" s="60">
        <f t="shared" ref="V50:W50" si="6">SUM(V11:V48)</f>
        <v>693.1</v>
      </c>
      <c r="W50" s="60">
        <f t="shared" si="6"/>
        <v>693.1</v>
      </c>
      <c r="X50" s="60">
        <f t="shared" si="4"/>
        <v>693.1</v>
      </c>
      <c r="Y50" s="60">
        <f t="shared" si="4"/>
        <v>693.1</v>
      </c>
      <c r="Z50" s="60">
        <f t="shared" ref="Z50:AA50" si="7">SUM(Z11:Z48)</f>
        <v>693.1</v>
      </c>
      <c r="AA50" s="60">
        <f t="shared" si="7"/>
        <v>693.1</v>
      </c>
      <c r="AB50" s="60">
        <f t="shared" si="4"/>
        <v>698.6</v>
      </c>
      <c r="AC50" s="60">
        <f t="shared" si="4"/>
        <v>698.6</v>
      </c>
      <c r="AD50" s="60">
        <f t="shared" si="4"/>
        <v>698.6</v>
      </c>
      <c r="AE50" s="60">
        <f t="shared" si="4"/>
        <v>698.6</v>
      </c>
      <c r="AF50" s="60">
        <f t="shared" si="4"/>
        <v>698.6</v>
      </c>
      <c r="AG50" s="61">
        <f>SUM(AG13:AG48)</f>
        <v>922.14</v>
      </c>
      <c r="AH50" s="47">
        <f t="shared" si="2"/>
        <v>698.6</v>
      </c>
      <c r="AI50" s="48">
        <f t="shared" si="3"/>
        <v>692</v>
      </c>
      <c r="AK50" s="50"/>
    </row>
    <row r="51" spans="1:41" x14ac:dyDescent="0.25">
      <c r="A51" s="62" t="s">
        <v>59</v>
      </c>
      <c r="B51" s="45">
        <v>0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100</v>
      </c>
      <c r="K51" s="45">
        <v>400</v>
      </c>
      <c r="L51" s="45">
        <v>380</v>
      </c>
      <c r="M51" s="45">
        <v>385</v>
      </c>
      <c r="N51" s="63">
        <v>320</v>
      </c>
      <c r="O51" s="63">
        <v>160</v>
      </c>
      <c r="P51" s="63">
        <v>76</v>
      </c>
      <c r="Q51" s="63">
        <v>50</v>
      </c>
      <c r="R51" s="63">
        <v>30</v>
      </c>
      <c r="S51" s="45">
        <v>30</v>
      </c>
      <c r="T51" s="45">
        <v>20</v>
      </c>
      <c r="U51" s="45">
        <v>60</v>
      </c>
      <c r="V51" s="45">
        <v>300</v>
      </c>
      <c r="W51" s="45">
        <v>300</v>
      </c>
      <c r="X51" s="45">
        <v>440</v>
      </c>
      <c r="Y51" s="45">
        <v>400</v>
      </c>
      <c r="Z51" s="45">
        <v>400</v>
      </c>
      <c r="AA51" s="45">
        <v>360</v>
      </c>
      <c r="AB51" s="45">
        <v>270</v>
      </c>
      <c r="AC51" s="45">
        <v>140</v>
      </c>
      <c r="AD51" s="45">
        <v>140</v>
      </c>
      <c r="AE51" s="45">
        <v>15</v>
      </c>
      <c r="AF51" s="45">
        <v>15</v>
      </c>
      <c r="AG51" s="52">
        <v>456</v>
      </c>
      <c r="AH51" s="47">
        <f t="shared" si="2"/>
        <v>440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46</v>
      </c>
      <c r="C52" s="65">
        <v>46</v>
      </c>
      <c r="D52" s="65">
        <v>46</v>
      </c>
      <c r="E52" s="65">
        <v>46</v>
      </c>
      <c r="F52" s="65">
        <v>46</v>
      </c>
      <c r="G52" s="65">
        <v>46</v>
      </c>
      <c r="H52" s="65">
        <v>46</v>
      </c>
      <c r="I52" s="65">
        <v>46</v>
      </c>
      <c r="J52" s="65">
        <v>46</v>
      </c>
      <c r="K52" s="65">
        <v>46</v>
      </c>
      <c r="L52" s="65">
        <v>46</v>
      </c>
      <c r="M52" s="65">
        <v>46</v>
      </c>
      <c r="N52" s="65">
        <v>46</v>
      </c>
      <c r="O52" s="65">
        <v>46</v>
      </c>
      <c r="P52" s="65">
        <v>46</v>
      </c>
      <c r="Q52" s="65">
        <v>46</v>
      </c>
      <c r="R52" s="65">
        <v>46</v>
      </c>
      <c r="S52" s="65">
        <v>46</v>
      </c>
      <c r="T52" s="65">
        <v>46</v>
      </c>
      <c r="U52" s="65">
        <v>46</v>
      </c>
      <c r="V52" s="65">
        <v>46</v>
      </c>
      <c r="W52" s="65">
        <v>46</v>
      </c>
      <c r="X52" s="65">
        <v>46</v>
      </c>
      <c r="Y52" s="65">
        <v>46</v>
      </c>
      <c r="Z52" s="65">
        <v>46</v>
      </c>
      <c r="AA52" s="65">
        <v>46</v>
      </c>
      <c r="AB52" s="65">
        <v>46</v>
      </c>
      <c r="AC52" s="65">
        <v>46</v>
      </c>
      <c r="AD52" s="65">
        <v>46</v>
      </c>
      <c r="AE52" s="65">
        <v>46</v>
      </c>
      <c r="AF52" s="65">
        <v>46</v>
      </c>
      <c r="AG52" s="55">
        <v>60</v>
      </c>
      <c r="AH52" s="47">
        <f t="shared" si="2"/>
        <v>46</v>
      </c>
      <c r="AI52" s="48">
        <f t="shared" si="3"/>
        <v>46</v>
      </c>
      <c r="AK52" s="50"/>
    </row>
    <row r="53" spans="1:41" ht="15.75" thickBot="1" x14ac:dyDescent="0.3">
      <c r="A53" s="66" t="s">
        <v>61</v>
      </c>
      <c r="B53" s="67">
        <v>14</v>
      </c>
      <c r="C53" s="67">
        <v>14</v>
      </c>
      <c r="D53" s="67">
        <v>14</v>
      </c>
      <c r="E53" s="67">
        <v>13.7</v>
      </c>
      <c r="F53" s="67">
        <v>13.7</v>
      </c>
      <c r="G53" s="67">
        <v>13.7</v>
      </c>
      <c r="H53" s="67">
        <v>13.7</v>
      </c>
      <c r="I53" s="67">
        <v>16.8</v>
      </c>
      <c r="J53" s="67">
        <v>17.100000000000001</v>
      </c>
      <c r="K53" s="67">
        <v>17.100000000000001</v>
      </c>
      <c r="L53" s="67">
        <v>17.100000000000001</v>
      </c>
      <c r="M53" s="67">
        <v>14.2</v>
      </c>
      <c r="N53" s="67">
        <v>14.2</v>
      </c>
      <c r="O53" s="67">
        <v>14.2</v>
      </c>
      <c r="P53" s="67">
        <v>14.2</v>
      </c>
      <c r="Q53" s="67">
        <v>14.2</v>
      </c>
      <c r="R53" s="67">
        <v>14</v>
      </c>
      <c r="S53" s="67">
        <v>12.2</v>
      </c>
      <c r="T53" s="67">
        <v>12.1</v>
      </c>
      <c r="U53" s="67">
        <v>12.2</v>
      </c>
      <c r="V53" s="67">
        <v>12.2</v>
      </c>
      <c r="W53" s="67">
        <v>20</v>
      </c>
      <c r="X53" s="67">
        <v>20.100000000000001</v>
      </c>
      <c r="Y53" s="67">
        <v>20.100000000000001</v>
      </c>
      <c r="Z53" s="67">
        <v>20.100000000000001</v>
      </c>
      <c r="AA53" s="67">
        <v>20.100000000000001</v>
      </c>
      <c r="AB53" s="67">
        <v>20.100000000000001</v>
      </c>
      <c r="AC53" s="67">
        <v>20.100000000000001</v>
      </c>
      <c r="AD53" s="67">
        <v>20.100000000000001</v>
      </c>
      <c r="AE53" s="67">
        <v>20.100000000000001</v>
      </c>
      <c r="AF53" s="67">
        <v>20.100000000000001</v>
      </c>
      <c r="AG53" s="68">
        <v>22.1</v>
      </c>
      <c r="AH53" s="47">
        <f t="shared" si="2"/>
        <v>20.100000000000001</v>
      </c>
      <c r="AI53" s="48">
        <f t="shared" si="3"/>
        <v>12.1</v>
      </c>
      <c r="AK53" s="50"/>
    </row>
    <row r="54" spans="1:41" ht="15.75" thickBot="1" x14ac:dyDescent="0.3">
      <c r="A54" s="69" t="s">
        <v>62</v>
      </c>
      <c r="B54" s="60">
        <f t="shared" ref="B54:AG54" si="8">SUM(B51:B53)</f>
        <v>60</v>
      </c>
      <c r="C54" s="60">
        <f t="shared" si="8"/>
        <v>60</v>
      </c>
      <c r="D54" s="60">
        <f t="shared" si="8"/>
        <v>60</v>
      </c>
      <c r="E54" s="60">
        <f t="shared" si="8"/>
        <v>59.7</v>
      </c>
      <c r="F54" s="60">
        <f t="shared" si="8"/>
        <v>59.7</v>
      </c>
      <c r="G54" s="60">
        <f t="shared" si="8"/>
        <v>59.7</v>
      </c>
      <c r="H54" s="60">
        <f t="shared" si="8"/>
        <v>59.7</v>
      </c>
      <c r="I54" s="60">
        <f t="shared" si="8"/>
        <v>62.8</v>
      </c>
      <c r="J54" s="60">
        <f t="shared" si="8"/>
        <v>163.1</v>
      </c>
      <c r="K54" s="60">
        <f t="shared" si="8"/>
        <v>463.1</v>
      </c>
      <c r="L54" s="60">
        <f t="shared" si="8"/>
        <v>443.1</v>
      </c>
      <c r="M54" s="60">
        <f t="shared" si="8"/>
        <v>445.2</v>
      </c>
      <c r="N54" s="60">
        <f t="shared" si="8"/>
        <v>380.2</v>
      </c>
      <c r="O54" s="60">
        <f t="shared" si="8"/>
        <v>220.2</v>
      </c>
      <c r="P54" s="60">
        <f t="shared" ref="P54" si="9">SUM(P51:P53)</f>
        <v>136.19999999999999</v>
      </c>
      <c r="Q54" s="60">
        <f t="shared" si="8"/>
        <v>110.2</v>
      </c>
      <c r="R54" s="60">
        <f t="shared" si="8"/>
        <v>90</v>
      </c>
      <c r="S54" s="60">
        <f t="shared" si="8"/>
        <v>88.2</v>
      </c>
      <c r="T54" s="60">
        <f t="shared" si="8"/>
        <v>78.099999999999994</v>
      </c>
      <c r="U54" s="60">
        <f t="shared" si="8"/>
        <v>118.2</v>
      </c>
      <c r="V54" s="60">
        <f t="shared" ref="V54:W54" si="10">SUM(V51:V53)</f>
        <v>358.2</v>
      </c>
      <c r="W54" s="60">
        <f t="shared" si="10"/>
        <v>366</v>
      </c>
      <c r="X54" s="60">
        <f t="shared" si="8"/>
        <v>506.1</v>
      </c>
      <c r="Y54" s="60">
        <f t="shared" si="8"/>
        <v>466.1</v>
      </c>
      <c r="Z54" s="60">
        <f t="shared" ref="Z54:AA54" si="11">SUM(Z51:Z53)</f>
        <v>466.1</v>
      </c>
      <c r="AA54" s="60">
        <f t="shared" si="11"/>
        <v>426.1</v>
      </c>
      <c r="AB54" s="60">
        <f t="shared" si="8"/>
        <v>336.1</v>
      </c>
      <c r="AC54" s="60">
        <f t="shared" si="8"/>
        <v>206.1</v>
      </c>
      <c r="AD54" s="60">
        <f t="shared" si="8"/>
        <v>206.1</v>
      </c>
      <c r="AE54" s="60">
        <f t="shared" si="8"/>
        <v>81.099999999999994</v>
      </c>
      <c r="AF54" s="60">
        <f t="shared" si="8"/>
        <v>81.099999999999994</v>
      </c>
      <c r="AG54" s="61">
        <f t="shared" si="8"/>
        <v>538.1</v>
      </c>
      <c r="AH54" s="47">
        <f t="shared" si="2"/>
        <v>506.1</v>
      </c>
      <c r="AI54" s="48">
        <f t="shared" si="3"/>
        <v>59.7</v>
      </c>
      <c r="AK54" s="50"/>
    </row>
    <row r="55" spans="1:41" x14ac:dyDescent="0.25">
      <c r="A55" s="44" t="s">
        <v>63</v>
      </c>
      <c r="B55" s="45">
        <v>31.2</v>
      </c>
      <c r="C55" s="45">
        <v>48.1</v>
      </c>
      <c r="D55" s="45">
        <v>81.599999999999994</v>
      </c>
      <c r="E55" s="45">
        <v>81.099999999999994</v>
      </c>
      <c r="F55" s="45">
        <v>91</v>
      </c>
      <c r="G55" s="45">
        <v>91.3</v>
      </c>
      <c r="H55" s="45">
        <v>91.3</v>
      </c>
      <c r="I55" s="45">
        <v>97.9</v>
      </c>
      <c r="J55" s="45">
        <v>143.4</v>
      </c>
      <c r="K55" s="45">
        <v>145.69999999999999</v>
      </c>
      <c r="L55" s="45">
        <v>145.69999999999999</v>
      </c>
      <c r="M55" s="45">
        <v>132</v>
      </c>
      <c r="N55" s="45">
        <v>95</v>
      </c>
      <c r="O55" s="45">
        <v>95</v>
      </c>
      <c r="P55" s="45">
        <v>111.7</v>
      </c>
      <c r="Q55" s="45">
        <v>91</v>
      </c>
      <c r="R55" s="45">
        <v>89</v>
      </c>
      <c r="S55" s="45">
        <v>89</v>
      </c>
      <c r="T55" s="45">
        <v>81.099999999999994</v>
      </c>
      <c r="U55" s="45">
        <v>80.7</v>
      </c>
      <c r="V55" s="45">
        <v>130</v>
      </c>
      <c r="W55" s="45">
        <v>144</v>
      </c>
      <c r="X55" s="45">
        <v>144</v>
      </c>
      <c r="Y55" s="45">
        <v>144</v>
      </c>
      <c r="Z55" s="45">
        <v>144</v>
      </c>
      <c r="AA55" s="45">
        <v>144</v>
      </c>
      <c r="AB55" s="45">
        <v>144</v>
      </c>
      <c r="AC55" s="45">
        <v>144</v>
      </c>
      <c r="AD55" s="45">
        <v>144</v>
      </c>
      <c r="AE55" s="45">
        <v>61.5</v>
      </c>
      <c r="AF55" s="45">
        <v>30.9</v>
      </c>
      <c r="AG55" s="52">
        <v>144</v>
      </c>
      <c r="AH55" s="47">
        <f t="shared" si="2"/>
        <v>145.69999999999999</v>
      </c>
      <c r="AI55" s="48">
        <f t="shared" si="3"/>
        <v>30.9</v>
      </c>
      <c r="AK55" s="50"/>
    </row>
    <row r="56" spans="1:41" x14ac:dyDescent="0.25">
      <c r="A56" s="54" t="s">
        <v>64</v>
      </c>
      <c r="B56" s="65">
        <v>35</v>
      </c>
      <c r="C56" s="65">
        <v>35</v>
      </c>
      <c r="D56" s="65">
        <v>23.9</v>
      </c>
      <c r="E56" s="65">
        <v>44.1</v>
      </c>
      <c r="F56" s="65">
        <v>44.2</v>
      </c>
      <c r="G56" s="65">
        <v>43.8</v>
      </c>
      <c r="H56" s="65">
        <v>61</v>
      </c>
      <c r="I56" s="65">
        <v>50</v>
      </c>
      <c r="J56" s="65">
        <v>48.7</v>
      </c>
      <c r="K56" s="65">
        <v>68</v>
      </c>
      <c r="L56" s="65">
        <v>70.7</v>
      </c>
      <c r="M56" s="65">
        <v>71</v>
      </c>
      <c r="N56" s="65">
        <v>71</v>
      </c>
      <c r="O56" s="65">
        <v>71</v>
      </c>
      <c r="P56" s="65">
        <v>56.7</v>
      </c>
      <c r="Q56" s="65">
        <v>55</v>
      </c>
      <c r="R56" s="65">
        <v>44</v>
      </c>
      <c r="S56" s="65">
        <v>25</v>
      </c>
      <c r="T56" s="65">
        <v>24.6</v>
      </c>
      <c r="U56" s="65">
        <v>25.4</v>
      </c>
      <c r="V56" s="65">
        <v>70</v>
      </c>
      <c r="W56" s="65">
        <v>66</v>
      </c>
      <c r="X56" s="65">
        <v>69.8</v>
      </c>
      <c r="Y56" s="65">
        <v>69.8</v>
      </c>
      <c r="Z56" s="65">
        <v>69.8</v>
      </c>
      <c r="AA56" s="65">
        <v>70</v>
      </c>
      <c r="AB56" s="65">
        <v>70</v>
      </c>
      <c r="AC56" s="65">
        <v>70</v>
      </c>
      <c r="AD56" s="65">
        <v>70</v>
      </c>
      <c r="AE56" s="65">
        <v>48.3</v>
      </c>
      <c r="AF56" s="65">
        <v>24.8</v>
      </c>
      <c r="AG56" s="55">
        <v>70</v>
      </c>
      <c r="AH56" s="47">
        <f t="shared" si="2"/>
        <v>71</v>
      </c>
      <c r="AI56" s="48">
        <f t="shared" si="3"/>
        <v>23.9</v>
      </c>
      <c r="AK56" s="50"/>
    </row>
    <row r="57" spans="1:41" x14ac:dyDescent="0.25">
      <c r="A57" s="54" t="s">
        <v>65</v>
      </c>
      <c r="B57" s="65">
        <v>44.4</v>
      </c>
      <c r="C57" s="65">
        <v>69.400000000000006</v>
      </c>
      <c r="D57" s="65">
        <v>33.9</v>
      </c>
      <c r="E57" s="65">
        <v>40.4</v>
      </c>
      <c r="F57" s="65">
        <v>41.6</v>
      </c>
      <c r="G57" s="65">
        <v>40.1</v>
      </c>
      <c r="H57" s="65">
        <v>56.6</v>
      </c>
      <c r="I57" s="65">
        <v>55.5</v>
      </c>
      <c r="J57" s="65">
        <v>64.5</v>
      </c>
      <c r="K57" s="65">
        <v>69.3</v>
      </c>
      <c r="L57" s="65">
        <v>69.3</v>
      </c>
      <c r="M57" s="65">
        <v>69.3</v>
      </c>
      <c r="N57" s="65">
        <v>69.3</v>
      </c>
      <c r="O57" s="65">
        <v>69.3</v>
      </c>
      <c r="P57" s="65">
        <v>45</v>
      </c>
      <c r="Q57" s="65">
        <v>46</v>
      </c>
      <c r="R57" s="65">
        <v>46</v>
      </c>
      <c r="S57" s="65">
        <v>46</v>
      </c>
      <c r="T57" s="65">
        <v>46.7</v>
      </c>
      <c r="U57" s="65">
        <v>70.599999999999994</v>
      </c>
      <c r="V57" s="65">
        <v>69</v>
      </c>
      <c r="W57" s="65">
        <v>69</v>
      </c>
      <c r="X57" s="65">
        <v>69.3</v>
      </c>
      <c r="Y57" s="65">
        <v>69.3</v>
      </c>
      <c r="Z57" s="65">
        <v>69.3</v>
      </c>
      <c r="AA57" s="65">
        <v>68.599999999999994</v>
      </c>
      <c r="AB57" s="65">
        <v>68.599999999999994</v>
      </c>
      <c r="AC57" s="65">
        <v>68.599999999999994</v>
      </c>
      <c r="AD57" s="65">
        <v>68.599999999999994</v>
      </c>
      <c r="AE57" s="65">
        <v>55.5</v>
      </c>
      <c r="AF57" s="65">
        <v>32.799999999999997</v>
      </c>
      <c r="AG57" s="55">
        <v>69</v>
      </c>
      <c r="AH57" s="47">
        <f t="shared" si="2"/>
        <v>70.599999999999994</v>
      </c>
      <c r="AI57" s="48">
        <f t="shared" si="3"/>
        <v>32.799999999999997</v>
      </c>
      <c r="AK57" s="50"/>
    </row>
    <row r="58" spans="1:41" x14ac:dyDescent="0.25">
      <c r="A58" s="54" t="s">
        <v>66</v>
      </c>
      <c r="B58" s="65">
        <v>60.4</v>
      </c>
      <c r="C58" s="65">
        <v>60.4</v>
      </c>
      <c r="D58" s="65">
        <v>60.4</v>
      </c>
      <c r="E58" s="65">
        <v>60.4</v>
      </c>
      <c r="F58" s="65">
        <v>60.4</v>
      </c>
      <c r="G58" s="65">
        <v>60.4</v>
      </c>
      <c r="H58" s="65">
        <v>60.4</v>
      </c>
      <c r="I58" s="65">
        <v>60.4</v>
      </c>
      <c r="J58" s="65">
        <v>60.4</v>
      </c>
      <c r="K58" s="57">
        <v>60.9</v>
      </c>
      <c r="L58" s="57">
        <v>60.9</v>
      </c>
      <c r="M58" s="57">
        <v>60.9</v>
      </c>
      <c r="N58" s="57">
        <v>60.9</v>
      </c>
      <c r="O58" s="57">
        <v>60.9</v>
      </c>
      <c r="P58" s="57">
        <v>60.9</v>
      </c>
      <c r="Q58" s="57">
        <v>60.9</v>
      </c>
      <c r="R58" s="65">
        <v>60</v>
      </c>
      <c r="S58" s="65">
        <v>60</v>
      </c>
      <c r="T58" s="65">
        <v>60</v>
      </c>
      <c r="U58" s="65">
        <v>60</v>
      </c>
      <c r="V58" s="65">
        <v>55.9</v>
      </c>
      <c r="W58" s="65">
        <v>60.2</v>
      </c>
      <c r="X58" s="65">
        <v>60.2</v>
      </c>
      <c r="Y58" s="65">
        <v>60.2</v>
      </c>
      <c r="Z58" s="65">
        <v>60.2</v>
      </c>
      <c r="AA58" s="65">
        <v>58.4</v>
      </c>
      <c r="AB58" s="65">
        <v>58.4</v>
      </c>
      <c r="AC58" s="65">
        <v>58.4</v>
      </c>
      <c r="AD58" s="65">
        <v>58.4</v>
      </c>
      <c r="AE58" s="65">
        <v>58.4</v>
      </c>
      <c r="AF58" s="65">
        <v>60.9</v>
      </c>
      <c r="AG58" s="55">
        <v>60</v>
      </c>
      <c r="AH58" s="47">
        <f t="shared" si="2"/>
        <v>60.9</v>
      </c>
      <c r="AI58" s="48">
        <f t="shared" si="3"/>
        <v>55.9</v>
      </c>
      <c r="AK58" s="50"/>
    </row>
    <row r="59" spans="1:41" x14ac:dyDescent="0.25">
      <c r="A59" s="54" t="s">
        <v>67</v>
      </c>
      <c r="B59" s="65">
        <v>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10</v>
      </c>
      <c r="I59" s="65">
        <v>14</v>
      </c>
      <c r="J59" s="65">
        <v>14</v>
      </c>
      <c r="K59" s="65">
        <v>14</v>
      </c>
      <c r="L59" s="65">
        <v>25</v>
      </c>
      <c r="M59" s="65">
        <v>30</v>
      </c>
      <c r="N59" s="65">
        <v>30</v>
      </c>
      <c r="O59" s="65">
        <v>30</v>
      </c>
      <c r="P59" s="65">
        <v>29</v>
      </c>
      <c r="Q59" s="65">
        <v>10</v>
      </c>
      <c r="R59" s="65">
        <v>0</v>
      </c>
      <c r="S59" s="65">
        <v>0</v>
      </c>
      <c r="T59" s="65">
        <v>0</v>
      </c>
      <c r="U59" s="65">
        <v>0</v>
      </c>
      <c r="V59" s="65">
        <v>15</v>
      </c>
      <c r="W59" s="65">
        <v>29</v>
      </c>
      <c r="X59" s="65">
        <v>29</v>
      </c>
      <c r="Y59" s="65">
        <v>29</v>
      </c>
      <c r="Z59" s="65">
        <v>23</v>
      </c>
      <c r="AA59" s="65">
        <v>15</v>
      </c>
      <c r="AB59" s="65">
        <v>15</v>
      </c>
      <c r="AC59" s="65">
        <v>12</v>
      </c>
      <c r="AD59" s="65">
        <v>12</v>
      </c>
      <c r="AE59" s="65">
        <v>0</v>
      </c>
      <c r="AF59" s="65">
        <v>0</v>
      </c>
      <c r="AG59" s="55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0.3</v>
      </c>
      <c r="M60" s="65">
        <v>0.3</v>
      </c>
      <c r="N60" s="65">
        <v>0.3</v>
      </c>
      <c r="O60" s="65">
        <v>0.3</v>
      </c>
      <c r="P60" s="65">
        <v>0.3</v>
      </c>
      <c r="Q60" s="65">
        <v>8</v>
      </c>
      <c r="R60" s="65">
        <v>12</v>
      </c>
      <c r="S60" s="65">
        <v>8.8000000000000007</v>
      </c>
      <c r="T60" s="65">
        <v>4.9000000000000004</v>
      </c>
      <c r="U60" s="65">
        <v>1.9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25</v>
      </c>
      <c r="AH60" s="47">
        <f t="shared" si="2"/>
        <v>12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4" t="s">
        <v>70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5">
        <v>15</v>
      </c>
      <c r="AH62" s="47">
        <f t="shared" si="2"/>
        <v>0</v>
      </c>
      <c r="AI62" s="48">
        <f t="shared" si="3"/>
        <v>0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12.7</v>
      </c>
      <c r="C63" s="65">
        <v>12.7</v>
      </c>
      <c r="D63" s="65">
        <v>12.7</v>
      </c>
      <c r="E63" s="65">
        <v>12.7</v>
      </c>
      <c r="F63" s="65">
        <v>12.7</v>
      </c>
      <c r="G63" s="65">
        <v>12.7</v>
      </c>
      <c r="H63" s="65">
        <v>12.7</v>
      </c>
      <c r="I63" s="65">
        <v>12.7</v>
      </c>
      <c r="J63" s="65">
        <v>12.7</v>
      </c>
      <c r="K63" s="65">
        <v>11.9</v>
      </c>
      <c r="L63" s="65">
        <v>11.9</v>
      </c>
      <c r="M63" s="65">
        <v>11.9</v>
      </c>
      <c r="N63" s="65">
        <v>11.9</v>
      </c>
      <c r="O63" s="65">
        <v>11.9</v>
      </c>
      <c r="P63" s="65">
        <v>11.9</v>
      </c>
      <c r="Q63" s="65">
        <v>11.9</v>
      </c>
      <c r="R63" s="65">
        <v>11.9</v>
      </c>
      <c r="S63" s="65">
        <v>11.9</v>
      </c>
      <c r="T63" s="65">
        <v>11.9</v>
      </c>
      <c r="U63" s="65">
        <v>11.9</v>
      </c>
      <c r="V63" s="65">
        <v>11.9</v>
      </c>
      <c r="W63" s="65">
        <v>11.9</v>
      </c>
      <c r="X63" s="65">
        <v>11.9</v>
      </c>
      <c r="Y63" s="65">
        <v>11.9</v>
      </c>
      <c r="Z63" s="65">
        <v>11.9</v>
      </c>
      <c r="AA63" s="65">
        <v>11.9</v>
      </c>
      <c r="AB63" s="65">
        <v>11.9</v>
      </c>
      <c r="AC63" s="65">
        <v>11.9</v>
      </c>
      <c r="AD63" s="65">
        <v>11.9</v>
      </c>
      <c r="AE63" s="65">
        <v>11.9</v>
      </c>
      <c r="AF63" s="65">
        <v>11.9</v>
      </c>
      <c r="AG63" s="55">
        <v>14.1</v>
      </c>
      <c r="AH63" s="47">
        <f t="shared" si="2"/>
        <v>12.7</v>
      </c>
      <c r="AI63" s="48">
        <f t="shared" si="3"/>
        <v>11.9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6.9</v>
      </c>
      <c r="C64" s="65">
        <v>6.9</v>
      </c>
      <c r="D64" s="65">
        <v>6.9</v>
      </c>
      <c r="E64" s="65">
        <v>6.9</v>
      </c>
      <c r="F64" s="65">
        <v>6.9</v>
      </c>
      <c r="G64" s="65">
        <v>6.9</v>
      </c>
      <c r="H64" s="65">
        <v>6.9</v>
      </c>
      <c r="I64" s="65">
        <v>6.9</v>
      </c>
      <c r="J64" s="65">
        <v>6.9</v>
      </c>
      <c r="K64" s="65">
        <v>6.8</v>
      </c>
      <c r="L64" s="65">
        <v>6.8</v>
      </c>
      <c r="M64" s="65">
        <v>6.8</v>
      </c>
      <c r="N64" s="65">
        <v>6.8</v>
      </c>
      <c r="O64" s="65">
        <v>6.8</v>
      </c>
      <c r="P64" s="65">
        <v>6.8</v>
      </c>
      <c r="Q64" s="65">
        <v>6.8</v>
      </c>
      <c r="R64" s="65">
        <v>6.8</v>
      </c>
      <c r="S64" s="65">
        <v>6.8</v>
      </c>
      <c r="T64" s="65">
        <v>6.8</v>
      </c>
      <c r="U64" s="65">
        <v>6.8</v>
      </c>
      <c r="V64" s="65">
        <v>6.8</v>
      </c>
      <c r="W64" s="65">
        <v>6.8</v>
      </c>
      <c r="X64" s="65">
        <v>6.8</v>
      </c>
      <c r="Y64" s="65">
        <v>6.8</v>
      </c>
      <c r="Z64" s="65">
        <v>6.8</v>
      </c>
      <c r="AA64" s="65">
        <v>6.8</v>
      </c>
      <c r="AB64" s="65">
        <v>6.8</v>
      </c>
      <c r="AC64" s="65">
        <v>6.8</v>
      </c>
      <c r="AD64" s="65">
        <v>6.8</v>
      </c>
      <c r="AE64" s="65">
        <v>6.8</v>
      </c>
      <c r="AF64" s="65">
        <v>6.8</v>
      </c>
      <c r="AG64" s="55">
        <v>14</v>
      </c>
      <c r="AH64" s="47">
        <f t="shared" si="2"/>
        <v>6.9</v>
      </c>
      <c r="AI64" s="48">
        <f t="shared" si="3"/>
        <v>6.8</v>
      </c>
      <c r="AK64" s="50"/>
    </row>
    <row r="65" spans="1:40" x14ac:dyDescent="0.25">
      <c r="A65" s="54" t="s">
        <v>73</v>
      </c>
      <c r="B65" s="65">
        <v>6.5</v>
      </c>
      <c r="C65" s="65">
        <v>6.5</v>
      </c>
      <c r="D65" s="65">
        <v>6.5</v>
      </c>
      <c r="E65" s="65">
        <v>6.5</v>
      </c>
      <c r="F65" s="65">
        <v>6.5</v>
      </c>
      <c r="G65" s="65">
        <v>6.5</v>
      </c>
      <c r="H65" s="65">
        <v>6.5</v>
      </c>
      <c r="I65" s="65">
        <v>6.5</v>
      </c>
      <c r="J65" s="65">
        <v>6.5</v>
      </c>
      <c r="K65" s="65">
        <v>6.5</v>
      </c>
      <c r="L65" s="65">
        <v>6.5</v>
      </c>
      <c r="M65" s="65">
        <v>6.5</v>
      </c>
      <c r="N65" s="65">
        <v>6.5</v>
      </c>
      <c r="O65" s="65">
        <v>6.5</v>
      </c>
      <c r="P65" s="65">
        <v>6.5</v>
      </c>
      <c r="Q65" s="65">
        <v>6.5</v>
      </c>
      <c r="R65" s="65">
        <v>6.5</v>
      </c>
      <c r="S65" s="65">
        <v>6.5</v>
      </c>
      <c r="T65" s="65">
        <v>6.5</v>
      </c>
      <c r="U65" s="65">
        <v>6.5</v>
      </c>
      <c r="V65" s="65">
        <v>6.5</v>
      </c>
      <c r="W65" s="65">
        <v>6.5</v>
      </c>
      <c r="X65" s="65">
        <v>6.5</v>
      </c>
      <c r="Y65" s="65">
        <v>6.5</v>
      </c>
      <c r="Z65" s="65">
        <v>6.5</v>
      </c>
      <c r="AA65" s="65">
        <v>6.5</v>
      </c>
      <c r="AB65" s="65">
        <v>6.5</v>
      </c>
      <c r="AC65" s="65">
        <v>6.5</v>
      </c>
      <c r="AD65" s="65">
        <v>6.5</v>
      </c>
      <c r="AE65" s="65">
        <v>6.5</v>
      </c>
      <c r="AF65" s="65">
        <v>6.5</v>
      </c>
      <c r="AG65" s="55">
        <v>10.050000000000001</v>
      </c>
      <c r="AH65" s="47">
        <f t="shared" si="2"/>
        <v>6.5</v>
      </c>
      <c r="AI65" s="48">
        <f t="shared" si="3"/>
        <v>6.5</v>
      </c>
      <c r="AK65" s="50"/>
    </row>
    <row r="66" spans="1:40" x14ac:dyDescent="0.25">
      <c r="A66" s="54" t="s">
        <v>74</v>
      </c>
      <c r="B66" s="65">
        <v>4.5</v>
      </c>
      <c r="C66" s="65">
        <v>4.5</v>
      </c>
      <c r="D66" s="65">
        <v>4.5</v>
      </c>
      <c r="E66" s="65">
        <v>4.5</v>
      </c>
      <c r="F66" s="65">
        <v>4.5</v>
      </c>
      <c r="G66" s="65">
        <v>4.5</v>
      </c>
      <c r="H66" s="65">
        <v>4.5</v>
      </c>
      <c r="I66" s="65">
        <v>4.5</v>
      </c>
      <c r="J66" s="65">
        <v>4.5</v>
      </c>
      <c r="K66" s="65">
        <v>4.5</v>
      </c>
      <c r="L66" s="65">
        <v>4.5</v>
      </c>
      <c r="M66" s="65">
        <v>4.5</v>
      </c>
      <c r="N66" s="65">
        <v>4.5</v>
      </c>
      <c r="O66" s="65">
        <v>4.5</v>
      </c>
      <c r="P66" s="65">
        <v>4.5</v>
      </c>
      <c r="Q66" s="65">
        <v>4.5</v>
      </c>
      <c r="R66" s="65">
        <v>4.5</v>
      </c>
      <c r="S66" s="65">
        <v>4.5</v>
      </c>
      <c r="T66" s="65">
        <v>4.5</v>
      </c>
      <c r="U66" s="65">
        <v>4.5</v>
      </c>
      <c r="V66" s="65">
        <v>4.5</v>
      </c>
      <c r="W66" s="65">
        <v>4.5</v>
      </c>
      <c r="X66" s="65">
        <v>4.5</v>
      </c>
      <c r="Y66" s="65">
        <v>4.5</v>
      </c>
      <c r="Z66" s="65">
        <v>4.5</v>
      </c>
      <c r="AA66" s="65">
        <v>4.5</v>
      </c>
      <c r="AB66" s="65">
        <v>4.5</v>
      </c>
      <c r="AC66" s="65">
        <v>4.5</v>
      </c>
      <c r="AD66" s="65">
        <v>4.5</v>
      </c>
      <c r="AE66" s="65">
        <v>4.5</v>
      </c>
      <c r="AF66" s="65">
        <v>4.5</v>
      </c>
      <c r="AG66" s="55">
        <v>6.2</v>
      </c>
      <c r="AH66" s="47">
        <f t="shared" si="2"/>
        <v>4.5</v>
      </c>
      <c r="AI66" s="48">
        <f t="shared" si="3"/>
        <v>4.5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4" t="s">
        <v>76</v>
      </c>
      <c r="B68" s="60">
        <f t="shared" ref="B68:AG68" si="12">SUM(B55:B67)</f>
        <v>221.14</v>
      </c>
      <c r="C68" s="60">
        <f t="shared" si="12"/>
        <v>263.04000000000002</v>
      </c>
      <c r="D68" s="60">
        <f t="shared" si="12"/>
        <v>249.94</v>
      </c>
      <c r="E68" s="60">
        <f t="shared" si="12"/>
        <v>276.14</v>
      </c>
      <c r="F68" s="60">
        <f t="shared" si="12"/>
        <v>287.33999999999997</v>
      </c>
      <c r="G68" s="60">
        <f t="shared" si="12"/>
        <v>285.74</v>
      </c>
      <c r="H68" s="60">
        <f t="shared" si="12"/>
        <v>329.44</v>
      </c>
      <c r="I68" s="60">
        <f t="shared" si="12"/>
        <v>327.94</v>
      </c>
      <c r="J68" s="60">
        <f t="shared" si="12"/>
        <v>381.14</v>
      </c>
      <c r="K68" s="60">
        <f t="shared" si="12"/>
        <v>407.14</v>
      </c>
      <c r="L68" s="60">
        <f t="shared" si="12"/>
        <v>421.14</v>
      </c>
      <c r="M68" s="60">
        <f t="shared" si="12"/>
        <v>412.74</v>
      </c>
      <c r="N68" s="60">
        <f t="shared" si="12"/>
        <v>375.74</v>
      </c>
      <c r="O68" s="60">
        <f t="shared" si="12"/>
        <v>375.74</v>
      </c>
      <c r="P68" s="60">
        <f t="shared" ref="P68" si="13">SUM(P55:P67)</f>
        <v>352.84000000000003</v>
      </c>
      <c r="Q68" s="60">
        <f t="shared" si="12"/>
        <v>320.14</v>
      </c>
      <c r="R68" s="60">
        <f t="shared" si="12"/>
        <v>300.24</v>
      </c>
      <c r="S68" s="60">
        <f t="shared" si="12"/>
        <v>278.04000000000002</v>
      </c>
      <c r="T68" s="60">
        <f t="shared" si="12"/>
        <v>266.54000000000002</v>
      </c>
      <c r="U68" s="60">
        <f t="shared" si="12"/>
        <v>287.84000000000003</v>
      </c>
      <c r="V68" s="60">
        <f t="shared" ref="V68:W68" si="14">SUM(V55:V67)</f>
        <v>389.14</v>
      </c>
      <c r="W68" s="60">
        <f t="shared" si="14"/>
        <v>417.44</v>
      </c>
      <c r="X68" s="60">
        <f t="shared" si="12"/>
        <v>421.54</v>
      </c>
      <c r="Y68" s="60">
        <f t="shared" si="12"/>
        <v>421.54</v>
      </c>
      <c r="Z68" s="60">
        <f t="shared" ref="Z68:AA68" si="15">SUM(Z55:Z67)</f>
        <v>415.54</v>
      </c>
      <c r="AA68" s="60">
        <f t="shared" si="15"/>
        <v>405.24</v>
      </c>
      <c r="AB68" s="60">
        <f t="shared" si="12"/>
        <v>405.24</v>
      </c>
      <c r="AC68" s="60">
        <f t="shared" si="12"/>
        <v>402.24</v>
      </c>
      <c r="AD68" s="60">
        <f t="shared" si="12"/>
        <v>402.24</v>
      </c>
      <c r="AE68" s="60">
        <f t="shared" si="12"/>
        <v>272.94000000000005</v>
      </c>
      <c r="AF68" s="60">
        <f t="shared" si="12"/>
        <v>198.64000000000001</v>
      </c>
      <c r="AG68" s="61">
        <f t="shared" si="12"/>
        <v>489.91</v>
      </c>
      <c r="AH68" s="47">
        <f t="shared" si="2"/>
        <v>421.54</v>
      </c>
      <c r="AI68" s="48">
        <f t="shared" si="3"/>
        <v>198.64000000000001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20</v>
      </c>
      <c r="N69" s="45">
        <v>30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35</v>
      </c>
      <c r="Y69" s="45">
        <v>35</v>
      </c>
      <c r="Z69" s="45">
        <v>0</v>
      </c>
      <c r="AA69" s="45">
        <v>0</v>
      </c>
      <c r="AB69" s="45"/>
      <c r="AC69" s="45"/>
      <c r="AD69" s="45"/>
      <c r="AE69" s="45"/>
      <c r="AF69" s="45"/>
      <c r="AG69" s="52">
        <v>60</v>
      </c>
      <c r="AH69" s="47">
        <f t="shared" si="2"/>
        <v>35</v>
      </c>
      <c r="AI69" s="48">
        <f t="shared" si="3"/>
        <v>0</v>
      </c>
      <c r="AK69" s="50"/>
    </row>
    <row r="70" spans="1:40" x14ac:dyDescent="0.25">
      <c r="A70" s="54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4.7</v>
      </c>
      <c r="K70" s="45">
        <v>0</v>
      </c>
      <c r="L70" s="45">
        <v>0</v>
      </c>
      <c r="M70" s="65">
        <v>5</v>
      </c>
      <c r="N70" s="65">
        <v>0</v>
      </c>
      <c r="O70" s="65">
        <v>5.8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25.2</v>
      </c>
      <c r="Y70" s="65">
        <v>20</v>
      </c>
      <c r="Z70" s="65">
        <v>0</v>
      </c>
      <c r="AA70" s="65">
        <v>0</v>
      </c>
      <c r="AB70" s="65"/>
      <c r="AC70" s="65"/>
      <c r="AD70" s="65"/>
      <c r="AE70" s="65"/>
      <c r="AF70" s="65"/>
      <c r="AG70" s="55">
        <v>32</v>
      </c>
      <c r="AH70" s="47">
        <f t="shared" si="2"/>
        <v>25.2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1.7</v>
      </c>
      <c r="K71" s="45">
        <v>0</v>
      </c>
      <c r="L71" s="45">
        <v>0</v>
      </c>
      <c r="M71" s="67">
        <v>2</v>
      </c>
      <c r="N71" s="67">
        <v>0</v>
      </c>
      <c r="O71" s="67">
        <v>2.1</v>
      </c>
      <c r="P71" s="67">
        <v>0</v>
      </c>
      <c r="Q71" s="67">
        <v>0</v>
      </c>
      <c r="R71" s="67">
        <v>0</v>
      </c>
      <c r="S71" s="67">
        <v>0</v>
      </c>
      <c r="T71" s="67">
        <v>0</v>
      </c>
      <c r="U71" s="67">
        <v>0</v>
      </c>
      <c r="V71" s="67">
        <v>0</v>
      </c>
      <c r="W71" s="67">
        <v>0</v>
      </c>
      <c r="X71" s="67">
        <v>9.1999999999999993</v>
      </c>
      <c r="Y71" s="67">
        <v>7</v>
      </c>
      <c r="Z71" s="67">
        <v>0</v>
      </c>
      <c r="AA71" s="67">
        <v>0</v>
      </c>
      <c r="AB71" s="67"/>
      <c r="AC71" s="67"/>
      <c r="AD71" s="67"/>
      <c r="AE71" s="67"/>
      <c r="AF71" s="67"/>
      <c r="AG71" s="68">
        <v>14</v>
      </c>
      <c r="AH71" s="47">
        <f t="shared" si="2"/>
        <v>9.1999999999999993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6">M69+M70+M71</f>
        <v>27</v>
      </c>
      <c r="N72" s="60">
        <f t="shared" si="16"/>
        <v>30</v>
      </c>
      <c r="O72" s="60">
        <f t="shared" si="16"/>
        <v>7.9</v>
      </c>
      <c r="P72" s="60">
        <f t="shared" ref="P72" si="17">P69+P70+P71</f>
        <v>0</v>
      </c>
      <c r="Q72" s="60">
        <f t="shared" si="16"/>
        <v>0</v>
      </c>
      <c r="R72" s="60">
        <f t="shared" si="16"/>
        <v>0</v>
      </c>
      <c r="S72" s="60">
        <f t="shared" si="16"/>
        <v>0</v>
      </c>
      <c r="T72" s="60">
        <f t="shared" si="16"/>
        <v>0</v>
      </c>
      <c r="U72" s="60">
        <f t="shared" si="16"/>
        <v>0</v>
      </c>
      <c r="V72" s="60">
        <f t="shared" ref="V72:W72" si="18">V69+V70+V71</f>
        <v>0</v>
      </c>
      <c r="W72" s="60">
        <f t="shared" si="18"/>
        <v>0</v>
      </c>
      <c r="X72" s="60">
        <f t="shared" si="16"/>
        <v>69.400000000000006</v>
      </c>
      <c r="Y72" s="60">
        <f t="shared" si="16"/>
        <v>62</v>
      </c>
      <c r="Z72" s="60">
        <f t="shared" ref="Z72:AA72" si="19">Z69+Z70+Z71</f>
        <v>0</v>
      </c>
      <c r="AA72" s="60">
        <f t="shared" si="19"/>
        <v>0</v>
      </c>
      <c r="AB72" s="60">
        <f t="shared" si="16"/>
        <v>0</v>
      </c>
      <c r="AC72" s="60">
        <f t="shared" si="16"/>
        <v>0</v>
      </c>
      <c r="AD72" s="60">
        <f t="shared" si="16"/>
        <v>0</v>
      </c>
      <c r="AE72" s="60">
        <f t="shared" si="16"/>
        <v>0</v>
      </c>
      <c r="AF72" s="60">
        <f t="shared" si="16"/>
        <v>0</v>
      </c>
      <c r="AG72" s="61">
        <f>SUM(AG69:AG71)</f>
        <v>106</v>
      </c>
      <c r="AH72" s="47">
        <f t="shared" si="2"/>
        <v>69.400000000000006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24.6</v>
      </c>
      <c r="C73" s="45">
        <v>22.3</v>
      </c>
      <c r="D73" s="45">
        <v>20.7</v>
      </c>
      <c r="E73" s="45">
        <v>22</v>
      </c>
      <c r="F73" s="45">
        <v>26</v>
      </c>
      <c r="G73" s="45">
        <v>33</v>
      </c>
      <c r="H73" s="45">
        <v>35</v>
      </c>
      <c r="I73" s="45">
        <v>41.3</v>
      </c>
      <c r="J73" s="45">
        <v>45</v>
      </c>
      <c r="K73" s="45">
        <v>56.32</v>
      </c>
      <c r="L73" s="45">
        <v>57</v>
      </c>
      <c r="M73" s="45">
        <v>53</v>
      </c>
      <c r="N73" s="45">
        <v>66</v>
      </c>
      <c r="O73" s="45">
        <v>54</v>
      </c>
      <c r="P73" s="45">
        <v>52.4</v>
      </c>
      <c r="Q73" s="45">
        <v>53</v>
      </c>
      <c r="R73" s="45">
        <v>46</v>
      </c>
      <c r="S73" s="45">
        <v>42.4</v>
      </c>
      <c r="T73" s="45">
        <v>40.9</v>
      </c>
      <c r="U73" s="45">
        <v>54.8</v>
      </c>
      <c r="V73" s="45">
        <v>33</v>
      </c>
      <c r="W73" s="45">
        <v>24</v>
      </c>
      <c r="X73" s="45">
        <v>30.2</v>
      </c>
      <c r="Y73" s="45">
        <v>17</v>
      </c>
      <c r="Z73" s="45">
        <v>14</v>
      </c>
      <c r="AA73" s="45">
        <v>16</v>
      </c>
      <c r="AB73" s="45">
        <v>22.7</v>
      </c>
      <c r="AC73" s="45">
        <v>29.7</v>
      </c>
      <c r="AD73" s="45">
        <v>23.7</v>
      </c>
      <c r="AE73" s="45">
        <v>24.2</v>
      </c>
      <c r="AF73" s="45">
        <v>25.4</v>
      </c>
      <c r="AG73" s="52"/>
      <c r="AH73" s="47">
        <f t="shared" si="2"/>
        <v>66</v>
      </c>
      <c r="AI73" s="48">
        <f t="shared" si="3"/>
        <v>14</v>
      </c>
      <c r="AK73" s="50"/>
    </row>
    <row r="74" spans="1:40" x14ac:dyDescent="0.25">
      <c r="A74" s="54" t="s">
        <v>82</v>
      </c>
      <c r="B74" s="65"/>
      <c r="C74" s="65"/>
      <c r="D74" s="65"/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/>
      <c r="N74" s="65"/>
      <c r="O74" s="65"/>
      <c r="P74" s="65"/>
      <c r="Q74" s="65"/>
      <c r="R74" s="65"/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/>
      <c r="AC74" s="65"/>
      <c r="AD74" s="65"/>
      <c r="AE74" s="65"/>
      <c r="AF74" s="65"/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80</v>
      </c>
      <c r="C75" s="65">
        <v>24</v>
      </c>
      <c r="D75" s="65">
        <v>-6.4</v>
      </c>
      <c r="E75" s="65">
        <v>-30</v>
      </c>
      <c r="F75" s="65">
        <v>6.2</v>
      </c>
      <c r="G75" s="65">
        <v>33.4</v>
      </c>
      <c r="H75" s="65">
        <v>120.9</v>
      </c>
      <c r="I75" s="65">
        <v>184.4</v>
      </c>
      <c r="J75" s="65">
        <v>174</v>
      </c>
      <c r="K75" s="65">
        <v>65.8</v>
      </c>
      <c r="L75" s="65">
        <v>86.6</v>
      </c>
      <c r="M75" s="65">
        <v>-13</v>
      </c>
      <c r="N75" s="65">
        <v>75</v>
      </c>
      <c r="O75" s="65">
        <v>203</v>
      </c>
      <c r="P75" s="65">
        <v>215.7</v>
      </c>
      <c r="Q75" s="65">
        <v>227</v>
      </c>
      <c r="R75" s="65">
        <v>237</v>
      </c>
      <c r="S75" s="65">
        <v>256.8</v>
      </c>
      <c r="T75" s="65">
        <v>243</v>
      </c>
      <c r="U75" s="65">
        <v>210</v>
      </c>
      <c r="V75" s="65">
        <v>0</v>
      </c>
      <c r="W75" s="65">
        <v>0</v>
      </c>
      <c r="X75" s="65">
        <v>0.5</v>
      </c>
      <c r="Y75" s="65">
        <v>-5</v>
      </c>
      <c r="Z75" s="65">
        <v>0</v>
      </c>
      <c r="AA75" s="65">
        <v>-4</v>
      </c>
      <c r="AB75" s="65">
        <v>17</v>
      </c>
      <c r="AC75" s="65">
        <v>88</v>
      </c>
      <c r="AD75" s="65">
        <v>93</v>
      </c>
      <c r="AE75" s="65">
        <v>95</v>
      </c>
      <c r="AF75" s="65">
        <v>101.4</v>
      </c>
      <c r="AG75" s="75"/>
      <c r="AH75" s="47">
        <f t="shared" si="2"/>
        <v>256.8</v>
      </c>
      <c r="AI75" s="48">
        <f t="shared" si="3"/>
        <v>-30</v>
      </c>
      <c r="AK75" s="50"/>
    </row>
    <row r="76" spans="1:40" x14ac:dyDescent="0.25">
      <c r="A76" s="54" t="s">
        <v>84</v>
      </c>
      <c r="B76" s="65"/>
      <c r="C76" s="65"/>
      <c r="D76" s="65"/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/>
      <c r="N76" s="76"/>
      <c r="O76" s="76"/>
      <c r="P76" s="76"/>
      <c r="Q76" s="76"/>
      <c r="R76" s="76"/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/>
      <c r="AC76" s="76"/>
      <c r="AD76" s="65"/>
      <c r="AE76" s="76"/>
      <c r="AF76" s="76"/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/>
      <c r="C77" s="45"/>
      <c r="D77" s="65"/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/>
      <c r="N77" s="45"/>
      <c r="O77" s="45"/>
      <c r="P77" s="45"/>
      <c r="Q77" s="45"/>
      <c r="R77" s="45"/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/>
      <c r="AC77" s="45"/>
      <c r="AD77" s="45"/>
      <c r="AE77" s="45"/>
      <c r="AF77" s="45"/>
      <c r="AG77" s="75"/>
      <c r="AH77" s="47">
        <f t="shared" ref="AH77:AH120" si="20">MAX(B77:AF77)</f>
        <v>0</v>
      </c>
      <c r="AI77" s="48">
        <f t="shared" ref="AI77:AI120" si="21">MIN(B77:AF77)</f>
        <v>0</v>
      </c>
      <c r="AK77" s="50"/>
    </row>
    <row r="78" spans="1:40" x14ac:dyDescent="0.25">
      <c r="A78" s="54" t="s">
        <v>86</v>
      </c>
      <c r="B78" s="45"/>
      <c r="C78" s="77"/>
      <c r="D78" s="65"/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/>
      <c r="N78" s="77"/>
      <c r="O78" s="77"/>
      <c r="P78" s="77"/>
      <c r="Q78" s="77"/>
      <c r="R78" s="77"/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/>
      <c r="AC78" s="77"/>
      <c r="AD78" s="77"/>
      <c r="AE78" s="77"/>
      <c r="AF78" s="77"/>
      <c r="AG78" s="75"/>
      <c r="AH78" s="47">
        <f t="shared" si="20"/>
        <v>0</v>
      </c>
      <c r="AI78" s="48">
        <f t="shared" si="21"/>
        <v>0</v>
      </c>
      <c r="AK78" s="50"/>
    </row>
    <row r="79" spans="1:40" ht="15.75" thickBot="1" x14ac:dyDescent="0.3">
      <c r="A79" s="54" t="s">
        <v>87</v>
      </c>
      <c r="B79" s="45"/>
      <c r="C79" s="77"/>
      <c r="D79" s="65"/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/>
      <c r="N79" s="77"/>
      <c r="O79" s="77"/>
      <c r="P79" s="77"/>
      <c r="Q79" s="77"/>
      <c r="R79" s="77"/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/>
      <c r="AC79" s="77"/>
      <c r="AD79" s="77"/>
      <c r="AE79" s="77"/>
      <c r="AF79" s="77"/>
      <c r="AG79" s="75"/>
      <c r="AH79" s="47">
        <f t="shared" si="20"/>
        <v>0</v>
      </c>
      <c r="AI79" s="48">
        <f t="shared" si="21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/>
      <c r="C80" s="77"/>
      <c r="D80" s="65"/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/>
      <c r="N80" s="77"/>
      <c r="O80" s="77"/>
      <c r="P80" s="77"/>
      <c r="Q80" s="77"/>
      <c r="R80" s="77"/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/>
      <c r="AC80" s="77"/>
      <c r="AD80" s="77"/>
      <c r="AE80" s="77"/>
      <c r="AF80" s="77"/>
      <c r="AG80" s="75"/>
      <c r="AH80" s="47">
        <f t="shared" si="20"/>
        <v>0</v>
      </c>
      <c r="AI80" s="48">
        <f t="shared" si="21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/>
      <c r="C81" s="77"/>
      <c r="D81" s="65"/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/>
      <c r="N81" s="77"/>
      <c r="O81" s="77"/>
      <c r="P81" s="77"/>
      <c r="Q81" s="77"/>
      <c r="R81" s="77"/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/>
      <c r="AC81" s="77"/>
      <c r="AD81" s="77"/>
      <c r="AE81" s="77"/>
      <c r="AF81" s="77"/>
      <c r="AG81" s="75"/>
      <c r="AH81" s="47">
        <f t="shared" si="20"/>
        <v>0</v>
      </c>
      <c r="AI81" s="48">
        <f t="shared" si="21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/>
      <c r="C82" s="77"/>
      <c r="D82" s="65"/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/>
      <c r="N82" s="77"/>
      <c r="O82" s="77"/>
      <c r="P82" s="77"/>
      <c r="Q82" s="77"/>
      <c r="R82" s="77"/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/>
      <c r="AC82" s="77"/>
      <c r="AD82" s="77"/>
      <c r="AE82" s="77"/>
      <c r="AF82" s="77"/>
      <c r="AG82" s="85"/>
      <c r="AH82" s="47">
        <f t="shared" si="20"/>
        <v>0</v>
      </c>
      <c r="AI82" s="48">
        <f t="shared" si="21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/>
      <c r="C83" s="77"/>
      <c r="D83" s="65"/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/>
      <c r="N83" s="77"/>
      <c r="O83" s="77"/>
      <c r="P83" s="77"/>
      <c r="Q83" s="77"/>
      <c r="R83" s="77"/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/>
      <c r="AC83" s="77"/>
      <c r="AD83" s="77"/>
      <c r="AE83" s="77"/>
      <c r="AF83" s="77"/>
      <c r="AG83" s="85"/>
      <c r="AH83" s="47">
        <f t="shared" si="20"/>
        <v>0</v>
      </c>
      <c r="AI83" s="48">
        <f t="shared" si="21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AF84" si="22">SUMIF(B73:B83,"&gt;0")</f>
        <v>104.6</v>
      </c>
      <c r="C84" s="60">
        <f t="shared" si="22"/>
        <v>46.3</v>
      </c>
      <c r="D84" s="60">
        <f t="shared" si="22"/>
        <v>20.7</v>
      </c>
      <c r="E84" s="60">
        <f t="shared" si="22"/>
        <v>22</v>
      </c>
      <c r="F84" s="60">
        <f t="shared" si="22"/>
        <v>32.200000000000003</v>
      </c>
      <c r="G84" s="60">
        <f t="shared" si="22"/>
        <v>66.400000000000006</v>
      </c>
      <c r="H84" s="60">
        <f t="shared" si="22"/>
        <v>155.9</v>
      </c>
      <c r="I84" s="60">
        <f t="shared" si="22"/>
        <v>225.7</v>
      </c>
      <c r="J84" s="60">
        <f t="shared" si="22"/>
        <v>219</v>
      </c>
      <c r="K84" s="60">
        <f t="shared" si="22"/>
        <v>122.12</v>
      </c>
      <c r="L84" s="60">
        <f t="shared" si="22"/>
        <v>143.6</v>
      </c>
      <c r="M84" s="60">
        <f t="shared" si="22"/>
        <v>53</v>
      </c>
      <c r="N84" s="60">
        <f t="shared" si="22"/>
        <v>141</v>
      </c>
      <c r="O84" s="60">
        <f t="shared" si="22"/>
        <v>257</v>
      </c>
      <c r="P84" s="60">
        <f t="shared" ref="P84" si="23">SUMIF(P73:P83,"&gt;0")</f>
        <v>268.09999999999997</v>
      </c>
      <c r="Q84" s="60">
        <f t="shared" si="22"/>
        <v>280</v>
      </c>
      <c r="R84" s="60">
        <f t="shared" si="22"/>
        <v>283</v>
      </c>
      <c r="S84" s="60">
        <f t="shared" si="22"/>
        <v>299.2</v>
      </c>
      <c r="T84" s="60">
        <f t="shared" si="22"/>
        <v>283.89999999999998</v>
      </c>
      <c r="U84" s="60">
        <f t="shared" si="22"/>
        <v>264.8</v>
      </c>
      <c r="V84" s="60">
        <f t="shared" ref="V84:W84" si="24">SUMIF(V73:V83,"&gt;0")</f>
        <v>33</v>
      </c>
      <c r="W84" s="60">
        <f t="shared" si="24"/>
        <v>24</v>
      </c>
      <c r="X84" s="60">
        <f t="shared" si="22"/>
        <v>30.7</v>
      </c>
      <c r="Y84" s="60">
        <f t="shared" si="22"/>
        <v>17</v>
      </c>
      <c r="Z84" s="60">
        <f t="shared" ref="Z84:AA84" si="25">SUMIF(Z73:Z83,"&gt;0")</f>
        <v>14</v>
      </c>
      <c r="AA84" s="60">
        <f t="shared" si="25"/>
        <v>16</v>
      </c>
      <c r="AB84" s="60">
        <f t="shared" si="22"/>
        <v>39.700000000000003</v>
      </c>
      <c r="AC84" s="60">
        <f t="shared" si="22"/>
        <v>117.7</v>
      </c>
      <c r="AD84" s="60">
        <f t="shared" si="22"/>
        <v>116.7</v>
      </c>
      <c r="AE84" s="60">
        <f t="shared" si="22"/>
        <v>119.2</v>
      </c>
      <c r="AF84" s="60">
        <f t="shared" si="22"/>
        <v>126.80000000000001</v>
      </c>
      <c r="AG84" s="88">
        <f>SUM(AG73:AG83)</f>
        <v>0</v>
      </c>
      <c r="AH84" s="47">
        <f t="shared" si="20"/>
        <v>299.2</v>
      </c>
      <c r="AI84" s="48">
        <f t="shared" si="21"/>
        <v>14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20"/>
        <v>0</v>
      </c>
      <c r="AI85" s="48">
        <f t="shared" si="21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20"/>
        <v>0</v>
      </c>
      <c r="AI86" s="48">
        <f t="shared" si="21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20"/>
        <v>0</v>
      </c>
      <c r="AI87" s="48">
        <f t="shared" si="21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20"/>
        <v>0</v>
      </c>
      <c r="AI88" s="48">
        <f t="shared" si="21"/>
        <v>0</v>
      </c>
    </row>
    <row r="89" spans="1:40" ht="15.75" thickBot="1" x14ac:dyDescent="0.3">
      <c r="A89" s="74" t="s">
        <v>100</v>
      </c>
      <c r="B89" s="95">
        <f t="shared" ref="B89:AG89" si="26">B50+B54+B72+B68+B84+B88</f>
        <v>1077.74</v>
      </c>
      <c r="C89" s="95">
        <f t="shared" si="26"/>
        <v>1061.3399999999999</v>
      </c>
      <c r="D89" s="95">
        <f t="shared" si="26"/>
        <v>1022.6400000000001</v>
      </c>
      <c r="E89" s="95">
        <f t="shared" si="26"/>
        <v>1053.04</v>
      </c>
      <c r="F89" s="95">
        <f t="shared" si="26"/>
        <v>1073.1400000000001</v>
      </c>
      <c r="G89" s="95">
        <f t="shared" si="26"/>
        <v>1105.7400000000002</v>
      </c>
      <c r="H89" s="95">
        <f t="shared" si="26"/>
        <v>1238.9400000000003</v>
      </c>
      <c r="I89" s="95">
        <f t="shared" si="26"/>
        <v>1310.3400000000001</v>
      </c>
      <c r="J89" s="95">
        <f t="shared" si="26"/>
        <v>1455.8400000000001</v>
      </c>
      <c r="K89" s="95">
        <f t="shared" si="26"/>
        <v>1684.96</v>
      </c>
      <c r="L89" s="95">
        <f t="shared" si="26"/>
        <v>1700.44</v>
      </c>
      <c r="M89" s="95">
        <f t="shared" si="26"/>
        <v>1630.54</v>
      </c>
      <c r="N89" s="95">
        <f t="shared" si="26"/>
        <v>1619.54</v>
      </c>
      <c r="O89" s="95">
        <f t="shared" si="26"/>
        <v>1553.44</v>
      </c>
      <c r="P89" s="95">
        <f t="shared" ref="P89" si="27">P50+P54+P72+P68+P84+P88</f>
        <v>1449.7399999999998</v>
      </c>
      <c r="Q89" s="95">
        <f t="shared" si="26"/>
        <v>1402.94</v>
      </c>
      <c r="R89" s="95">
        <f t="shared" si="26"/>
        <v>1365.8400000000001</v>
      </c>
      <c r="S89" s="95">
        <f t="shared" si="26"/>
        <v>1358.0400000000002</v>
      </c>
      <c r="T89" s="95">
        <f t="shared" si="26"/>
        <v>1321.6399999999999</v>
      </c>
      <c r="U89" s="95">
        <f t="shared" si="26"/>
        <v>1363.94</v>
      </c>
      <c r="V89" s="95">
        <f t="shared" ref="V89:W89" si="28">V50+V54+V72+V68+V84+V88</f>
        <v>1473.44</v>
      </c>
      <c r="W89" s="95">
        <f t="shared" si="28"/>
        <v>1500.54</v>
      </c>
      <c r="X89" s="95">
        <f t="shared" si="26"/>
        <v>1720.8400000000001</v>
      </c>
      <c r="Y89" s="95">
        <f t="shared" si="26"/>
        <v>1659.74</v>
      </c>
      <c r="Z89" s="95">
        <f t="shared" ref="Z89:AA89" si="29">Z50+Z54+Z72+Z68+Z84+Z88</f>
        <v>1588.74</v>
      </c>
      <c r="AA89" s="95">
        <f t="shared" si="29"/>
        <v>1540.44</v>
      </c>
      <c r="AB89" s="95">
        <f t="shared" si="26"/>
        <v>1479.64</v>
      </c>
      <c r="AC89" s="95">
        <f t="shared" si="26"/>
        <v>1424.64</v>
      </c>
      <c r="AD89" s="95">
        <f t="shared" si="26"/>
        <v>1423.64</v>
      </c>
      <c r="AE89" s="95">
        <f t="shared" si="26"/>
        <v>1171.8400000000001</v>
      </c>
      <c r="AF89" s="95">
        <f t="shared" si="26"/>
        <v>1105.1400000000001</v>
      </c>
      <c r="AG89" s="61">
        <f t="shared" si="26"/>
        <v>2111.5500000000002</v>
      </c>
      <c r="AH89" s="47">
        <f t="shared" si="20"/>
        <v>1720.8400000000001</v>
      </c>
      <c r="AI89" s="48">
        <f t="shared" si="21"/>
        <v>1022.6400000000001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20"/>
        <v>0</v>
      </c>
      <c r="AI90" s="48">
        <f t="shared" si="21"/>
        <v>0</v>
      </c>
    </row>
    <row r="91" spans="1:40" ht="15.75" thickBot="1" x14ac:dyDescent="0.3">
      <c r="A91" s="74" t="s">
        <v>102</v>
      </c>
      <c r="B91" s="95">
        <f t="shared" ref="B91:AF91" si="30">B89+B90</f>
        <v>1077.74</v>
      </c>
      <c r="C91" s="95">
        <f t="shared" si="30"/>
        <v>1061.3399999999999</v>
      </c>
      <c r="D91" s="95">
        <f t="shared" si="30"/>
        <v>1022.6400000000001</v>
      </c>
      <c r="E91" s="95">
        <f t="shared" si="30"/>
        <v>1053.04</v>
      </c>
      <c r="F91" s="95">
        <f t="shared" si="30"/>
        <v>1073.1400000000001</v>
      </c>
      <c r="G91" s="95">
        <f t="shared" si="30"/>
        <v>1105.7400000000002</v>
      </c>
      <c r="H91" s="95">
        <f t="shared" si="30"/>
        <v>1238.9400000000003</v>
      </c>
      <c r="I91" s="95">
        <f t="shared" si="30"/>
        <v>1310.3400000000001</v>
      </c>
      <c r="J91" s="95">
        <f t="shared" si="30"/>
        <v>1455.8400000000001</v>
      </c>
      <c r="K91" s="95">
        <f t="shared" si="30"/>
        <v>1684.96</v>
      </c>
      <c r="L91" s="95">
        <f t="shared" si="30"/>
        <v>1700.44</v>
      </c>
      <c r="M91" s="95">
        <f t="shared" si="30"/>
        <v>1630.54</v>
      </c>
      <c r="N91" s="95">
        <f t="shared" si="30"/>
        <v>1619.54</v>
      </c>
      <c r="O91" s="95">
        <f t="shared" si="30"/>
        <v>1553.44</v>
      </c>
      <c r="P91" s="95">
        <f t="shared" ref="P91" si="31">P89+P90</f>
        <v>1449.7399999999998</v>
      </c>
      <c r="Q91" s="95">
        <f t="shared" si="30"/>
        <v>1402.94</v>
      </c>
      <c r="R91" s="95">
        <f t="shared" si="30"/>
        <v>1365.8400000000001</v>
      </c>
      <c r="S91" s="95">
        <f t="shared" si="30"/>
        <v>1358.0400000000002</v>
      </c>
      <c r="T91" s="95">
        <f t="shared" si="30"/>
        <v>1321.6399999999999</v>
      </c>
      <c r="U91" s="95">
        <f t="shared" si="30"/>
        <v>1363.94</v>
      </c>
      <c r="V91" s="95">
        <f t="shared" ref="V91:W91" si="32">V89+V90</f>
        <v>1473.44</v>
      </c>
      <c r="W91" s="95">
        <f t="shared" si="32"/>
        <v>1500.54</v>
      </c>
      <c r="X91" s="95">
        <f t="shared" si="30"/>
        <v>1720.8400000000001</v>
      </c>
      <c r="Y91" s="95">
        <f t="shared" si="30"/>
        <v>1659.74</v>
      </c>
      <c r="Z91" s="95">
        <f t="shared" ref="Z91:AA91" si="33">Z89+Z90</f>
        <v>1588.74</v>
      </c>
      <c r="AA91" s="95">
        <f t="shared" si="33"/>
        <v>1540.44</v>
      </c>
      <c r="AB91" s="95">
        <f t="shared" si="30"/>
        <v>1479.64</v>
      </c>
      <c r="AC91" s="95">
        <f t="shared" si="30"/>
        <v>1424.64</v>
      </c>
      <c r="AD91" s="95">
        <f t="shared" si="30"/>
        <v>1423.64</v>
      </c>
      <c r="AE91" s="95">
        <f t="shared" si="30"/>
        <v>1171.8400000000001</v>
      </c>
      <c r="AF91" s="95">
        <f t="shared" si="30"/>
        <v>1105.1400000000001</v>
      </c>
      <c r="AG91" s="88">
        <f>AG88+AG84+AG72+AG68+AG50+AG90</f>
        <v>1573.45</v>
      </c>
      <c r="AH91" s="47">
        <f t="shared" si="20"/>
        <v>1720.8400000000001</v>
      </c>
      <c r="AI91" s="48">
        <f t="shared" si="21"/>
        <v>1022.6400000000001</v>
      </c>
    </row>
    <row r="92" spans="1:40" ht="15.75" thickBot="1" x14ac:dyDescent="0.3">
      <c r="A92" s="74" t="s">
        <v>103</v>
      </c>
      <c r="B92" s="95">
        <f>B91-(-B99)</f>
        <v>1077.74</v>
      </c>
      <c r="C92" s="95">
        <f t="shared" ref="C92:AF92" si="34">C91-(-C99)</f>
        <v>1061.3399999999999</v>
      </c>
      <c r="D92" s="95">
        <f t="shared" si="34"/>
        <v>1022.6400000000001</v>
      </c>
      <c r="E92" s="95">
        <f t="shared" si="34"/>
        <v>1053.04</v>
      </c>
      <c r="F92" s="95">
        <f t="shared" si="34"/>
        <v>1073.1400000000001</v>
      </c>
      <c r="G92" s="95">
        <f t="shared" si="34"/>
        <v>1105.7400000000002</v>
      </c>
      <c r="H92" s="95">
        <f t="shared" si="34"/>
        <v>1238.9400000000003</v>
      </c>
      <c r="I92" s="95">
        <f t="shared" si="34"/>
        <v>1310.3400000000001</v>
      </c>
      <c r="J92" s="95">
        <f t="shared" si="34"/>
        <v>1455.8400000000001</v>
      </c>
      <c r="K92" s="95">
        <f t="shared" si="34"/>
        <v>1684.96</v>
      </c>
      <c r="L92" s="95">
        <f t="shared" si="34"/>
        <v>1700.44</v>
      </c>
      <c r="M92" s="95">
        <f t="shared" si="34"/>
        <v>1630.54</v>
      </c>
      <c r="N92" s="95">
        <f t="shared" si="34"/>
        <v>1619.54</v>
      </c>
      <c r="O92" s="95">
        <f t="shared" si="34"/>
        <v>1553.44</v>
      </c>
      <c r="P92" s="95">
        <f t="shared" ref="P92" si="35">P91-(-P99)</f>
        <v>1449.7399999999998</v>
      </c>
      <c r="Q92" s="95">
        <f t="shared" si="34"/>
        <v>1402.94</v>
      </c>
      <c r="R92" s="95">
        <f t="shared" si="34"/>
        <v>1365.8400000000001</v>
      </c>
      <c r="S92" s="95">
        <f t="shared" si="34"/>
        <v>1358.0400000000002</v>
      </c>
      <c r="T92" s="95">
        <f t="shared" si="34"/>
        <v>1321.6399999999999</v>
      </c>
      <c r="U92" s="95">
        <f t="shared" si="34"/>
        <v>1363.94</v>
      </c>
      <c r="V92" s="95">
        <f t="shared" ref="V92:W92" si="36">V91-(-V99)</f>
        <v>1473.44</v>
      </c>
      <c r="W92" s="95">
        <f t="shared" si="36"/>
        <v>1500.54</v>
      </c>
      <c r="X92" s="95">
        <f t="shared" si="34"/>
        <v>1720.8400000000001</v>
      </c>
      <c r="Y92" s="95">
        <f t="shared" si="34"/>
        <v>1659.74</v>
      </c>
      <c r="Z92" s="95">
        <f t="shared" ref="Z92:AA92" si="37">Z91-(-Z99)</f>
        <v>1588.74</v>
      </c>
      <c r="AA92" s="95">
        <f t="shared" si="37"/>
        <v>1540.44</v>
      </c>
      <c r="AB92" s="95">
        <f t="shared" si="34"/>
        <v>1479.64</v>
      </c>
      <c r="AC92" s="95">
        <f t="shared" si="34"/>
        <v>1424.64</v>
      </c>
      <c r="AD92" s="95">
        <f t="shared" si="34"/>
        <v>1423.64</v>
      </c>
      <c r="AE92" s="95">
        <f t="shared" si="34"/>
        <v>1171.8400000000001</v>
      </c>
      <c r="AF92" s="95">
        <f t="shared" si="34"/>
        <v>1105.1400000000001</v>
      </c>
      <c r="AG92" s="88"/>
      <c r="AH92" s="47">
        <f t="shared" si="20"/>
        <v>1720.8400000000001</v>
      </c>
      <c r="AI92" s="48">
        <f t="shared" si="21"/>
        <v>1022.6400000000001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20"/>
        <v>0</v>
      </c>
      <c r="AI93" s="48">
        <f t="shared" si="21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20"/>
        <v>0</v>
      </c>
      <c r="AI94" s="48">
        <f t="shared" si="21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0"/>
        <v>0</v>
      </c>
      <c r="AI95" s="48">
        <f t="shared" si="21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20"/>
        <v>0</v>
      </c>
      <c r="AI96" s="48">
        <f t="shared" si="21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20"/>
        <v>0</v>
      </c>
      <c r="AI97" s="48">
        <f t="shared" si="21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20"/>
        <v>0</v>
      </c>
      <c r="AI98" s="48">
        <f t="shared" si="21"/>
        <v>0</v>
      </c>
    </row>
    <row r="99" spans="1:37" ht="15.75" thickBot="1" x14ac:dyDescent="0.3">
      <c r="A99" s="99" t="s">
        <v>107</v>
      </c>
      <c r="B99" s="60">
        <f t="shared" ref="B99:AF99" si="38">IF(B84&lt;0,B75+B73,0)</f>
        <v>0</v>
      </c>
      <c r="C99" s="60">
        <f t="shared" si="38"/>
        <v>0</v>
      </c>
      <c r="D99" s="60">
        <f t="shared" si="38"/>
        <v>0</v>
      </c>
      <c r="E99" s="60">
        <f t="shared" si="38"/>
        <v>0</v>
      </c>
      <c r="F99" s="60">
        <f t="shared" si="38"/>
        <v>0</v>
      </c>
      <c r="G99" s="60">
        <f t="shared" si="38"/>
        <v>0</v>
      </c>
      <c r="H99" s="60">
        <f t="shared" si="38"/>
        <v>0</v>
      </c>
      <c r="I99" s="60">
        <f t="shared" si="38"/>
        <v>0</v>
      </c>
      <c r="J99" s="60">
        <f t="shared" si="38"/>
        <v>0</v>
      </c>
      <c r="K99" s="60">
        <f t="shared" si="38"/>
        <v>0</v>
      </c>
      <c r="L99" s="60">
        <f t="shared" si="38"/>
        <v>0</v>
      </c>
      <c r="M99" s="60">
        <f t="shared" si="38"/>
        <v>0</v>
      </c>
      <c r="N99" s="60">
        <f t="shared" si="38"/>
        <v>0</v>
      </c>
      <c r="O99" s="60">
        <f t="shared" si="38"/>
        <v>0</v>
      </c>
      <c r="P99" s="60">
        <f t="shared" ref="P99" si="39">IF(P84&lt;0,P75+P73,0)</f>
        <v>0</v>
      </c>
      <c r="Q99" s="60">
        <f t="shared" si="38"/>
        <v>0</v>
      </c>
      <c r="R99" s="60">
        <f t="shared" si="38"/>
        <v>0</v>
      </c>
      <c r="S99" s="60">
        <f t="shared" si="38"/>
        <v>0</v>
      </c>
      <c r="T99" s="60">
        <f t="shared" si="38"/>
        <v>0</v>
      </c>
      <c r="U99" s="60">
        <f t="shared" si="38"/>
        <v>0</v>
      </c>
      <c r="V99" s="60">
        <f t="shared" ref="V99:W99" si="40">IF(V84&lt;0,V75+V73,0)</f>
        <v>0</v>
      </c>
      <c r="W99" s="60">
        <f t="shared" si="40"/>
        <v>0</v>
      </c>
      <c r="X99" s="60">
        <f t="shared" si="38"/>
        <v>0</v>
      </c>
      <c r="Y99" s="60">
        <f t="shared" si="38"/>
        <v>0</v>
      </c>
      <c r="Z99" s="60">
        <f t="shared" ref="Z99:AA99" si="41">IF(Z84&lt;0,Z75+Z73,0)</f>
        <v>0</v>
      </c>
      <c r="AA99" s="60">
        <f t="shared" si="41"/>
        <v>0</v>
      </c>
      <c r="AB99" s="60">
        <f t="shared" si="38"/>
        <v>0</v>
      </c>
      <c r="AC99" s="60">
        <f t="shared" si="38"/>
        <v>0</v>
      </c>
      <c r="AD99" s="60">
        <f t="shared" si="38"/>
        <v>0</v>
      </c>
      <c r="AE99" s="60">
        <f t="shared" si="38"/>
        <v>0</v>
      </c>
      <c r="AF99" s="60">
        <f t="shared" si="38"/>
        <v>0</v>
      </c>
      <c r="AG99" s="88"/>
      <c r="AH99" s="47">
        <f t="shared" si="20"/>
        <v>0</v>
      </c>
      <c r="AI99" s="48">
        <f t="shared" si="21"/>
        <v>0</v>
      </c>
      <c r="AK99" s="50"/>
    </row>
    <row r="100" spans="1:37" ht="15.75" thickBot="1" x14ac:dyDescent="0.3">
      <c r="A100" s="74" t="s">
        <v>108</v>
      </c>
      <c r="B100" s="60">
        <f t="shared" ref="B100:AF100" si="42">B84-B99</f>
        <v>104.6</v>
      </c>
      <c r="C100" s="60">
        <f t="shared" si="42"/>
        <v>46.3</v>
      </c>
      <c r="D100" s="60">
        <f t="shared" si="42"/>
        <v>20.7</v>
      </c>
      <c r="E100" s="60">
        <f t="shared" si="42"/>
        <v>22</v>
      </c>
      <c r="F100" s="60">
        <f t="shared" si="42"/>
        <v>32.200000000000003</v>
      </c>
      <c r="G100" s="60">
        <f t="shared" si="42"/>
        <v>66.400000000000006</v>
      </c>
      <c r="H100" s="60">
        <f t="shared" si="42"/>
        <v>155.9</v>
      </c>
      <c r="I100" s="60">
        <f t="shared" si="42"/>
        <v>225.7</v>
      </c>
      <c r="J100" s="60">
        <f t="shared" si="42"/>
        <v>219</v>
      </c>
      <c r="K100" s="60">
        <f t="shared" si="42"/>
        <v>122.12</v>
      </c>
      <c r="L100" s="60">
        <f t="shared" si="42"/>
        <v>143.6</v>
      </c>
      <c r="M100" s="60">
        <f t="shared" si="42"/>
        <v>53</v>
      </c>
      <c r="N100" s="60">
        <f t="shared" si="42"/>
        <v>141</v>
      </c>
      <c r="O100" s="60">
        <f t="shared" si="42"/>
        <v>257</v>
      </c>
      <c r="P100" s="60">
        <f t="shared" ref="P100" si="43">P84-P99</f>
        <v>268.09999999999997</v>
      </c>
      <c r="Q100" s="60">
        <f t="shared" si="42"/>
        <v>280</v>
      </c>
      <c r="R100" s="60">
        <f t="shared" si="42"/>
        <v>283</v>
      </c>
      <c r="S100" s="60">
        <f t="shared" si="42"/>
        <v>299.2</v>
      </c>
      <c r="T100" s="60">
        <f t="shared" si="42"/>
        <v>283.89999999999998</v>
      </c>
      <c r="U100" s="60">
        <f t="shared" si="42"/>
        <v>264.8</v>
      </c>
      <c r="V100" s="60">
        <f t="shared" ref="V100:W100" si="44">V84-V99</f>
        <v>33</v>
      </c>
      <c r="W100" s="60">
        <f t="shared" si="44"/>
        <v>24</v>
      </c>
      <c r="X100" s="60">
        <f t="shared" si="42"/>
        <v>30.7</v>
      </c>
      <c r="Y100" s="60">
        <f t="shared" si="42"/>
        <v>17</v>
      </c>
      <c r="Z100" s="60">
        <f t="shared" ref="Z100:AA100" si="45">Z84-Z99</f>
        <v>14</v>
      </c>
      <c r="AA100" s="60">
        <f t="shared" si="45"/>
        <v>16</v>
      </c>
      <c r="AB100" s="60">
        <f t="shared" si="42"/>
        <v>39.700000000000003</v>
      </c>
      <c r="AC100" s="60">
        <f t="shared" si="42"/>
        <v>117.7</v>
      </c>
      <c r="AD100" s="60">
        <f t="shared" si="42"/>
        <v>116.7</v>
      </c>
      <c r="AE100" s="60">
        <f t="shared" si="42"/>
        <v>119.2</v>
      </c>
      <c r="AF100" s="60">
        <f t="shared" si="42"/>
        <v>126.80000000000001</v>
      </c>
      <c r="AG100" s="88"/>
      <c r="AH100" s="47">
        <f t="shared" si="20"/>
        <v>299.2</v>
      </c>
      <c r="AI100" s="48">
        <f t="shared" si="21"/>
        <v>14</v>
      </c>
    </row>
    <row r="101" spans="1:37" x14ac:dyDescent="0.25">
      <c r="A101" s="100" t="s">
        <v>109</v>
      </c>
      <c r="B101" s="101">
        <v>50.061999999999998</v>
      </c>
      <c r="C101" s="101">
        <v>49.988</v>
      </c>
      <c r="D101" s="101">
        <v>49.914999999999999</v>
      </c>
      <c r="E101" s="101">
        <v>49.957000000000001</v>
      </c>
      <c r="F101" s="101">
        <v>50.01</v>
      </c>
      <c r="G101" s="101">
        <v>50.058999999999997</v>
      </c>
      <c r="H101" s="101">
        <v>50.046999999999997</v>
      </c>
      <c r="I101" s="101">
        <v>50.081000000000003</v>
      </c>
      <c r="J101" s="101">
        <v>50.18</v>
      </c>
      <c r="K101" s="101">
        <v>50.042999999999999</v>
      </c>
      <c r="L101" s="101">
        <v>49.942999999999998</v>
      </c>
      <c r="M101" s="101">
        <v>49.904000000000003</v>
      </c>
      <c r="N101" s="101">
        <v>49.951999999999998</v>
      </c>
      <c r="O101" s="101">
        <v>50.06</v>
      </c>
      <c r="P101" s="101">
        <v>49.93</v>
      </c>
      <c r="Q101" s="101">
        <v>50.017000000000003</v>
      </c>
      <c r="R101" s="101">
        <v>50.094999999999999</v>
      </c>
      <c r="S101" s="101">
        <v>50.021000000000001</v>
      </c>
      <c r="T101" s="101">
        <v>50.000999999999998</v>
      </c>
      <c r="U101" s="101">
        <v>49.963999999999999</v>
      </c>
      <c r="V101" s="101">
        <v>50.06</v>
      </c>
      <c r="W101" s="101">
        <v>49.97</v>
      </c>
      <c r="X101" s="101">
        <v>50.070999999999998</v>
      </c>
      <c r="Y101" s="101">
        <v>50.04</v>
      </c>
      <c r="Z101" s="101">
        <v>50.048999999999999</v>
      </c>
      <c r="AA101" s="101">
        <v>49.87</v>
      </c>
      <c r="AB101" s="101">
        <v>50.027000000000001</v>
      </c>
      <c r="AC101" s="101">
        <v>50.027000000000001</v>
      </c>
      <c r="AD101" s="101">
        <v>50.045000000000002</v>
      </c>
      <c r="AE101" s="101">
        <v>50.097000000000001</v>
      </c>
      <c r="AF101" s="101">
        <v>50.015000000000001</v>
      </c>
      <c r="AG101" s="102"/>
      <c r="AH101" s="47">
        <f t="shared" si="20"/>
        <v>50.18</v>
      </c>
      <c r="AI101" s="48">
        <f t="shared" si="21"/>
        <v>49.87</v>
      </c>
    </row>
    <row r="102" spans="1:37" x14ac:dyDescent="0.25">
      <c r="A102" s="103" t="s">
        <v>110</v>
      </c>
      <c r="B102" s="65">
        <v>129.6</v>
      </c>
      <c r="C102" s="65">
        <v>130.19999999999999</v>
      </c>
      <c r="D102" s="65">
        <v>129.5</v>
      </c>
      <c r="E102" s="65">
        <v>129.69999999999999</v>
      </c>
      <c r="F102" s="65">
        <v>128.69999999999999</v>
      </c>
      <c r="G102" s="65">
        <v>129.1</v>
      </c>
      <c r="H102" s="65">
        <v>127.2</v>
      </c>
      <c r="I102" s="65">
        <v>125.8</v>
      </c>
      <c r="J102" s="65">
        <v>126.6</v>
      </c>
      <c r="K102" s="65">
        <v>122.9</v>
      </c>
      <c r="L102" s="65">
        <v>122.9</v>
      </c>
      <c r="M102" s="65">
        <v>124.5</v>
      </c>
      <c r="N102" s="65">
        <v>123.3</v>
      </c>
      <c r="O102" s="65">
        <v>123.2</v>
      </c>
      <c r="P102" s="65">
        <v>123.4</v>
      </c>
      <c r="Q102" s="65">
        <v>125.4</v>
      </c>
      <c r="R102" s="65">
        <v>124.1</v>
      </c>
      <c r="S102" s="65">
        <v>122.5</v>
      </c>
      <c r="T102" s="65">
        <v>125.3</v>
      </c>
      <c r="U102" s="65">
        <v>124.9</v>
      </c>
      <c r="V102" s="65">
        <v>124</v>
      </c>
      <c r="W102" s="65">
        <v>124</v>
      </c>
      <c r="X102" s="65">
        <v>126.4</v>
      </c>
      <c r="Y102" s="65">
        <v>126.4</v>
      </c>
      <c r="Z102" s="65">
        <v>126.4</v>
      </c>
      <c r="AA102" s="65">
        <v>126.4</v>
      </c>
      <c r="AB102" s="65">
        <v>126.5</v>
      </c>
      <c r="AC102" s="65">
        <v>127.8</v>
      </c>
      <c r="AD102" s="65">
        <v>129.1</v>
      </c>
      <c r="AE102" s="65">
        <v>129.69999999999999</v>
      </c>
      <c r="AF102" s="65">
        <v>130</v>
      </c>
      <c r="AG102" s="104"/>
      <c r="AH102" s="47">
        <f t="shared" si="20"/>
        <v>130.19999999999999</v>
      </c>
      <c r="AI102" s="48">
        <f t="shared" si="21"/>
        <v>122.5</v>
      </c>
    </row>
    <row r="103" spans="1:37" x14ac:dyDescent="0.25">
      <c r="A103" s="103" t="s">
        <v>111</v>
      </c>
      <c r="B103" s="65">
        <v>133.69999999999999</v>
      </c>
      <c r="C103" s="65">
        <v>134.1</v>
      </c>
      <c r="D103" s="65">
        <v>133.6</v>
      </c>
      <c r="E103" s="65">
        <v>133.69999999999999</v>
      </c>
      <c r="F103" s="65">
        <v>133.1</v>
      </c>
      <c r="G103" s="65">
        <v>133.19999999999999</v>
      </c>
      <c r="H103" s="65">
        <v>131.6</v>
      </c>
      <c r="I103" s="65">
        <v>130.19999999999999</v>
      </c>
      <c r="J103" s="65">
        <v>130.1</v>
      </c>
      <c r="K103" s="65">
        <v>126.8</v>
      </c>
      <c r="L103" s="65">
        <v>126</v>
      </c>
      <c r="M103" s="65">
        <v>127</v>
      </c>
      <c r="N103" s="65">
        <v>126.8</v>
      </c>
      <c r="O103" s="65">
        <v>126.9</v>
      </c>
      <c r="P103" s="65">
        <v>127.3</v>
      </c>
      <c r="Q103" s="65">
        <v>128.80000000000001</v>
      </c>
      <c r="R103" s="65">
        <v>129</v>
      </c>
      <c r="S103" s="65">
        <v>128.30000000000001</v>
      </c>
      <c r="T103" s="65">
        <v>129.4</v>
      </c>
      <c r="U103" s="65">
        <v>128.9</v>
      </c>
      <c r="V103" s="65">
        <v>128.5</v>
      </c>
      <c r="W103" s="65">
        <v>128</v>
      </c>
      <c r="X103" s="65">
        <v>128.69999999999999</v>
      </c>
      <c r="Y103" s="65">
        <v>128.69999999999999</v>
      </c>
      <c r="Z103" s="65">
        <v>128.69999999999999</v>
      </c>
      <c r="AA103" s="65">
        <v>128.69999999999999</v>
      </c>
      <c r="AB103" s="65">
        <v>129</v>
      </c>
      <c r="AC103" s="65">
        <v>130.69999999999999</v>
      </c>
      <c r="AD103" s="65">
        <v>131.6</v>
      </c>
      <c r="AE103" s="65">
        <v>133</v>
      </c>
      <c r="AF103" s="65">
        <v>133.6</v>
      </c>
      <c r="AG103" s="104"/>
      <c r="AH103" s="47">
        <f t="shared" si="20"/>
        <v>134.1</v>
      </c>
      <c r="AI103" s="48">
        <f t="shared" si="21"/>
        <v>126</v>
      </c>
    </row>
    <row r="104" spans="1:37" x14ac:dyDescent="0.25">
      <c r="A104" s="103" t="s">
        <v>112</v>
      </c>
      <c r="B104" s="65">
        <v>130.4</v>
      </c>
      <c r="C104" s="65">
        <v>130.80000000000001</v>
      </c>
      <c r="D104" s="65">
        <v>131.9</v>
      </c>
      <c r="E104" s="65">
        <v>130.9</v>
      </c>
      <c r="F104" s="65">
        <v>129.30000000000001</v>
      </c>
      <c r="G104" s="65">
        <v>131.19999999999999</v>
      </c>
      <c r="H104" s="65">
        <v>127.6</v>
      </c>
      <c r="I104" s="65">
        <v>127.2</v>
      </c>
      <c r="J104" s="65">
        <v>127.5</v>
      </c>
      <c r="K104" s="65">
        <v>126.3</v>
      </c>
      <c r="L104" s="65">
        <v>124.9</v>
      </c>
      <c r="M104" s="65">
        <v>123.6</v>
      </c>
      <c r="N104" s="65">
        <v>127</v>
      </c>
      <c r="O104" s="65">
        <v>126.5</v>
      </c>
      <c r="P104" s="65">
        <v>128.80000000000001</v>
      </c>
      <c r="Q104" s="65">
        <v>130.19999999999999</v>
      </c>
      <c r="R104" s="65">
        <v>130.5</v>
      </c>
      <c r="S104" s="65">
        <v>130.6</v>
      </c>
      <c r="T104" s="65">
        <v>129.1</v>
      </c>
      <c r="U104" s="65">
        <v>129.80000000000001</v>
      </c>
      <c r="V104" s="65">
        <v>130</v>
      </c>
      <c r="W104" s="65">
        <v>123</v>
      </c>
      <c r="X104" s="65">
        <v>127.3</v>
      </c>
      <c r="Y104" s="65">
        <v>127.3</v>
      </c>
      <c r="Z104" s="65">
        <v>127.3</v>
      </c>
      <c r="AA104" s="65">
        <v>127.3</v>
      </c>
      <c r="AB104" s="65">
        <v>131.6</v>
      </c>
      <c r="AC104" s="65">
        <v>132.9</v>
      </c>
      <c r="AD104" s="65">
        <v>130.30000000000001</v>
      </c>
      <c r="AE104" s="65">
        <v>128.9</v>
      </c>
      <c r="AF104" s="65">
        <v>130</v>
      </c>
      <c r="AG104" s="104"/>
      <c r="AH104" s="47">
        <f t="shared" si="20"/>
        <v>132.9</v>
      </c>
      <c r="AI104" s="48">
        <f t="shared" si="21"/>
        <v>123</v>
      </c>
    </row>
    <row r="105" spans="1:37" x14ac:dyDescent="0.25">
      <c r="A105" s="105" t="s">
        <v>113</v>
      </c>
      <c r="B105" s="65">
        <v>133.5</v>
      </c>
      <c r="C105" s="65">
        <v>133.5</v>
      </c>
      <c r="D105" s="65">
        <v>134.69999999999999</v>
      </c>
      <c r="E105" s="65">
        <v>134</v>
      </c>
      <c r="F105" s="65">
        <v>133.5</v>
      </c>
      <c r="G105" s="65">
        <v>133.9</v>
      </c>
      <c r="H105" s="65">
        <v>130.6</v>
      </c>
      <c r="I105" s="65">
        <v>131.6</v>
      </c>
      <c r="J105" s="65">
        <v>131.1</v>
      </c>
      <c r="K105" s="65">
        <v>131.5</v>
      </c>
      <c r="L105" s="65">
        <v>128.1</v>
      </c>
      <c r="M105" s="65">
        <v>125.6</v>
      </c>
      <c r="N105" s="65">
        <v>129</v>
      </c>
      <c r="O105" s="65">
        <v>129.5</v>
      </c>
      <c r="P105" s="65">
        <v>131</v>
      </c>
      <c r="Q105" s="65">
        <v>132.80000000000001</v>
      </c>
      <c r="R105" s="65">
        <v>133.1</v>
      </c>
      <c r="S105" s="65">
        <v>132.30000000000001</v>
      </c>
      <c r="T105" s="65">
        <v>131.19999999999999</v>
      </c>
      <c r="U105" s="65">
        <v>131.69999999999999</v>
      </c>
      <c r="V105" s="65">
        <v>131.6</v>
      </c>
      <c r="W105" s="65">
        <v>125</v>
      </c>
      <c r="X105" s="65">
        <v>130.69999999999999</v>
      </c>
      <c r="Y105" s="65">
        <v>130.69999999999999</v>
      </c>
      <c r="Z105" s="65">
        <v>130.69999999999999</v>
      </c>
      <c r="AA105" s="65">
        <v>130.69999999999999</v>
      </c>
      <c r="AB105" s="65">
        <v>133.6</v>
      </c>
      <c r="AC105" s="65">
        <v>135</v>
      </c>
      <c r="AD105" s="65">
        <v>131.4</v>
      </c>
      <c r="AE105" s="65">
        <v>132.19999999999999</v>
      </c>
      <c r="AF105" s="65">
        <v>131.19999999999999</v>
      </c>
      <c r="AG105" s="104"/>
      <c r="AH105" s="47">
        <f t="shared" si="20"/>
        <v>135</v>
      </c>
      <c r="AI105" s="48">
        <f t="shared" si="21"/>
        <v>125</v>
      </c>
    </row>
    <row r="106" spans="1:37" x14ac:dyDescent="0.25">
      <c r="A106" s="105" t="s">
        <v>114</v>
      </c>
      <c r="B106" s="106">
        <v>132.4</v>
      </c>
      <c r="C106" s="106">
        <v>132.19999999999999</v>
      </c>
      <c r="D106" s="106">
        <v>133.30000000000001</v>
      </c>
      <c r="E106" s="106">
        <v>132.6</v>
      </c>
      <c r="F106" s="106">
        <v>132.80000000000001</v>
      </c>
      <c r="G106" s="106">
        <v>133.1</v>
      </c>
      <c r="H106" s="106">
        <v>131.80000000000001</v>
      </c>
      <c r="I106" s="106">
        <v>132.4</v>
      </c>
      <c r="J106" s="106">
        <v>131</v>
      </c>
      <c r="K106" s="106">
        <v>128.4</v>
      </c>
      <c r="L106" s="106">
        <v>133.5</v>
      </c>
      <c r="M106" s="106">
        <v>132.5</v>
      </c>
      <c r="N106" s="106">
        <v>131.9</v>
      </c>
      <c r="O106" s="106">
        <v>133.30000000000001</v>
      </c>
      <c r="P106" s="106">
        <v>134.5</v>
      </c>
      <c r="Q106" s="106">
        <v>133.6</v>
      </c>
      <c r="R106" s="106">
        <v>133.1</v>
      </c>
      <c r="S106" s="106">
        <v>131.30000000000001</v>
      </c>
      <c r="T106" s="106">
        <v>132.6</v>
      </c>
      <c r="U106" s="106">
        <v>131.19999999999999</v>
      </c>
      <c r="V106" s="106">
        <v>135</v>
      </c>
      <c r="W106" s="106">
        <v>134.5</v>
      </c>
      <c r="X106" s="106">
        <v>134.5</v>
      </c>
      <c r="Y106" s="106">
        <v>134.5</v>
      </c>
      <c r="Z106" s="106">
        <v>134.5</v>
      </c>
      <c r="AA106" s="106">
        <v>134.5</v>
      </c>
      <c r="AB106" s="106">
        <v>132</v>
      </c>
      <c r="AC106" s="106">
        <v>136.19999999999999</v>
      </c>
      <c r="AD106" s="106">
        <v>136.5</v>
      </c>
      <c r="AE106" s="106">
        <v>136.5</v>
      </c>
      <c r="AF106" s="106">
        <v>135.69999999999999</v>
      </c>
      <c r="AG106" s="107"/>
      <c r="AH106" s="47">
        <f t="shared" si="20"/>
        <v>136.5</v>
      </c>
      <c r="AI106" s="48">
        <f t="shared" si="21"/>
        <v>128.4</v>
      </c>
    </row>
    <row r="107" spans="1:37" x14ac:dyDescent="0.25">
      <c r="A107" s="103" t="s">
        <v>115</v>
      </c>
      <c r="B107" s="65">
        <v>136.80000000000001</v>
      </c>
      <c r="C107" s="65">
        <v>137</v>
      </c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>
        <v>131.5</v>
      </c>
      <c r="Q107" s="65"/>
      <c r="R107" s="65">
        <v>133.6</v>
      </c>
      <c r="S107" s="65">
        <v>133.69999999999999</v>
      </c>
      <c r="T107" s="65">
        <v>132.5</v>
      </c>
      <c r="U107" s="65">
        <v>133.19999999999999</v>
      </c>
      <c r="V107" s="65">
        <v>129</v>
      </c>
      <c r="W107" s="65">
        <v>131.5</v>
      </c>
      <c r="X107" s="65">
        <v>134</v>
      </c>
      <c r="Y107" s="65">
        <v>134</v>
      </c>
      <c r="Z107" s="65">
        <v>134</v>
      </c>
      <c r="AA107" s="65">
        <v>134</v>
      </c>
      <c r="AB107" s="65">
        <v>128.80000000000001</v>
      </c>
      <c r="AC107" s="65">
        <v>129.19999999999999</v>
      </c>
      <c r="AD107" s="65">
        <v>131.6</v>
      </c>
      <c r="AE107" s="65">
        <v>135</v>
      </c>
      <c r="AF107" s="65">
        <v>134</v>
      </c>
      <c r="AG107" s="104"/>
      <c r="AH107" s="47">
        <f t="shared" si="20"/>
        <v>137</v>
      </c>
      <c r="AI107" s="48">
        <f t="shared" si="21"/>
        <v>128.80000000000001</v>
      </c>
    </row>
    <row r="108" spans="1:37" ht="15.75" thickBot="1" x14ac:dyDescent="0.3">
      <c r="A108" s="103" t="s">
        <v>116</v>
      </c>
      <c r="B108" s="92">
        <v>67.2</v>
      </c>
      <c r="C108" s="92">
        <v>67.400000000000006</v>
      </c>
      <c r="D108" s="92">
        <v>67.099999999999994</v>
      </c>
      <c r="E108" s="92">
        <v>67.2</v>
      </c>
      <c r="F108" s="92">
        <v>66.900000000000006</v>
      </c>
      <c r="G108" s="92">
        <v>66.900000000000006</v>
      </c>
      <c r="H108" s="92">
        <v>66</v>
      </c>
      <c r="I108" s="92">
        <v>65.2</v>
      </c>
      <c r="J108" s="92">
        <v>65.2</v>
      </c>
      <c r="K108" s="92">
        <v>63.3</v>
      </c>
      <c r="L108" s="92">
        <v>63.4</v>
      </c>
      <c r="M108" s="92">
        <v>63.8</v>
      </c>
      <c r="N108" s="92">
        <v>63.7</v>
      </c>
      <c r="O108" s="92">
        <v>63.6</v>
      </c>
      <c r="P108" s="92">
        <v>63.8</v>
      </c>
      <c r="Q108" s="92">
        <v>64.8</v>
      </c>
      <c r="R108" s="92">
        <v>64.7</v>
      </c>
      <c r="S108" s="92">
        <v>64.5</v>
      </c>
      <c r="T108" s="92">
        <v>64.8</v>
      </c>
      <c r="U108" s="92">
        <v>64.7</v>
      </c>
      <c r="V108" s="92">
        <v>64.400000000000006</v>
      </c>
      <c r="W108" s="92">
        <v>63.9</v>
      </c>
      <c r="X108" s="92">
        <v>64.400000000000006</v>
      </c>
      <c r="Y108" s="92">
        <v>64.400000000000006</v>
      </c>
      <c r="Z108" s="92">
        <v>64.400000000000006</v>
      </c>
      <c r="AA108" s="92">
        <v>64.400000000000006</v>
      </c>
      <c r="AB108" s="92">
        <v>64.900000000000006</v>
      </c>
      <c r="AC108" s="92">
        <v>65.900000000000006</v>
      </c>
      <c r="AD108" s="92">
        <v>66</v>
      </c>
      <c r="AE108" s="92">
        <v>66.7</v>
      </c>
      <c r="AF108" s="92">
        <v>66.900000000000006</v>
      </c>
      <c r="AG108" s="108"/>
      <c r="AH108" s="47">
        <f t="shared" si="20"/>
        <v>67.400000000000006</v>
      </c>
      <c r="AI108" s="48">
        <f t="shared" si="21"/>
        <v>63.3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117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20"/>
        <v>0</v>
      </c>
      <c r="AI109" s="48">
        <f t="shared" si="21"/>
        <v>0</v>
      </c>
    </row>
    <row r="110" spans="1:37" ht="15.75" thickBot="1" x14ac:dyDescent="0.3">
      <c r="A110" s="110" t="s">
        <v>118</v>
      </c>
      <c r="B110" s="111">
        <f t="shared" ref="B110:O110" si="46">SUM(B20,B26,B29:B30,B58,B60:B61,B63,B65,B111:B115,B138,B144,B150,B159,B161,B173,B180,B183:B184,B191,B193,B195,B199:B201,B203:B205,B210,B216:B217,B219:B221,B229,B234)</f>
        <v>106.1</v>
      </c>
      <c r="C110" s="111">
        <f t="shared" si="46"/>
        <v>91.409999999999982</v>
      </c>
      <c r="D110" s="111">
        <f t="shared" si="46"/>
        <v>89.389999999999958</v>
      </c>
      <c r="E110" s="111">
        <f t="shared" si="46"/>
        <v>88.239999999999981</v>
      </c>
      <c r="F110" s="111">
        <f t="shared" si="46"/>
        <v>94.34</v>
      </c>
      <c r="G110" s="111">
        <f t="shared" si="46"/>
        <v>111.43999999999997</v>
      </c>
      <c r="H110" s="111">
        <f t="shared" si="46"/>
        <v>148.94</v>
      </c>
      <c r="I110" s="111">
        <f t="shared" si="46"/>
        <v>173.43999999999997</v>
      </c>
      <c r="J110" s="111">
        <f t="shared" si="46"/>
        <v>215.63999999999996</v>
      </c>
      <c r="K110" s="111">
        <f t="shared" si="46"/>
        <v>272.04000000000002</v>
      </c>
      <c r="L110" s="111">
        <f t="shared" si="46"/>
        <v>338.23999999999995</v>
      </c>
      <c r="M110" s="111">
        <f t="shared" si="46"/>
        <v>299.83999999999997</v>
      </c>
      <c r="N110" s="111">
        <f t="shared" si="46"/>
        <v>271.33999999999997</v>
      </c>
      <c r="O110" s="111">
        <f t="shared" si="46"/>
        <v>262.64</v>
      </c>
      <c r="P110" s="111">
        <f t="shared" ref="P110" si="47">SUM(P20,P26,P29:P30,P58,P60:P61,P63,P65,P111:P115,P138,P144,P150,P159,P161,P173,P180,P183:P184,P191,P193,P195,P199:P201,P203:P205,P210,P216:P217,P219:P221,P229,P234)</f>
        <v>274.98999999999995</v>
      </c>
      <c r="Q110" s="111">
        <f t="shared" ref="Q110:AF110" si="48">SUM(Q20,Q26,Q29:Q30,Q58,Q60:Q61,Q63,Q65,Q111:Q115,Q138,Q144,Q150,Q159,Q161,Q173,Q180,Q183:Q184,Q191,Q193,Q195,Q199:Q201,Q203:Q205,Q210,Q216:Q217,Q219:Q221,Q229,Q234)</f>
        <v>240.14000000000001</v>
      </c>
      <c r="R110" s="111">
        <f t="shared" si="48"/>
        <v>235.74</v>
      </c>
      <c r="S110" s="111">
        <f t="shared" si="48"/>
        <v>248.24</v>
      </c>
      <c r="T110" s="111">
        <f t="shared" si="48"/>
        <v>258.33999999999997</v>
      </c>
      <c r="U110" s="111">
        <f t="shared" si="48"/>
        <v>266.04000000000002</v>
      </c>
      <c r="V110" s="111">
        <f t="shared" ref="V110:W110" si="49">SUM(V20,V26,V29:V30,V58,V60:V61,V63,V65,V111:V115,V138,V144,V150,V159,V161,V173,V180,V183:V184,V191,V193,V195,V199:V201,V203:V205,V210,V216:V217,V219:V221,V229,V234)</f>
        <v>287.54000000000002</v>
      </c>
      <c r="W110" s="111">
        <f t="shared" si="49"/>
        <v>315.24</v>
      </c>
      <c r="X110" s="111">
        <f t="shared" si="48"/>
        <v>361.39000000000004</v>
      </c>
      <c r="Y110" s="111">
        <f t="shared" si="48"/>
        <v>374.84</v>
      </c>
      <c r="Z110" s="111">
        <f t="shared" ref="Z110:AA110" si="50">SUM(Z20,Z26,Z29:Z30,Z58,Z60:Z61,Z63,Z65,Z111:Z115,Z138,Z144,Z150,Z159,Z161,Z173,Z180,Z183:Z184,Z191,Z193,Z195,Z199:Z201,Z203:Z205,Z210,Z216:Z217,Z219:Z221,Z229,Z234)</f>
        <v>374.84</v>
      </c>
      <c r="AA110" s="111">
        <f t="shared" si="50"/>
        <v>374.04</v>
      </c>
      <c r="AB110" s="111">
        <f t="shared" si="48"/>
        <v>344.19499999999999</v>
      </c>
      <c r="AC110" s="111">
        <f t="shared" si="48"/>
        <v>315.94000000000005</v>
      </c>
      <c r="AD110" s="111"/>
      <c r="AE110" s="111">
        <f t="shared" si="48"/>
        <v>202.58999999999997</v>
      </c>
      <c r="AF110" s="111">
        <f t="shared" si="48"/>
        <v>141.65</v>
      </c>
      <c r="AG110" s="112"/>
      <c r="AH110" s="47">
        <f t="shared" si="20"/>
        <v>374.84</v>
      </c>
      <c r="AI110" s="48">
        <f t="shared" si="21"/>
        <v>88.239999999999981</v>
      </c>
    </row>
    <row r="111" spans="1:37" x14ac:dyDescent="0.25">
      <c r="A111" s="100" t="s">
        <v>119</v>
      </c>
      <c r="B111" s="113">
        <v>13.3</v>
      </c>
      <c r="C111" s="113">
        <v>24.8</v>
      </c>
      <c r="D111" s="113">
        <v>25.7</v>
      </c>
      <c r="E111" s="113">
        <v>32.4</v>
      </c>
      <c r="F111" s="113">
        <v>29.3</v>
      </c>
      <c r="G111" s="113">
        <v>27.3</v>
      </c>
      <c r="H111" s="113">
        <v>31.8</v>
      </c>
      <c r="I111" s="113">
        <v>26.4</v>
      </c>
      <c r="J111" s="113">
        <v>34</v>
      </c>
      <c r="K111" s="113">
        <v>36.1</v>
      </c>
      <c r="L111" s="113">
        <v>36</v>
      </c>
      <c r="M111" s="113">
        <v>35.299999999999997</v>
      </c>
      <c r="N111" s="113">
        <v>34.5</v>
      </c>
      <c r="O111" s="113">
        <v>43.6</v>
      </c>
      <c r="P111" s="113">
        <v>42.1</v>
      </c>
      <c r="Q111" s="113">
        <v>34.700000000000003</v>
      </c>
      <c r="R111" s="113">
        <v>37</v>
      </c>
      <c r="S111" s="113">
        <v>30.3</v>
      </c>
      <c r="T111" s="113">
        <v>30.7</v>
      </c>
      <c r="U111" s="113">
        <v>33.200000000000003</v>
      </c>
      <c r="V111" s="113">
        <v>48</v>
      </c>
      <c r="W111" s="113">
        <v>45.4</v>
      </c>
      <c r="X111" s="113">
        <v>39.5</v>
      </c>
      <c r="Y111" s="113">
        <v>44</v>
      </c>
      <c r="Z111" s="113">
        <v>47</v>
      </c>
      <c r="AA111" s="113">
        <v>51</v>
      </c>
      <c r="AB111" s="113">
        <v>55.5</v>
      </c>
      <c r="AC111" s="113">
        <v>58.7</v>
      </c>
      <c r="AD111" s="113">
        <v>61.8</v>
      </c>
      <c r="AE111" s="113">
        <v>40</v>
      </c>
      <c r="AF111" s="113">
        <v>17.8</v>
      </c>
      <c r="AG111" s="114">
        <v>75</v>
      </c>
      <c r="AH111" s="47">
        <f t="shared" si="20"/>
        <v>61.8</v>
      </c>
      <c r="AI111" s="48">
        <f t="shared" si="21"/>
        <v>13.3</v>
      </c>
    </row>
    <row r="112" spans="1:37" x14ac:dyDescent="0.25">
      <c r="A112" s="103" t="s">
        <v>120</v>
      </c>
      <c r="B112" s="115">
        <v>14.4</v>
      </c>
      <c r="C112" s="115">
        <v>30.6</v>
      </c>
      <c r="D112" s="115">
        <v>33</v>
      </c>
      <c r="E112" s="115">
        <v>42.5</v>
      </c>
      <c r="F112" s="115">
        <v>38.299999999999997</v>
      </c>
      <c r="G112" s="115">
        <v>34.700000000000003</v>
      </c>
      <c r="H112" s="115">
        <v>40.9</v>
      </c>
      <c r="I112" s="115">
        <v>31.1</v>
      </c>
      <c r="J112" s="115">
        <v>41.7</v>
      </c>
      <c r="K112" s="115">
        <v>44.3</v>
      </c>
      <c r="L112" s="115">
        <v>41.1</v>
      </c>
      <c r="M112" s="115">
        <v>41.9</v>
      </c>
      <c r="N112" s="115">
        <v>41</v>
      </c>
      <c r="O112" s="115">
        <v>49.2</v>
      </c>
      <c r="P112" s="115">
        <v>48.3</v>
      </c>
      <c r="Q112" s="115">
        <v>35.6</v>
      </c>
      <c r="R112" s="115">
        <v>41.6</v>
      </c>
      <c r="S112" s="115">
        <v>32</v>
      </c>
      <c r="T112" s="115">
        <v>31</v>
      </c>
      <c r="U112" s="115">
        <v>33.6</v>
      </c>
      <c r="V112" s="115">
        <v>55</v>
      </c>
      <c r="W112" s="115">
        <v>51</v>
      </c>
      <c r="X112" s="115">
        <v>41.7</v>
      </c>
      <c r="Y112" s="115">
        <v>49</v>
      </c>
      <c r="Z112" s="115">
        <v>53</v>
      </c>
      <c r="AA112" s="115">
        <v>60</v>
      </c>
      <c r="AB112" s="115">
        <v>65.099999999999994</v>
      </c>
      <c r="AC112" s="115">
        <v>70.900000000000006</v>
      </c>
      <c r="AD112" s="115">
        <v>74.900000000000006</v>
      </c>
      <c r="AE112" s="115">
        <v>45</v>
      </c>
      <c r="AF112" s="115">
        <v>14</v>
      </c>
      <c r="AG112" s="114">
        <v>240</v>
      </c>
      <c r="AH112" s="47">
        <f t="shared" si="20"/>
        <v>74.900000000000006</v>
      </c>
      <c r="AI112" s="48">
        <f t="shared" si="21"/>
        <v>14</v>
      </c>
    </row>
    <row r="113" spans="1:37" x14ac:dyDescent="0.25">
      <c r="A113" s="103" t="s">
        <v>121</v>
      </c>
      <c r="B113" s="115">
        <v>-78</v>
      </c>
      <c r="C113" s="115">
        <v>-88</v>
      </c>
      <c r="D113" s="115">
        <v>-88</v>
      </c>
      <c r="E113" s="115">
        <v>-90</v>
      </c>
      <c r="F113" s="115">
        <v>-91</v>
      </c>
      <c r="G113" s="115">
        <v>-82</v>
      </c>
      <c r="H113" s="115">
        <v>-76</v>
      </c>
      <c r="I113" s="115">
        <v>-64</v>
      </c>
      <c r="J113" s="115">
        <v>-65</v>
      </c>
      <c r="K113" s="115">
        <v>-51</v>
      </c>
      <c r="L113" s="115">
        <v>-29.3</v>
      </c>
      <c r="M113" s="115">
        <v>-20</v>
      </c>
      <c r="N113" s="115">
        <v>-40</v>
      </c>
      <c r="O113" s="115">
        <v>-38</v>
      </c>
      <c r="P113" s="115">
        <v>-38.9</v>
      </c>
      <c r="Q113" s="115">
        <v>-36</v>
      </c>
      <c r="R113" s="115">
        <v>-39</v>
      </c>
      <c r="S113" s="115">
        <v>-37.9</v>
      </c>
      <c r="T113" s="115">
        <v>-29.9</v>
      </c>
      <c r="U113" s="115">
        <v>-25</v>
      </c>
      <c r="V113" s="115">
        <v>-29</v>
      </c>
      <c r="W113" s="115">
        <v>-23</v>
      </c>
      <c r="X113" s="115">
        <v>-26.3</v>
      </c>
      <c r="Y113" s="115">
        <v>-18</v>
      </c>
      <c r="Z113" s="115">
        <v>-15</v>
      </c>
      <c r="AA113" s="115">
        <v>-10</v>
      </c>
      <c r="AB113" s="115">
        <v>-18</v>
      </c>
      <c r="AC113" s="115">
        <v>-29</v>
      </c>
      <c r="AD113" s="115">
        <v>-33</v>
      </c>
      <c r="AE113" s="115">
        <v>-54</v>
      </c>
      <c r="AF113" s="115">
        <v>-61</v>
      </c>
      <c r="AG113" s="114">
        <v>240</v>
      </c>
      <c r="AH113" s="47">
        <f t="shared" si="20"/>
        <v>-10</v>
      </c>
      <c r="AI113" s="48">
        <f t="shared" si="21"/>
        <v>-91</v>
      </c>
    </row>
    <row r="114" spans="1:37" x14ac:dyDescent="0.25">
      <c r="A114" s="103" t="s">
        <v>122</v>
      </c>
      <c r="B114" s="115">
        <v>1.7</v>
      </c>
      <c r="C114" s="115">
        <v>0</v>
      </c>
      <c r="D114" s="115">
        <v>-0.7</v>
      </c>
      <c r="E114" s="115">
        <v>-1.5</v>
      </c>
      <c r="F114" s="115">
        <v>-2.1</v>
      </c>
      <c r="G114" s="115">
        <v>-3.4</v>
      </c>
      <c r="H114" s="115">
        <v>-4.5999999999999996</v>
      </c>
      <c r="I114" s="115">
        <v>-2.9</v>
      </c>
      <c r="J114" s="115">
        <v>-1.9</v>
      </c>
      <c r="K114" s="115">
        <v>4.3</v>
      </c>
      <c r="L114" s="115">
        <v>9.6</v>
      </c>
      <c r="M114" s="115">
        <v>21</v>
      </c>
      <c r="N114" s="115">
        <v>20</v>
      </c>
      <c r="O114" s="115">
        <v>3.9</v>
      </c>
      <c r="P114" s="115">
        <v>3</v>
      </c>
      <c r="Q114" s="115">
        <v>4.8</v>
      </c>
      <c r="R114" s="115">
        <v>-1.2</v>
      </c>
      <c r="S114" s="115">
        <v>3.4</v>
      </c>
      <c r="T114" s="115">
        <v>9.6999999999999993</v>
      </c>
      <c r="U114" s="115">
        <v>10.7</v>
      </c>
      <c r="V114" s="115">
        <v>13</v>
      </c>
      <c r="W114" s="115">
        <v>17</v>
      </c>
      <c r="X114" s="115">
        <v>39.299999999999997</v>
      </c>
      <c r="Y114" s="115">
        <v>35</v>
      </c>
      <c r="Z114" s="115">
        <v>20</v>
      </c>
      <c r="AA114" s="115">
        <v>15</v>
      </c>
      <c r="AB114" s="115">
        <v>10</v>
      </c>
      <c r="AC114" s="115">
        <v>8</v>
      </c>
      <c r="AD114" s="115">
        <v>5.0999999999999996</v>
      </c>
      <c r="AE114" s="115">
        <v>2.2000000000000002</v>
      </c>
      <c r="AF114" s="115">
        <v>-5</v>
      </c>
      <c r="AG114" s="114">
        <v>60</v>
      </c>
      <c r="AH114" s="47">
        <f t="shared" si="20"/>
        <v>39.299999999999997</v>
      </c>
      <c r="AI114" s="48">
        <f t="shared" si="21"/>
        <v>-5</v>
      </c>
    </row>
    <row r="115" spans="1:37" x14ac:dyDescent="0.25">
      <c r="A115" s="116" t="s">
        <v>123</v>
      </c>
      <c r="B115" s="117">
        <f>8.4*1.65</f>
        <v>13.86</v>
      </c>
      <c r="C115" s="117">
        <f>-10.2*1.65</f>
        <v>-16.829999999999998</v>
      </c>
      <c r="D115" s="117">
        <f>-13*1.65</f>
        <v>-21.45</v>
      </c>
      <c r="E115" s="117">
        <v>-36</v>
      </c>
      <c r="F115" s="117">
        <v>-21</v>
      </c>
      <c r="G115" s="117">
        <v>-6</v>
      </c>
      <c r="H115" s="117">
        <v>16</v>
      </c>
      <c r="I115" s="117">
        <v>42</v>
      </c>
      <c r="J115" s="117">
        <v>66</v>
      </c>
      <c r="K115" s="117">
        <f>65.2*1.5</f>
        <v>97.800000000000011</v>
      </c>
      <c r="L115" s="117">
        <v>140</v>
      </c>
      <c r="M115" s="117">
        <v>80.8</v>
      </c>
      <c r="N115" s="117">
        <v>75</v>
      </c>
      <c r="O115" s="117">
        <v>63.1</v>
      </c>
      <c r="P115" s="117">
        <f>53.1*1.5</f>
        <v>79.650000000000006</v>
      </c>
      <c r="Q115" s="117">
        <v>52.5</v>
      </c>
      <c r="R115" s="117">
        <v>45.7</v>
      </c>
      <c r="S115" s="117">
        <f>48*1.5</f>
        <v>72</v>
      </c>
      <c r="T115" s="117">
        <f>48.2*1.5</f>
        <v>72.300000000000011</v>
      </c>
      <c r="U115" s="117">
        <v>72</v>
      </c>
      <c r="V115" s="117">
        <v>65</v>
      </c>
      <c r="W115" s="117">
        <v>85</v>
      </c>
      <c r="X115" s="117">
        <f>84.9*1.5</f>
        <v>127.35000000000001</v>
      </c>
      <c r="Y115" s="117">
        <v>125</v>
      </c>
      <c r="Z115" s="117">
        <v>130</v>
      </c>
      <c r="AA115" s="117">
        <v>120</v>
      </c>
      <c r="AB115" s="117">
        <f>56.7*1.65</f>
        <v>93.554999999999993</v>
      </c>
      <c r="AC115" s="117">
        <f>42*1.65</f>
        <v>69.3</v>
      </c>
      <c r="AD115" s="117">
        <f>23.4*1.65</f>
        <v>38.609999999999992</v>
      </c>
      <c r="AE115" s="117">
        <f>19*1.65</f>
        <v>31.349999999999998</v>
      </c>
      <c r="AF115" s="117">
        <f>21.4*1.65</f>
        <v>35.309999999999995</v>
      </c>
      <c r="AG115" s="118">
        <v>120</v>
      </c>
      <c r="AH115" s="47">
        <f t="shared" si="20"/>
        <v>140</v>
      </c>
      <c r="AI115" s="48">
        <f t="shared" si="21"/>
        <v>-36</v>
      </c>
    </row>
    <row r="116" spans="1:37" x14ac:dyDescent="0.25">
      <c r="A116" s="116" t="s">
        <v>124</v>
      </c>
      <c r="B116" s="117">
        <v>40</v>
      </c>
      <c r="C116" s="117">
        <v>20</v>
      </c>
      <c r="D116" s="117">
        <v>15</v>
      </c>
      <c r="E116" s="117">
        <v>7.9</v>
      </c>
      <c r="F116" s="117">
        <v>15.1</v>
      </c>
      <c r="G116" s="117">
        <v>28.1</v>
      </c>
      <c r="H116" s="117">
        <v>39.5</v>
      </c>
      <c r="I116" s="117">
        <v>58.9</v>
      </c>
      <c r="J116" s="117">
        <v>65.5</v>
      </c>
      <c r="K116" s="117">
        <v>67.900000000000006</v>
      </c>
      <c r="L116" s="117">
        <v>96</v>
      </c>
      <c r="M116" s="117">
        <v>77</v>
      </c>
      <c r="N116" s="117">
        <v>90</v>
      </c>
      <c r="O116" s="117">
        <v>82.6</v>
      </c>
      <c r="P116" s="117">
        <v>75.599999999999994</v>
      </c>
      <c r="Q116" s="117">
        <v>71</v>
      </c>
      <c r="R116" s="117">
        <v>73.7</v>
      </c>
      <c r="S116" s="117">
        <v>87.2</v>
      </c>
      <c r="T116" s="117">
        <v>79</v>
      </c>
      <c r="U116" s="117">
        <v>74.7</v>
      </c>
      <c r="V116" s="117">
        <v>67</v>
      </c>
      <c r="W116" s="117">
        <v>82</v>
      </c>
      <c r="X116" s="117">
        <v>79.7</v>
      </c>
      <c r="Y116" s="117">
        <v>78</v>
      </c>
      <c r="Z116" s="117">
        <v>80</v>
      </c>
      <c r="AA116" s="117">
        <v>74</v>
      </c>
      <c r="AB116" s="117">
        <v>58</v>
      </c>
      <c r="AC116" s="117">
        <v>53</v>
      </c>
      <c r="AD116" s="117">
        <v>36.200000000000003</v>
      </c>
      <c r="AE116" s="117">
        <v>40</v>
      </c>
      <c r="AF116" s="117">
        <v>47</v>
      </c>
      <c r="AG116" s="118"/>
      <c r="AH116" s="47">
        <f t="shared" si="20"/>
        <v>96</v>
      </c>
      <c r="AI116" s="48">
        <f t="shared" si="21"/>
        <v>7.9</v>
      </c>
    </row>
    <row r="117" spans="1:37" x14ac:dyDescent="0.25">
      <c r="A117" s="116" t="s">
        <v>125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9"/>
      <c r="AH117" s="47">
        <f t="shared" si="20"/>
        <v>0</v>
      </c>
      <c r="AI117" s="48">
        <f t="shared" si="21"/>
        <v>0</v>
      </c>
    </row>
    <row r="118" spans="1:37" x14ac:dyDescent="0.25">
      <c r="A118" s="120" t="s">
        <v>126</v>
      </c>
      <c r="B118" s="106">
        <v>15</v>
      </c>
      <c r="C118" s="106">
        <v>16.8</v>
      </c>
      <c r="D118" s="106">
        <v>18</v>
      </c>
      <c r="E118" s="106">
        <v>15.3</v>
      </c>
      <c r="F118" s="106">
        <v>15.9</v>
      </c>
      <c r="G118" s="106">
        <v>12.3</v>
      </c>
      <c r="H118" s="106">
        <v>7.8</v>
      </c>
      <c r="I118" s="106">
        <v>2</v>
      </c>
      <c r="J118" s="106">
        <v>-7.2</v>
      </c>
      <c r="K118" s="106">
        <v>-12.8</v>
      </c>
      <c r="L118" s="106">
        <v>-23</v>
      </c>
      <c r="M118" s="106">
        <v>-20</v>
      </c>
      <c r="N118" s="106">
        <v>-12</v>
      </c>
      <c r="O118" s="106">
        <v>-10</v>
      </c>
      <c r="P118" s="106">
        <v>-7.1</v>
      </c>
      <c r="Q118" s="106">
        <v>-5.7</v>
      </c>
      <c r="R118" s="106">
        <v>-1.7</v>
      </c>
      <c r="S118" s="106">
        <v>-4.9000000000000004</v>
      </c>
      <c r="T118" s="106">
        <v>-5.7</v>
      </c>
      <c r="U118" s="106">
        <v>-9.5</v>
      </c>
      <c r="V118" s="106">
        <v>-20</v>
      </c>
      <c r="W118" s="106">
        <v>-33</v>
      </c>
      <c r="X118" s="106">
        <v>-30.4</v>
      </c>
      <c r="Y118" s="106">
        <v>-22</v>
      </c>
      <c r="Z118" s="106">
        <v>-19</v>
      </c>
      <c r="AA118" s="106">
        <v>-13</v>
      </c>
      <c r="AB118" s="106">
        <v>-9</v>
      </c>
      <c r="AC118" s="106">
        <v>-5.6</v>
      </c>
      <c r="AD118" s="106">
        <v>-1.3</v>
      </c>
      <c r="AE118" s="106">
        <v>9</v>
      </c>
      <c r="AF118" s="106">
        <v>12.1</v>
      </c>
      <c r="AG118" s="119"/>
      <c r="AH118" s="47">
        <f t="shared" si="20"/>
        <v>18</v>
      </c>
      <c r="AI118" s="48">
        <f t="shared" si="21"/>
        <v>-33</v>
      </c>
    </row>
    <row r="119" spans="1:37" x14ac:dyDescent="0.25">
      <c r="A119" s="121" t="s">
        <v>127</v>
      </c>
      <c r="B119" s="106">
        <v>57</v>
      </c>
      <c r="C119" s="106">
        <v>73</v>
      </c>
      <c r="D119" s="106">
        <v>76</v>
      </c>
      <c r="E119" s="106">
        <v>83.7</v>
      </c>
      <c r="F119" s="106">
        <v>80.7</v>
      </c>
      <c r="G119" s="106">
        <v>68.8</v>
      </c>
      <c r="H119" s="106">
        <v>60.8</v>
      </c>
      <c r="I119" s="106">
        <v>48.4</v>
      </c>
      <c r="J119" s="106">
        <v>50.9</v>
      </c>
      <c r="K119" s="106">
        <v>46.5</v>
      </c>
      <c r="L119" s="106">
        <v>23.9</v>
      </c>
      <c r="M119" s="106">
        <v>24</v>
      </c>
      <c r="N119" s="106">
        <v>33</v>
      </c>
      <c r="O119" s="106">
        <v>34</v>
      </c>
      <c r="P119" s="106">
        <v>30.3</v>
      </c>
      <c r="Q119" s="106">
        <v>26.3</v>
      </c>
      <c r="R119" s="106">
        <v>40.299999999999997</v>
      </c>
      <c r="S119" s="106">
        <v>36.299999999999997</v>
      </c>
      <c r="T119" s="106">
        <v>32.4</v>
      </c>
      <c r="U119" s="106">
        <v>31.6</v>
      </c>
      <c r="V119" s="106">
        <v>44</v>
      </c>
      <c r="W119" s="106">
        <v>28</v>
      </c>
      <c r="X119" s="106">
        <v>26.1</v>
      </c>
      <c r="Y119" s="106">
        <v>25</v>
      </c>
      <c r="Z119" s="106">
        <v>20</v>
      </c>
      <c r="AA119" s="106">
        <v>18</v>
      </c>
      <c r="AB119" s="106">
        <v>25</v>
      </c>
      <c r="AC119" s="106">
        <v>38.1</v>
      </c>
      <c r="AD119" s="106">
        <v>42.7</v>
      </c>
      <c r="AE119" s="106">
        <v>49.2</v>
      </c>
      <c r="AF119" s="106">
        <v>37</v>
      </c>
      <c r="AG119" s="119"/>
      <c r="AH119" s="47">
        <f t="shared" si="20"/>
        <v>83.7</v>
      </c>
      <c r="AI119" s="48">
        <f t="shared" si="21"/>
        <v>18</v>
      </c>
    </row>
    <row r="120" spans="1:37" ht="15.75" thickBot="1" x14ac:dyDescent="0.3">
      <c r="A120" s="120" t="s">
        <v>128</v>
      </c>
      <c r="B120" s="106">
        <v>36</v>
      </c>
      <c r="C120" s="106">
        <v>36</v>
      </c>
      <c r="D120" s="106">
        <v>32</v>
      </c>
      <c r="E120" s="106">
        <v>34.6</v>
      </c>
      <c r="F120" s="106">
        <v>37.4</v>
      </c>
      <c r="G120" s="106">
        <v>32.299999999999997</v>
      </c>
      <c r="H120" s="106">
        <v>44.9</v>
      </c>
      <c r="I120" s="106">
        <v>52.5</v>
      </c>
      <c r="J120" s="106">
        <v>68</v>
      </c>
      <c r="K120" s="106">
        <v>82.4</v>
      </c>
      <c r="L120" s="106">
        <v>94.7</v>
      </c>
      <c r="M120" s="106">
        <v>97</v>
      </c>
      <c r="N120" s="106">
        <v>76</v>
      </c>
      <c r="O120" s="106">
        <v>79</v>
      </c>
      <c r="P120" s="106">
        <v>57.9</v>
      </c>
      <c r="Q120" s="106">
        <v>51.5</v>
      </c>
      <c r="R120" s="106">
        <v>53</v>
      </c>
      <c r="S120" s="106">
        <v>51.5</v>
      </c>
      <c r="T120" s="106">
        <v>53.5</v>
      </c>
      <c r="U120" s="106">
        <v>56.6</v>
      </c>
      <c r="V120" s="106">
        <v>68</v>
      </c>
      <c r="W120" s="106">
        <v>90</v>
      </c>
      <c r="X120" s="106">
        <v>83.2</v>
      </c>
      <c r="Y120" s="106">
        <v>73</v>
      </c>
      <c r="Z120" s="106">
        <v>68</v>
      </c>
      <c r="AA120" s="106">
        <v>65</v>
      </c>
      <c r="AB120" s="106">
        <v>66</v>
      </c>
      <c r="AC120" s="106">
        <v>59</v>
      </c>
      <c r="AD120" s="106">
        <v>56.7</v>
      </c>
      <c r="AE120" s="106">
        <v>44</v>
      </c>
      <c r="AF120" s="106">
        <v>41</v>
      </c>
      <c r="AG120" s="119"/>
      <c r="AH120" s="47">
        <f t="shared" si="20"/>
        <v>97</v>
      </c>
      <c r="AI120" s="48">
        <f t="shared" si="21"/>
        <v>32</v>
      </c>
    </row>
    <row r="121" spans="1:37" ht="15.75" thickBot="1" x14ac:dyDescent="0.3">
      <c r="A121" s="122" t="s">
        <v>129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50"/>
    </row>
    <row r="122" spans="1:37" x14ac:dyDescent="0.25">
      <c r="A122" s="125" t="s">
        <v>130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50"/>
    </row>
    <row r="123" spans="1:37" x14ac:dyDescent="0.25">
      <c r="A123" s="103" t="s">
        <v>131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50"/>
    </row>
    <row r="124" spans="1:37" x14ac:dyDescent="0.25">
      <c r="A124" s="103" t="s">
        <v>132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50"/>
    </row>
    <row r="125" spans="1:37" x14ac:dyDescent="0.25">
      <c r="A125" s="103" t="s">
        <v>133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134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135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136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137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138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139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140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141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142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143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144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145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146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50"/>
    </row>
    <row r="139" spans="1:37" x14ac:dyDescent="0.25">
      <c r="A139" s="116" t="s">
        <v>147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50"/>
    </row>
    <row r="140" spans="1:37" x14ac:dyDescent="0.25">
      <c r="A140" s="116" t="s">
        <v>148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50"/>
    </row>
    <row r="141" spans="1:37" x14ac:dyDescent="0.25">
      <c r="A141" s="116" t="s">
        <v>149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50"/>
    </row>
    <row r="142" spans="1:37" x14ac:dyDescent="0.25">
      <c r="A142" s="116" t="s">
        <v>150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50"/>
    </row>
    <row r="143" spans="1:37" x14ac:dyDescent="0.25">
      <c r="A143" s="116" t="s">
        <v>151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50"/>
    </row>
    <row r="144" spans="1:37" x14ac:dyDescent="0.25">
      <c r="A144" s="116" t="s">
        <v>152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50"/>
    </row>
    <row r="145" spans="1:37" x14ac:dyDescent="0.25">
      <c r="A145" s="116" t="s">
        <v>153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50"/>
    </row>
    <row r="146" spans="1:37" x14ac:dyDescent="0.25">
      <c r="A146" s="116" t="s">
        <v>154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50"/>
    </row>
    <row r="147" spans="1:37" ht="13.5" customHeight="1" x14ac:dyDescent="0.25">
      <c r="A147" s="116" t="s">
        <v>155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50"/>
    </row>
    <row r="148" spans="1:37" x14ac:dyDescent="0.25">
      <c r="A148" s="116" t="s">
        <v>156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50"/>
    </row>
    <row r="149" spans="1:37" x14ac:dyDescent="0.25">
      <c r="A149" s="116" t="s">
        <v>157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158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50"/>
    </row>
    <row r="151" spans="1:37" x14ac:dyDescent="0.25">
      <c r="A151" s="116" t="s">
        <v>159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50"/>
    </row>
    <row r="152" spans="1:37" x14ac:dyDescent="0.25">
      <c r="A152" s="116" t="s">
        <v>160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50"/>
    </row>
    <row r="153" spans="1:37" x14ac:dyDescent="0.25">
      <c r="A153" s="116" t="s">
        <v>161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50"/>
    </row>
    <row r="154" spans="1:37" x14ac:dyDescent="0.25">
      <c r="A154" s="116" t="s">
        <v>162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50"/>
    </row>
    <row r="155" spans="1:37" x14ac:dyDescent="0.25">
      <c r="A155" s="116" t="s">
        <v>163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50"/>
    </row>
    <row r="156" spans="1:37" x14ac:dyDescent="0.25">
      <c r="A156" s="116" t="s">
        <v>164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165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166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50"/>
    </row>
    <row r="159" spans="1:37" x14ac:dyDescent="0.25">
      <c r="A159" s="116" t="s">
        <v>167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50"/>
    </row>
    <row r="160" spans="1:37" x14ac:dyDescent="0.25">
      <c r="A160" s="116" t="s">
        <v>168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50"/>
    </row>
    <row r="161" spans="1:37" x14ac:dyDescent="0.25">
      <c r="A161" s="116" t="s">
        <v>169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50"/>
    </row>
    <row r="162" spans="1:37" x14ac:dyDescent="0.25">
      <c r="A162" s="116" t="s">
        <v>170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50"/>
    </row>
    <row r="163" spans="1:37" x14ac:dyDescent="0.25">
      <c r="A163" s="116" t="s">
        <v>171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50"/>
    </row>
    <row r="164" spans="1:37" x14ac:dyDescent="0.25">
      <c r="A164" s="103" t="s">
        <v>172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50"/>
    </row>
    <row r="165" spans="1:37" x14ac:dyDescent="0.25">
      <c r="A165" s="116" t="s">
        <v>173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16" t="s">
        <v>174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50"/>
    </row>
    <row r="167" spans="1:37" x14ac:dyDescent="0.25">
      <c r="A167" s="116" t="s">
        <v>175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176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177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178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50"/>
    </row>
    <row r="171" spans="1:37" x14ac:dyDescent="0.25">
      <c r="A171" s="116" t="s">
        <v>179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50"/>
    </row>
    <row r="172" spans="1:37" x14ac:dyDescent="0.25">
      <c r="A172" s="116" t="s">
        <v>180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50"/>
    </row>
    <row r="173" spans="1:37" x14ac:dyDescent="0.25">
      <c r="A173" s="116" t="s">
        <v>181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50"/>
    </row>
    <row r="174" spans="1:37" x14ac:dyDescent="0.25">
      <c r="A174" s="116" t="s">
        <v>182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50"/>
    </row>
    <row r="175" spans="1:37" x14ac:dyDescent="0.25">
      <c r="A175" s="116" t="s">
        <v>183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50"/>
    </row>
    <row r="176" spans="1:37" x14ac:dyDescent="0.25">
      <c r="A176" s="116" t="s">
        <v>184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185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50"/>
    </row>
    <row r="178" spans="1:37" x14ac:dyDescent="0.25">
      <c r="A178" s="116" t="s">
        <v>186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50"/>
    </row>
    <row r="179" spans="1:37" x14ac:dyDescent="0.25">
      <c r="A179" s="116" t="s">
        <v>187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50"/>
    </row>
    <row r="180" spans="1:37" x14ac:dyDescent="0.25">
      <c r="A180" s="116" t="s">
        <v>188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50"/>
    </row>
    <row r="181" spans="1:37" x14ac:dyDescent="0.25">
      <c r="A181" s="116" t="s">
        <v>189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50"/>
    </row>
    <row r="182" spans="1:37" x14ac:dyDescent="0.25">
      <c r="A182" s="116" t="s">
        <v>190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50"/>
    </row>
    <row r="183" spans="1:37" x14ac:dyDescent="0.25">
      <c r="A183" s="116" t="s">
        <v>191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50"/>
    </row>
    <row r="184" spans="1:37" x14ac:dyDescent="0.25">
      <c r="A184" s="116" t="s">
        <v>192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50"/>
    </row>
    <row r="185" spans="1:37" x14ac:dyDescent="0.25">
      <c r="A185" s="116" t="s">
        <v>193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50"/>
    </row>
    <row r="186" spans="1:37" x14ac:dyDescent="0.25">
      <c r="A186" s="116" t="s">
        <v>194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195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196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197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198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199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200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50"/>
    </row>
    <row r="193" spans="1:37" x14ac:dyDescent="0.25">
      <c r="A193" s="116" t="s">
        <v>201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50"/>
    </row>
    <row r="194" spans="1:37" x14ac:dyDescent="0.25">
      <c r="A194" s="116" t="s">
        <v>202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50"/>
    </row>
    <row r="195" spans="1:37" x14ac:dyDescent="0.25">
      <c r="A195" s="116" t="s">
        <v>203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50"/>
    </row>
    <row r="196" spans="1:37" x14ac:dyDescent="0.25">
      <c r="A196" s="116" t="s">
        <v>204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50"/>
    </row>
    <row r="197" spans="1:37" x14ac:dyDescent="0.25">
      <c r="A197" s="116" t="s">
        <v>205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50"/>
    </row>
    <row r="198" spans="1:37" x14ac:dyDescent="0.25">
      <c r="A198" s="116" t="s">
        <v>206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207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208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209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210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211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212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50"/>
    </row>
    <row r="205" spans="1:37" x14ac:dyDescent="0.25">
      <c r="A205" s="116" t="s">
        <v>213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50"/>
    </row>
    <row r="206" spans="1:37" x14ac:dyDescent="0.25">
      <c r="A206" s="116" t="s">
        <v>214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50"/>
    </row>
    <row r="207" spans="1:37" x14ac:dyDescent="0.25">
      <c r="A207" s="116" t="s">
        <v>215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50"/>
    </row>
    <row r="208" spans="1:37" x14ac:dyDescent="0.25">
      <c r="A208" s="116" t="s">
        <v>216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50"/>
    </row>
    <row r="209" spans="1:37" x14ac:dyDescent="0.25">
      <c r="A209" s="116" t="s">
        <v>217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50"/>
    </row>
    <row r="210" spans="1:37" x14ac:dyDescent="0.25">
      <c r="A210" s="116" t="s">
        <v>218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50"/>
    </row>
    <row r="211" spans="1:37" x14ac:dyDescent="0.25">
      <c r="A211" s="116" t="s">
        <v>219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50"/>
    </row>
    <row r="212" spans="1:37" x14ac:dyDescent="0.25">
      <c r="A212" s="116" t="s">
        <v>220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221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50"/>
    </row>
    <row r="214" spans="1:37" x14ac:dyDescent="0.25">
      <c r="A214" s="116" t="s">
        <v>222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50"/>
    </row>
    <row r="215" spans="1:37" x14ac:dyDescent="0.25">
      <c r="A215" s="116" t="s">
        <v>223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50"/>
    </row>
    <row r="216" spans="1:37" x14ac:dyDescent="0.25">
      <c r="A216" s="116" t="s">
        <v>224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50"/>
    </row>
    <row r="217" spans="1:37" x14ac:dyDescent="0.25">
      <c r="A217" s="116" t="s">
        <v>225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50"/>
    </row>
    <row r="218" spans="1:37" x14ac:dyDescent="0.25">
      <c r="A218" s="116" t="s">
        <v>226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50"/>
    </row>
    <row r="219" spans="1:37" x14ac:dyDescent="0.25">
      <c r="A219" s="116" t="s">
        <v>227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50"/>
    </row>
    <row r="220" spans="1:37" x14ac:dyDescent="0.25">
      <c r="A220" s="116" t="s">
        <v>228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50"/>
    </row>
    <row r="221" spans="1:37" x14ac:dyDescent="0.25">
      <c r="A221" s="116" t="s">
        <v>229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50"/>
    </row>
    <row r="222" spans="1:37" x14ac:dyDescent="0.25">
      <c r="A222" s="116" t="s">
        <v>230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231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50"/>
    </row>
    <row r="224" spans="1:37" x14ac:dyDescent="0.25">
      <c r="A224" s="116" t="s">
        <v>232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50"/>
    </row>
    <row r="225" spans="1:37" x14ac:dyDescent="0.25">
      <c r="A225" s="116" t="s">
        <v>233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50"/>
    </row>
    <row r="226" spans="1:37" ht="15.75" thickBot="1" x14ac:dyDescent="0.3">
      <c r="A226" s="116" t="s">
        <v>234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50"/>
    </row>
    <row r="227" spans="1:37" ht="15.75" thickBot="1" x14ac:dyDescent="0.3">
      <c r="A227" s="135" t="s">
        <v>235</v>
      </c>
      <c r="B227" s="136">
        <f t="shared" ref="B227:AG227" si="51">SUM(B122:B226)</f>
        <v>0</v>
      </c>
      <c r="C227" s="137">
        <f t="shared" si="51"/>
        <v>0</v>
      </c>
      <c r="D227" s="137">
        <f t="shared" si="51"/>
        <v>0</v>
      </c>
      <c r="E227" s="137">
        <f t="shared" si="51"/>
        <v>0</v>
      </c>
      <c r="F227" s="137">
        <f t="shared" si="51"/>
        <v>0</v>
      </c>
      <c r="G227" s="137">
        <f t="shared" si="51"/>
        <v>0</v>
      </c>
      <c r="H227" s="137">
        <f t="shared" si="51"/>
        <v>0</v>
      </c>
      <c r="I227" s="137">
        <f t="shared" si="51"/>
        <v>0</v>
      </c>
      <c r="J227" s="137">
        <f t="shared" si="51"/>
        <v>0</v>
      </c>
      <c r="K227" s="137">
        <f t="shared" si="51"/>
        <v>0</v>
      </c>
      <c r="L227" s="137">
        <f t="shared" si="51"/>
        <v>0</v>
      </c>
      <c r="M227" s="137">
        <f t="shared" si="51"/>
        <v>0</v>
      </c>
      <c r="N227" s="137">
        <f t="shared" si="51"/>
        <v>0</v>
      </c>
      <c r="O227" s="137">
        <f t="shared" si="51"/>
        <v>0</v>
      </c>
      <c r="P227" s="137">
        <f t="shared" si="51"/>
        <v>0</v>
      </c>
      <c r="Q227" s="137">
        <f t="shared" si="51"/>
        <v>0</v>
      </c>
      <c r="R227" s="137">
        <f t="shared" si="51"/>
        <v>0</v>
      </c>
      <c r="S227" s="137">
        <f t="shared" si="51"/>
        <v>0</v>
      </c>
      <c r="T227" s="137">
        <f t="shared" si="51"/>
        <v>0</v>
      </c>
      <c r="U227" s="137">
        <f t="shared" si="51"/>
        <v>0</v>
      </c>
      <c r="V227" s="137">
        <f t="shared" si="51"/>
        <v>0</v>
      </c>
      <c r="W227" s="137">
        <f t="shared" si="51"/>
        <v>0</v>
      </c>
      <c r="X227" s="137">
        <f t="shared" si="51"/>
        <v>0</v>
      </c>
      <c r="Y227" s="137">
        <f t="shared" si="51"/>
        <v>0</v>
      </c>
      <c r="Z227" s="137">
        <f t="shared" si="51"/>
        <v>0</v>
      </c>
      <c r="AA227" s="137">
        <f t="shared" si="51"/>
        <v>0</v>
      </c>
      <c r="AB227" s="137">
        <f t="shared" si="51"/>
        <v>0</v>
      </c>
      <c r="AC227" s="137">
        <f t="shared" si="51"/>
        <v>0</v>
      </c>
      <c r="AD227" s="137">
        <f t="shared" si="51"/>
        <v>0</v>
      </c>
      <c r="AE227" s="137">
        <f t="shared" si="51"/>
        <v>0</v>
      </c>
      <c r="AF227" s="138">
        <f t="shared" si="51"/>
        <v>0</v>
      </c>
      <c r="AG227" s="139">
        <f t="shared" si="51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50"/>
    </row>
    <row r="229" spans="1:37" x14ac:dyDescent="0.25">
      <c r="A229" s="100" t="s">
        <v>236</v>
      </c>
      <c r="B229" s="141">
        <f t="shared" ref="B229:B234" si="52">AF229</f>
        <v>0.3</v>
      </c>
      <c r="C229" s="141">
        <v>0.3</v>
      </c>
      <c r="D229" s="141">
        <f t="shared" ref="D229:S234" si="53">C229</f>
        <v>0.3</v>
      </c>
      <c r="E229" s="141">
        <f t="shared" si="53"/>
        <v>0.3</v>
      </c>
      <c r="F229" s="141">
        <f t="shared" si="53"/>
        <v>0.3</v>
      </c>
      <c r="G229" s="141">
        <f t="shared" si="53"/>
        <v>0.3</v>
      </c>
      <c r="H229" s="141">
        <f t="shared" si="53"/>
        <v>0.3</v>
      </c>
      <c r="I229" s="141">
        <f t="shared" si="53"/>
        <v>0.3</v>
      </c>
      <c r="J229" s="141">
        <f t="shared" si="53"/>
        <v>0.3</v>
      </c>
      <c r="K229" s="141">
        <f t="shared" si="53"/>
        <v>0.3</v>
      </c>
      <c r="L229" s="141">
        <f t="shared" si="53"/>
        <v>0.3</v>
      </c>
      <c r="M229" s="141">
        <f t="shared" si="53"/>
        <v>0.3</v>
      </c>
      <c r="N229" s="141">
        <f t="shared" si="53"/>
        <v>0.3</v>
      </c>
      <c r="O229" s="141">
        <f t="shared" si="53"/>
        <v>0.3</v>
      </c>
      <c r="P229" s="141">
        <f t="shared" si="53"/>
        <v>0.3</v>
      </c>
      <c r="Q229" s="141">
        <f t="shared" si="53"/>
        <v>0.3</v>
      </c>
      <c r="R229" s="141">
        <f t="shared" si="53"/>
        <v>0.3</v>
      </c>
      <c r="S229" s="141">
        <f t="shared" si="53"/>
        <v>0.3</v>
      </c>
      <c r="T229" s="141">
        <f t="shared" ref="T229:AF234" si="54">S229</f>
        <v>0.3</v>
      </c>
      <c r="U229" s="141">
        <f t="shared" si="54"/>
        <v>0.3</v>
      </c>
      <c r="V229" s="141">
        <f t="shared" si="54"/>
        <v>0.3</v>
      </c>
      <c r="W229" s="141">
        <f t="shared" si="54"/>
        <v>0.3</v>
      </c>
      <c r="X229" s="141">
        <f t="shared" si="54"/>
        <v>0.3</v>
      </c>
      <c r="Y229" s="141">
        <f t="shared" si="54"/>
        <v>0.3</v>
      </c>
      <c r="Z229" s="141">
        <f t="shared" si="54"/>
        <v>0.3</v>
      </c>
      <c r="AA229" s="141">
        <f t="shared" si="54"/>
        <v>0.3</v>
      </c>
      <c r="AB229" s="141">
        <f t="shared" si="54"/>
        <v>0.3</v>
      </c>
      <c r="AC229" s="141">
        <f t="shared" si="54"/>
        <v>0.3</v>
      </c>
      <c r="AD229" s="141">
        <f t="shared" si="54"/>
        <v>0.3</v>
      </c>
      <c r="AE229" s="141">
        <f t="shared" si="54"/>
        <v>0.3</v>
      </c>
      <c r="AF229" s="141">
        <f t="shared" si="54"/>
        <v>0.3</v>
      </c>
      <c r="AG229" s="142">
        <v>2.4</v>
      </c>
      <c r="AH229" s="47"/>
      <c r="AI229" s="48"/>
      <c r="AK229" s="50"/>
    </row>
    <row r="230" spans="1:37" x14ac:dyDescent="0.25">
      <c r="A230" s="103" t="s">
        <v>237</v>
      </c>
      <c r="B230" s="129">
        <f t="shared" si="52"/>
        <v>0.4</v>
      </c>
      <c r="C230" s="129">
        <v>0.4</v>
      </c>
      <c r="D230" s="129">
        <f t="shared" si="53"/>
        <v>0.4</v>
      </c>
      <c r="E230" s="129">
        <f t="shared" si="53"/>
        <v>0.4</v>
      </c>
      <c r="F230" s="129">
        <f t="shared" si="53"/>
        <v>0.4</v>
      </c>
      <c r="G230" s="129">
        <f t="shared" si="53"/>
        <v>0.4</v>
      </c>
      <c r="H230" s="129">
        <f t="shared" si="53"/>
        <v>0.4</v>
      </c>
      <c r="I230" s="129">
        <f t="shared" si="53"/>
        <v>0.4</v>
      </c>
      <c r="J230" s="129">
        <f t="shared" si="53"/>
        <v>0.4</v>
      </c>
      <c r="K230" s="129">
        <f t="shared" si="53"/>
        <v>0.4</v>
      </c>
      <c r="L230" s="129">
        <f t="shared" si="53"/>
        <v>0.4</v>
      </c>
      <c r="M230" s="129">
        <f t="shared" si="53"/>
        <v>0.4</v>
      </c>
      <c r="N230" s="129">
        <f t="shared" si="53"/>
        <v>0.4</v>
      </c>
      <c r="O230" s="129">
        <f t="shared" si="53"/>
        <v>0.4</v>
      </c>
      <c r="P230" s="129">
        <f t="shared" si="53"/>
        <v>0.4</v>
      </c>
      <c r="Q230" s="129">
        <f t="shared" si="53"/>
        <v>0.4</v>
      </c>
      <c r="R230" s="129">
        <f t="shared" si="53"/>
        <v>0.4</v>
      </c>
      <c r="S230" s="129">
        <f t="shared" si="53"/>
        <v>0.4</v>
      </c>
      <c r="T230" s="129">
        <f t="shared" si="54"/>
        <v>0.4</v>
      </c>
      <c r="U230" s="129">
        <f t="shared" si="54"/>
        <v>0.4</v>
      </c>
      <c r="V230" s="129">
        <f t="shared" si="54"/>
        <v>0.4</v>
      </c>
      <c r="W230" s="129">
        <f t="shared" si="54"/>
        <v>0.4</v>
      </c>
      <c r="X230" s="129">
        <f t="shared" si="54"/>
        <v>0.4</v>
      </c>
      <c r="Y230" s="129">
        <f t="shared" si="54"/>
        <v>0.4</v>
      </c>
      <c r="Z230" s="129">
        <f t="shared" si="54"/>
        <v>0.4</v>
      </c>
      <c r="AA230" s="129">
        <f t="shared" si="54"/>
        <v>0.4</v>
      </c>
      <c r="AB230" s="129">
        <f t="shared" si="54"/>
        <v>0.4</v>
      </c>
      <c r="AC230" s="129">
        <f t="shared" si="54"/>
        <v>0.4</v>
      </c>
      <c r="AD230" s="129">
        <f t="shared" si="54"/>
        <v>0.4</v>
      </c>
      <c r="AE230" s="129">
        <f t="shared" si="54"/>
        <v>0.4</v>
      </c>
      <c r="AF230" s="129">
        <f t="shared" si="54"/>
        <v>0.4</v>
      </c>
      <c r="AG230" s="143">
        <v>2</v>
      </c>
      <c r="AH230" s="47"/>
      <c r="AI230" s="48"/>
      <c r="AK230" s="50"/>
    </row>
    <row r="231" spans="1:37" x14ac:dyDescent="0.25">
      <c r="A231" s="103" t="s">
        <v>238</v>
      </c>
      <c r="B231" s="129">
        <f t="shared" si="52"/>
        <v>1.5</v>
      </c>
      <c r="C231" s="129">
        <v>1.5</v>
      </c>
      <c r="D231" s="129">
        <f t="shared" si="53"/>
        <v>1.5</v>
      </c>
      <c r="E231" s="129">
        <f t="shared" si="53"/>
        <v>1.5</v>
      </c>
      <c r="F231" s="129">
        <f t="shared" si="53"/>
        <v>1.5</v>
      </c>
      <c r="G231" s="129">
        <f t="shared" si="53"/>
        <v>1.5</v>
      </c>
      <c r="H231" s="129">
        <f t="shared" si="53"/>
        <v>1.5</v>
      </c>
      <c r="I231" s="129">
        <f t="shared" si="53"/>
        <v>1.5</v>
      </c>
      <c r="J231" s="129">
        <f t="shared" si="53"/>
        <v>1.5</v>
      </c>
      <c r="K231" s="129">
        <f t="shared" si="53"/>
        <v>1.5</v>
      </c>
      <c r="L231" s="129">
        <f t="shared" si="53"/>
        <v>1.5</v>
      </c>
      <c r="M231" s="129">
        <f t="shared" si="53"/>
        <v>1.5</v>
      </c>
      <c r="N231" s="129">
        <f t="shared" si="53"/>
        <v>1.5</v>
      </c>
      <c r="O231" s="129">
        <f t="shared" si="53"/>
        <v>1.5</v>
      </c>
      <c r="P231" s="129">
        <f t="shared" si="53"/>
        <v>1.5</v>
      </c>
      <c r="Q231" s="129">
        <f t="shared" si="53"/>
        <v>1.5</v>
      </c>
      <c r="R231" s="129">
        <f t="shared" si="53"/>
        <v>1.5</v>
      </c>
      <c r="S231" s="129">
        <f t="shared" si="53"/>
        <v>1.5</v>
      </c>
      <c r="T231" s="129">
        <f t="shared" si="54"/>
        <v>1.5</v>
      </c>
      <c r="U231" s="129">
        <f t="shared" si="54"/>
        <v>1.5</v>
      </c>
      <c r="V231" s="129">
        <f t="shared" si="54"/>
        <v>1.5</v>
      </c>
      <c r="W231" s="129">
        <f t="shared" si="54"/>
        <v>1.5</v>
      </c>
      <c r="X231" s="129">
        <f t="shared" si="54"/>
        <v>1.5</v>
      </c>
      <c r="Y231" s="129">
        <f t="shared" si="54"/>
        <v>1.5</v>
      </c>
      <c r="Z231" s="129">
        <f t="shared" si="54"/>
        <v>1.5</v>
      </c>
      <c r="AA231" s="129">
        <f t="shared" si="54"/>
        <v>1.5</v>
      </c>
      <c r="AB231" s="129">
        <f t="shared" si="54"/>
        <v>1.5</v>
      </c>
      <c r="AC231" s="129">
        <f t="shared" si="54"/>
        <v>1.5</v>
      </c>
      <c r="AD231" s="129">
        <f t="shared" si="54"/>
        <v>1.5</v>
      </c>
      <c r="AE231" s="129">
        <f t="shared" si="54"/>
        <v>1.5</v>
      </c>
      <c r="AF231" s="129">
        <f t="shared" si="54"/>
        <v>1.5</v>
      </c>
      <c r="AG231" s="143">
        <v>1.5</v>
      </c>
      <c r="AH231" s="47"/>
      <c r="AI231" s="48"/>
      <c r="AK231" s="50"/>
    </row>
    <row r="232" spans="1:37" x14ac:dyDescent="0.25">
      <c r="A232" s="103" t="s">
        <v>239</v>
      </c>
      <c r="B232" s="129">
        <f t="shared" si="52"/>
        <v>0.3</v>
      </c>
      <c r="C232" s="129">
        <v>0.3</v>
      </c>
      <c r="D232" s="129">
        <f t="shared" si="53"/>
        <v>0.3</v>
      </c>
      <c r="E232" s="129">
        <f t="shared" si="53"/>
        <v>0.3</v>
      </c>
      <c r="F232" s="129">
        <f t="shared" si="53"/>
        <v>0.3</v>
      </c>
      <c r="G232" s="129">
        <f t="shared" si="53"/>
        <v>0.3</v>
      </c>
      <c r="H232" s="129">
        <f t="shared" si="53"/>
        <v>0.3</v>
      </c>
      <c r="I232" s="129">
        <f t="shared" si="53"/>
        <v>0.3</v>
      </c>
      <c r="J232" s="129">
        <f t="shared" si="53"/>
        <v>0.3</v>
      </c>
      <c r="K232" s="129">
        <f t="shared" si="53"/>
        <v>0.3</v>
      </c>
      <c r="L232" s="129">
        <f t="shared" si="53"/>
        <v>0.3</v>
      </c>
      <c r="M232" s="129">
        <f t="shared" si="53"/>
        <v>0.3</v>
      </c>
      <c r="N232" s="129">
        <f t="shared" si="53"/>
        <v>0.3</v>
      </c>
      <c r="O232" s="129">
        <f t="shared" si="53"/>
        <v>0.3</v>
      </c>
      <c r="P232" s="129">
        <f t="shared" si="53"/>
        <v>0.3</v>
      </c>
      <c r="Q232" s="129">
        <f t="shared" si="53"/>
        <v>0.3</v>
      </c>
      <c r="R232" s="129">
        <f t="shared" si="53"/>
        <v>0.3</v>
      </c>
      <c r="S232" s="129">
        <f t="shared" si="53"/>
        <v>0.3</v>
      </c>
      <c r="T232" s="129">
        <f t="shared" si="54"/>
        <v>0.3</v>
      </c>
      <c r="U232" s="129">
        <f t="shared" si="54"/>
        <v>0.3</v>
      </c>
      <c r="V232" s="129">
        <f t="shared" si="54"/>
        <v>0.3</v>
      </c>
      <c r="W232" s="129">
        <f t="shared" si="54"/>
        <v>0.3</v>
      </c>
      <c r="X232" s="129">
        <f t="shared" si="54"/>
        <v>0.3</v>
      </c>
      <c r="Y232" s="129">
        <f t="shared" si="54"/>
        <v>0.3</v>
      </c>
      <c r="Z232" s="129">
        <f t="shared" si="54"/>
        <v>0.3</v>
      </c>
      <c r="AA232" s="129">
        <f t="shared" si="54"/>
        <v>0.3</v>
      </c>
      <c r="AB232" s="129">
        <f t="shared" si="54"/>
        <v>0.3</v>
      </c>
      <c r="AC232" s="129">
        <f t="shared" si="54"/>
        <v>0.3</v>
      </c>
      <c r="AD232" s="129">
        <f t="shared" si="54"/>
        <v>0.3</v>
      </c>
      <c r="AE232" s="129">
        <f t="shared" si="54"/>
        <v>0.3</v>
      </c>
      <c r="AF232" s="129">
        <f t="shared" si="54"/>
        <v>0.3</v>
      </c>
      <c r="AG232" s="143">
        <v>1</v>
      </c>
      <c r="AH232" s="47"/>
      <c r="AI232" s="48"/>
      <c r="AK232" s="50"/>
    </row>
    <row r="233" spans="1:37" x14ac:dyDescent="0.25">
      <c r="A233" s="103" t="s">
        <v>240</v>
      </c>
      <c r="B233" s="129">
        <f t="shared" si="52"/>
        <v>0.4</v>
      </c>
      <c r="C233" s="129">
        <v>0.4</v>
      </c>
      <c r="D233" s="129">
        <f t="shared" si="53"/>
        <v>0.4</v>
      </c>
      <c r="E233" s="129">
        <f t="shared" si="53"/>
        <v>0.4</v>
      </c>
      <c r="F233" s="129">
        <f t="shared" si="53"/>
        <v>0.4</v>
      </c>
      <c r="G233" s="129">
        <f t="shared" si="53"/>
        <v>0.4</v>
      </c>
      <c r="H233" s="129">
        <f t="shared" si="53"/>
        <v>0.4</v>
      </c>
      <c r="I233" s="129">
        <f t="shared" si="53"/>
        <v>0.4</v>
      </c>
      <c r="J233" s="129">
        <f t="shared" si="53"/>
        <v>0.4</v>
      </c>
      <c r="K233" s="129">
        <f t="shared" si="53"/>
        <v>0.4</v>
      </c>
      <c r="L233" s="129">
        <f t="shared" si="53"/>
        <v>0.4</v>
      </c>
      <c r="M233" s="129">
        <f t="shared" si="53"/>
        <v>0.4</v>
      </c>
      <c r="N233" s="129">
        <f t="shared" si="53"/>
        <v>0.4</v>
      </c>
      <c r="O233" s="129">
        <f t="shared" si="53"/>
        <v>0.4</v>
      </c>
      <c r="P233" s="129">
        <f t="shared" si="53"/>
        <v>0.4</v>
      </c>
      <c r="Q233" s="129">
        <f t="shared" si="53"/>
        <v>0.4</v>
      </c>
      <c r="R233" s="129">
        <f t="shared" si="53"/>
        <v>0.4</v>
      </c>
      <c r="S233" s="129">
        <f t="shared" si="53"/>
        <v>0.4</v>
      </c>
      <c r="T233" s="129">
        <f t="shared" si="54"/>
        <v>0.4</v>
      </c>
      <c r="U233" s="129">
        <f t="shared" si="54"/>
        <v>0.4</v>
      </c>
      <c r="V233" s="129">
        <f t="shared" si="54"/>
        <v>0.4</v>
      </c>
      <c r="W233" s="129">
        <f t="shared" si="54"/>
        <v>0.4</v>
      </c>
      <c r="X233" s="129">
        <f t="shared" si="54"/>
        <v>0.4</v>
      </c>
      <c r="Y233" s="129">
        <f t="shared" si="54"/>
        <v>0.4</v>
      </c>
      <c r="Z233" s="129">
        <f t="shared" si="54"/>
        <v>0.4</v>
      </c>
      <c r="AA233" s="129">
        <f t="shared" si="54"/>
        <v>0.4</v>
      </c>
      <c r="AB233" s="129">
        <f t="shared" si="54"/>
        <v>0.4</v>
      </c>
      <c r="AC233" s="129">
        <f t="shared" si="54"/>
        <v>0.4</v>
      </c>
      <c r="AD233" s="129">
        <f t="shared" si="54"/>
        <v>0.4</v>
      </c>
      <c r="AE233" s="129">
        <f t="shared" si="54"/>
        <v>0.4</v>
      </c>
      <c r="AF233" s="129">
        <f t="shared" si="54"/>
        <v>0.4</v>
      </c>
      <c r="AG233" s="143">
        <v>1</v>
      </c>
      <c r="AH233" s="47"/>
      <c r="AI233" s="48"/>
      <c r="AK233" s="50"/>
    </row>
    <row r="234" spans="1:37" ht="15.75" thickBot="1" x14ac:dyDescent="0.3">
      <c r="A234" s="116" t="s">
        <v>241</v>
      </c>
      <c r="B234" s="133">
        <f t="shared" si="52"/>
        <v>0.64</v>
      </c>
      <c r="C234" s="133">
        <v>0.64</v>
      </c>
      <c r="D234" s="133">
        <f t="shared" si="53"/>
        <v>0.64</v>
      </c>
      <c r="E234" s="133">
        <f t="shared" si="53"/>
        <v>0.64</v>
      </c>
      <c r="F234" s="133">
        <f t="shared" si="53"/>
        <v>0.64</v>
      </c>
      <c r="G234" s="133">
        <f t="shared" si="53"/>
        <v>0.64</v>
      </c>
      <c r="H234" s="133">
        <f t="shared" si="53"/>
        <v>0.64</v>
      </c>
      <c r="I234" s="133">
        <f t="shared" si="53"/>
        <v>0.64</v>
      </c>
      <c r="J234" s="133">
        <f t="shared" si="53"/>
        <v>0.64</v>
      </c>
      <c r="K234" s="133">
        <f t="shared" si="53"/>
        <v>0.64</v>
      </c>
      <c r="L234" s="133">
        <f t="shared" si="53"/>
        <v>0.64</v>
      </c>
      <c r="M234" s="133">
        <f t="shared" si="53"/>
        <v>0.64</v>
      </c>
      <c r="N234" s="133">
        <f t="shared" si="53"/>
        <v>0.64</v>
      </c>
      <c r="O234" s="133">
        <f t="shared" si="53"/>
        <v>0.64</v>
      </c>
      <c r="P234" s="133">
        <f t="shared" si="53"/>
        <v>0.64</v>
      </c>
      <c r="Q234" s="133">
        <f t="shared" si="53"/>
        <v>0.64</v>
      </c>
      <c r="R234" s="133">
        <f t="shared" si="53"/>
        <v>0.64</v>
      </c>
      <c r="S234" s="133">
        <f t="shared" si="53"/>
        <v>0.64</v>
      </c>
      <c r="T234" s="133">
        <f t="shared" si="54"/>
        <v>0.64</v>
      </c>
      <c r="U234" s="133">
        <f t="shared" si="54"/>
        <v>0.64</v>
      </c>
      <c r="V234" s="133">
        <f t="shared" si="54"/>
        <v>0.64</v>
      </c>
      <c r="W234" s="133">
        <f t="shared" si="54"/>
        <v>0.64</v>
      </c>
      <c r="X234" s="133">
        <f t="shared" si="54"/>
        <v>0.64</v>
      </c>
      <c r="Y234" s="133">
        <f t="shared" si="54"/>
        <v>0.64</v>
      </c>
      <c r="Z234" s="133">
        <f t="shared" si="54"/>
        <v>0.64</v>
      </c>
      <c r="AA234" s="133">
        <f t="shared" si="54"/>
        <v>0.64</v>
      </c>
      <c r="AB234" s="133">
        <f t="shared" si="54"/>
        <v>0.64</v>
      </c>
      <c r="AC234" s="133">
        <f t="shared" si="54"/>
        <v>0.64</v>
      </c>
      <c r="AD234" s="133">
        <f t="shared" si="54"/>
        <v>0.64</v>
      </c>
      <c r="AE234" s="133">
        <f t="shared" si="54"/>
        <v>0.64</v>
      </c>
      <c r="AF234" s="133">
        <f t="shared" si="54"/>
        <v>0.64</v>
      </c>
      <c r="AG234" s="144">
        <v>0.66</v>
      </c>
      <c r="AH234" s="47"/>
      <c r="AI234" s="48"/>
    </row>
    <row r="235" spans="1:37" ht="15.75" thickBot="1" x14ac:dyDescent="0.3">
      <c r="A235" s="145" t="s">
        <v>75</v>
      </c>
      <c r="B235" s="137">
        <f t="shared" ref="B235:AG235" si="55">SUM(B229:B234)</f>
        <v>3.54</v>
      </c>
      <c r="C235" s="137">
        <f t="shared" si="55"/>
        <v>3.54</v>
      </c>
      <c r="D235" s="137">
        <f t="shared" si="55"/>
        <v>3.54</v>
      </c>
      <c r="E235" s="137">
        <f t="shared" si="55"/>
        <v>3.54</v>
      </c>
      <c r="F235" s="137">
        <f t="shared" si="55"/>
        <v>3.54</v>
      </c>
      <c r="G235" s="137">
        <f t="shared" si="55"/>
        <v>3.54</v>
      </c>
      <c r="H235" s="137">
        <f t="shared" si="55"/>
        <v>3.54</v>
      </c>
      <c r="I235" s="137">
        <f t="shared" si="55"/>
        <v>3.54</v>
      </c>
      <c r="J235" s="137">
        <f t="shared" si="55"/>
        <v>3.54</v>
      </c>
      <c r="K235" s="137">
        <f t="shared" si="55"/>
        <v>3.54</v>
      </c>
      <c r="L235" s="137">
        <f t="shared" si="55"/>
        <v>3.54</v>
      </c>
      <c r="M235" s="137">
        <f t="shared" si="55"/>
        <v>3.54</v>
      </c>
      <c r="N235" s="137">
        <f t="shared" si="55"/>
        <v>3.54</v>
      </c>
      <c r="O235" s="137">
        <f t="shared" si="55"/>
        <v>3.54</v>
      </c>
      <c r="P235" s="137">
        <f t="shared" si="55"/>
        <v>3.54</v>
      </c>
      <c r="Q235" s="137">
        <f t="shared" si="55"/>
        <v>3.54</v>
      </c>
      <c r="R235" s="137">
        <f t="shared" si="55"/>
        <v>3.54</v>
      </c>
      <c r="S235" s="137">
        <f t="shared" si="55"/>
        <v>3.54</v>
      </c>
      <c r="T235" s="137">
        <f t="shared" si="55"/>
        <v>3.54</v>
      </c>
      <c r="U235" s="137">
        <f t="shared" si="55"/>
        <v>3.54</v>
      </c>
      <c r="V235" s="137">
        <f t="shared" si="55"/>
        <v>3.54</v>
      </c>
      <c r="W235" s="137">
        <f t="shared" si="55"/>
        <v>3.54</v>
      </c>
      <c r="X235" s="137">
        <f t="shared" si="55"/>
        <v>3.54</v>
      </c>
      <c r="Y235" s="137">
        <f t="shared" si="55"/>
        <v>3.54</v>
      </c>
      <c r="Z235" s="137">
        <f t="shared" si="55"/>
        <v>3.54</v>
      </c>
      <c r="AA235" s="137">
        <f t="shared" si="55"/>
        <v>3.54</v>
      </c>
      <c r="AB235" s="137">
        <f t="shared" si="55"/>
        <v>3.54</v>
      </c>
      <c r="AC235" s="137">
        <f t="shared" si="55"/>
        <v>3.54</v>
      </c>
      <c r="AD235" s="137">
        <f t="shared" si="55"/>
        <v>3.54</v>
      </c>
      <c r="AE235" s="137">
        <f t="shared" si="55"/>
        <v>3.54</v>
      </c>
      <c r="AF235" s="137">
        <f t="shared" si="55"/>
        <v>3.54</v>
      </c>
      <c r="AG235" s="146">
        <f t="shared" si="5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242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243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244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245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246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247</v>
      </c>
      <c r="B244" s="161">
        <f>MAX(G91:N91)</f>
        <v>1700.44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33" t="s">
        <v>248</v>
      </c>
      <c r="B246" s="233"/>
      <c r="C246" s="43"/>
      <c r="D246" s="163" t="str">
        <f ca="1">"Pie Chart of Daily Peak Demand(Inclusive of Export) of Nepal ("&amp;A4&amp;" "&amp;B4&amp;")"</f>
        <v>Pie Chart of Daily Peak Demand(Inclusive of Export) of Nepal (Nepali Date: 2080/09/1)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2080/09/1)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249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250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251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1">
        <f t="shared" ref="T249:AX249" si="56">B91</f>
        <v>1077.74</v>
      </c>
      <c r="U249" s="171">
        <f t="shared" si="56"/>
        <v>1061.3399999999999</v>
      </c>
      <c r="V249" s="171">
        <f t="shared" si="56"/>
        <v>1022.6400000000001</v>
      </c>
      <c r="W249" s="171">
        <f t="shared" si="56"/>
        <v>1053.04</v>
      </c>
      <c r="X249" s="171">
        <f t="shared" si="56"/>
        <v>1073.1400000000001</v>
      </c>
      <c r="Y249" s="171">
        <f t="shared" si="56"/>
        <v>1105.7400000000002</v>
      </c>
      <c r="Z249" s="171">
        <f t="shared" si="56"/>
        <v>1238.9400000000003</v>
      </c>
      <c r="AA249" s="171">
        <f t="shared" si="56"/>
        <v>1310.3400000000001</v>
      </c>
      <c r="AB249" s="171">
        <f t="shared" si="56"/>
        <v>1455.8400000000001</v>
      </c>
      <c r="AC249" s="171">
        <f t="shared" si="56"/>
        <v>1684.96</v>
      </c>
      <c r="AD249" s="171">
        <f t="shared" si="56"/>
        <v>1700.44</v>
      </c>
      <c r="AE249" s="171">
        <f t="shared" si="56"/>
        <v>1630.54</v>
      </c>
      <c r="AF249" s="171">
        <f t="shared" si="56"/>
        <v>1619.54</v>
      </c>
      <c r="AG249" s="171">
        <f t="shared" si="56"/>
        <v>1553.44</v>
      </c>
      <c r="AH249" s="171">
        <f t="shared" si="56"/>
        <v>1449.7399999999998</v>
      </c>
      <c r="AI249" s="171">
        <f t="shared" si="56"/>
        <v>1402.94</v>
      </c>
      <c r="AJ249" s="171">
        <f t="shared" si="56"/>
        <v>1365.8400000000001</v>
      </c>
      <c r="AK249" s="171">
        <f t="shared" si="56"/>
        <v>1358.0400000000002</v>
      </c>
      <c r="AL249" s="171">
        <f t="shared" si="56"/>
        <v>1321.6399999999999</v>
      </c>
      <c r="AM249" s="171">
        <f t="shared" si="56"/>
        <v>1363.94</v>
      </c>
      <c r="AN249" s="171">
        <f t="shared" si="56"/>
        <v>1473.44</v>
      </c>
      <c r="AO249" s="171">
        <f t="shared" si="56"/>
        <v>1500.54</v>
      </c>
      <c r="AP249" s="171">
        <f t="shared" si="56"/>
        <v>1720.8400000000001</v>
      </c>
      <c r="AQ249" s="171">
        <f t="shared" si="56"/>
        <v>1659.74</v>
      </c>
      <c r="AR249" s="171">
        <f t="shared" si="56"/>
        <v>1588.74</v>
      </c>
      <c r="AS249" s="171">
        <f t="shared" si="56"/>
        <v>1540.44</v>
      </c>
      <c r="AT249" s="171">
        <f t="shared" si="56"/>
        <v>1479.64</v>
      </c>
      <c r="AU249" s="171">
        <f t="shared" si="56"/>
        <v>1424.64</v>
      </c>
      <c r="AV249" s="171">
        <f t="shared" si="56"/>
        <v>1423.64</v>
      </c>
      <c r="AW249" s="171">
        <f t="shared" si="56"/>
        <v>1171.8400000000001</v>
      </c>
      <c r="AX249" s="171">
        <f t="shared" si="56"/>
        <v>1105.1400000000001</v>
      </c>
    </row>
    <row r="250" spans="1:50" x14ac:dyDescent="0.25">
      <c r="A250" s="164" t="s">
        <v>253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254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255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256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257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242</v>
      </c>
      <c r="B270" s="174">
        <f t="shared" ref="B270:AE270" si="57">C234</f>
        <v>0.64</v>
      </c>
      <c r="C270" s="174">
        <f t="shared" si="57"/>
        <v>0.64</v>
      </c>
      <c r="D270" s="174">
        <f t="shared" si="57"/>
        <v>0.64</v>
      </c>
      <c r="E270" s="174">
        <f t="shared" si="57"/>
        <v>0.64</v>
      </c>
      <c r="F270" s="174">
        <f t="shared" si="57"/>
        <v>0.64</v>
      </c>
      <c r="G270" s="174">
        <f t="shared" si="57"/>
        <v>0.64</v>
      </c>
      <c r="H270" s="174">
        <f t="shared" si="57"/>
        <v>0.64</v>
      </c>
      <c r="I270" s="174">
        <f t="shared" si="57"/>
        <v>0.64</v>
      </c>
      <c r="J270" s="174">
        <f t="shared" si="57"/>
        <v>0.64</v>
      </c>
      <c r="K270" s="174">
        <f t="shared" si="57"/>
        <v>0.64</v>
      </c>
      <c r="L270" s="174">
        <f t="shared" si="57"/>
        <v>0.64</v>
      </c>
      <c r="M270" s="174">
        <f t="shared" si="57"/>
        <v>0.64</v>
      </c>
      <c r="N270" s="174">
        <f t="shared" si="57"/>
        <v>0.64</v>
      </c>
      <c r="O270" s="174">
        <f t="shared" si="57"/>
        <v>0.64</v>
      </c>
      <c r="P270" s="174">
        <f t="shared" si="57"/>
        <v>0.64</v>
      </c>
      <c r="Q270" s="174">
        <f t="shared" si="57"/>
        <v>0.64</v>
      </c>
      <c r="R270" s="174">
        <f t="shared" si="57"/>
        <v>0.64</v>
      </c>
      <c r="S270" s="174">
        <f t="shared" si="57"/>
        <v>0.64</v>
      </c>
      <c r="T270" s="174">
        <f t="shared" si="57"/>
        <v>0.64</v>
      </c>
      <c r="U270" s="174">
        <f t="shared" si="57"/>
        <v>0.64</v>
      </c>
      <c r="V270" s="174">
        <f t="shared" si="57"/>
        <v>0.64</v>
      </c>
      <c r="W270" s="174">
        <f t="shared" si="57"/>
        <v>0.64</v>
      </c>
      <c r="X270" s="174">
        <f t="shared" si="57"/>
        <v>0.64</v>
      </c>
      <c r="Y270" s="174">
        <f t="shared" si="57"/>
        <v>0.64</v>
      </c>
      <c r="Z270" s="174">
        <f t="shared" si="57"/>
        <v>0.64</v>
      </c>
      <c r="AA270" s="174">
        <f t="shared" si="57"/>
        <v>0.64</v>
      </c>
      <c r="AB270" s="174">
        <f t="shared" si="57"/>
        <v>0.64</v>
      </c>
      <c r="AC270" s="174">
        <f t="shared" si="57"/>
        <v>0.64</v>
      </c>
      <c r="AD270" s="174">
        <f t="shared" si="57"/>
        <v>0.64</v>
      </c>
      <c r="AE270" s="174">
        <f t="shared" si="57"/>
        <v>0.64</v>
      </c>
      <c r="AF270" s="174">
        <f>B234</f>
        <v>0.64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58">IF(B238&lt;100,"",B238-520)</f>
        <v/>
      </c>
      <c r="C271" s="175" t="str">
        <f t="shared" si="58"/>
        <v/>
      </c>
      <c r="D271" s="175" t="str">
        <f t="shared" si="58"/>
        <v/>
      </c>
      <c r="E271" s="175" t="str">
        <f t="shared" si="58"/>
        <v/>
      </c>
      <c r="F271" s="175" t="str">
        <f t="shared" si="58"/>
        <v/>
      </c>
      <c r="G271" s="175" t="str">
        <f t="shared" si="58"/>
        <v/>
      </c>
      <c r="H271" s="175" t="str">
        <f t="shared" si="58"/>
        <v/>
      </c>
      <c r="I271" s="175" t="str">
        <f t="shared" si="58"/>
        <v/>
      </c>
      <c r="J271" s="175" t="str">
        <f t="shared" si="58"/>
        <v/>
      </c>
      <c r="K271" s="175" t="str">
        <f t="shared" si="58"/>
        <v/>
      </c>
      <c r="L271" s="175" t="str">
        <f t="shared" si="58"/>
        <v/>
      </c>
      <c r="M271" s="175" t="str">
        <f t="shared" si="58"/>
        <v/>
      </c>
      <c r="N271" s="175" t="str">
        <f t="shared" si="58"/>
        <v/>
      </c>
      <c r="O271" s="175" t="str">
        <f t="shared" si="58"/>
        <v/>
      </c>
      <c r="P271" s="175" t="str">
        <f t="shared" si="58"/>
        <v/>
      </c>
      <c r="Q271" s="175" t="str">
        <f t="shared" si="58"/>
        <v/>
      </c>
      <c r="R271" s="175" t="str">
        <f t="shared" si="58"/>
        <v/>
      </c>
      <c r="S271" s="175" t="str">
        <f t="shared" si="58"/>
        <v/>
      </c>
      <c r="T271" s="175" t="str">
        <f t="shared" si="58"/>
        <v/>
      </c>
      <c r="U271" s="175" t="str">
        <f t="shared" si="58"/>
        <v/>
      </c>
      <c r="V271" s="175" t="str">
        <f t="shared" si="58"/>
        <v/>
      </c>
      <c r="W271" s="175" t="str">
        <f t="shared" si="58"/>
        <v/>
      </c>
      <c r="X271" s="175" t="str">
        <f t="shared" si="58"/>
        <v/>
      </c>
      <c r="Y271" s="175" t="str">
        <f t="shared" si="58"/>
        <v/>
      </c>
      <c r="Z271" s="175" t="str">
        <f t="shared" si="58"/>
        <v/>
      </c>
      <c r="AA271" s="175" t="str">
        <f t="shared" si="58"/>
        <v/>
      </c>
      <c r="AB271" s="175" t="str">
        <f t="shared" si="58"/>
        <v/>
      </c>
      <c r="AC271" s="175" t="str">
        <f t="shared" si="58"/>
        <v/>
      </c>
      <c r="AD271" s="175" t="str">
        <f t="shared" si="58"/>
        <v/>
      </c>
      <c r="AE271" s="175" t="str">
        <f t="shared" si="58"/>
        <v/>
      </c>
      <c r="AF271" s="175" t="str">
        <f t="shared" si="58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59">IF(B239&lt;100,"",B239-620)</f>
        <v/>
      </c>
      <c r="C272" s="175" t="str">
        <f t="shared" si="59"/>
        <v/>
      </c>
      <c r="D272" s="175" t="str">
        <f t="shared" si="59"/>
        <v/>
      </c>
      <c r="E272" s="175" t="str">
        <f t="shared" si="59"/>
        <v/>
      </c>
      <c r="F272" s="175" t="str">
        <f t="shared" si="59"/>
        <v/>
      </c>
      <c r="G272" s="175" t="str">
        <f t="shared" si="59"/>
        <v/>
      </c>
      <c r="H272" s="175" t="str">
        <f t="shared" si="59"/>
        <v/>
      </c>
      <c r="I272" s="175" t="str">
        <f t="shared" si="59"/>
        <v/>
      </c>
      <c r="J272" s="175" t="str">
        <f t="shared" si="59"/>
        <v/>
      </c>
      <c r="K272" s="175" t="str">
        <f t="shared" si="59"/>
        <v/>
      </c>
      <c r="L272" s="175" t="str">
        <f t="shared" si="59"/>
        <v/>
      </c>
      <c r="M272" s="175" t="str">
        <f t="shared" si="59"/>
        <v/>
      </c>
      <c r="N272" s="175" t="str">
        <f t="shared" si="59"/>
        <v/>
      </c>
      <c r="O272" s="175" t="str">
        <f t="shared" si="59"/>
        <v/>
      </c>
      <c r="P272" s="175" t="str">
        <f t="shared" si="59"/>
        <v/>
      </c>
      <c r="Q272" s="175" t="str">
        <f t="shared" si="59"/>
        <v/>
      </c>
      <c r="R272" s="175" t="str">
        <f t="shared" si="59"/>
        <v/>
      </c>
      <c r="S272" s="175" t="str">
        <f t="shared" si="59"/>
        <v/>
      </c>
      <c r="T272" s="175" t="str">
        <f t="shared" si="59"/>
        <v/>
      </c>
      <c r="U272" s="175" t="str">
        <f t="shared" si="59"/>
        <v/>
      </c>
      <c r="V272" s="175" t="str">
        <f t="shared" si="59"/>
        <v/>
      </c>
      <c r="W272" s="175" t="str">
        <f t="shared" si="59"/>
        <v/>
      </c>
      <c r="X272" s="175" t="str">
        <f t="shared" si="59"/>
        <v/>
      </c>
      <c r="Y272" s="175" t="str">
        <f t="shared" si="59"/>
        <v/>
      </c>
      <c r="Z272" s="175" t="str">
        <f t="shared" si="59"/>
        <v/>
      </c>
      <c r="AA272" s="175" t="str">
        <f t="shared" si="59"/>
        <v/>
      </c>
      <c r="AB272" s="175" t="str">
        <f t="shared" si="59"/>
        <v/>
      </c>
      <c r="AC272" s="175" t="str">
        <f t="shared" si="59"/>
        <v/>
      </c>
      <c r="AD272" s="175" t="str">
        <f t="shared" si="59"/>
        <v/>
      </c>
      <c r="AE272" s="175" t="str">
        <f t="shared" si="59"/>
        <v/>
      </c>
      <c r="AF272" s="175" t="str">
        <f t="shared" si="59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60">IF(B240&lt;100,"",B240-330)</f>
        <v/>
      </c>
      <c r="C273" s="175" t="str">
        <f t="shared" si="60"/>
        <v/>
      </c>
      <c r="D273" s="175" t="str">
        <f t="shared" si="60"/>
        <v/>
      </c>
      <c r="E273" s="175" t="str">
        <f t="shared" si="60"/>
        <v/>
      </c>
      <c r="F273" s="175" t="str">
        <f t="shared" si="60"/>
        <v/>
      </c>
      <c r="G273" s="175" t="str">
        <f t="shared" si="60"/>
        <v/>
      </c>
      <c r="H273" s="175" t="str">
        <f t="shared" si="60"/>
        <v/>
      </c>
      <c r="I273" s="175" t="str">
        <f t="shared" si="60"/>
        <v/>
      </c>
      <c r="J273" s="175" t="str">
        <f t="shared" si="60"/>
        <v/>
      </c>
      <c r="K273" s="175" t="str">
        <f t="shared" si="60"/>
        <v/>
      </c>
      <c r="L273" s="175" t="str">
        <f t="shared" si="60"/>
        <v/>
      </c>
      <c r="M273" s="175" t="str">
        <f t="shared" si="60"/>
        <v/>
      </c>
      <c r="N273" s="175" t="str">
        <f t="shared" si="60"/>
        <v/>
      </c>
      <c r="O273" s="175" t="str">
        <f t="shared" si="60"/>
        <v/>
      </c>
      <c r="P273" s="175" t="str">
        <f t="shared" si="60"/>
        <v/>
      </c>
      <c r="Q273" s="175" t="str">
        <f t="shared" si="60"/>
        <v/>
      </c>
      <c r="R273" s="175" t="str">
        <f t="shared" si="60"/>
        <v/>
      </c>
      <c r="S273" s="175" t="str">
        <f t="shared" si="60"/>
        <v/>
      </c>
      <c r="T273" s="175" t="str">
        <f t="shared" si="60"/>
        <v/>
      </c>
      <c r="U273" s="175" t="str">
        <f t="shared" si="60"/>
        <v/>
      </c>
      <c r="V273" s="175" t="str">
        <f t="shared" si="60"/>
        <v/>
      </c>
      <c r="W273" s="175" t="str">
        <f t="shared" si="60"/>
        <v/>
      </c>
      <c r="X273" s="175" t="str">
        <f t="shared" si="60"/>
        <v/>
      </c>
      <c r="Y273" s="175" t="str">
        <f t="shared" si="60"/>
        <v/>
      </c>
      <c r="Z273" s="175" t="str">
        <f t="shared" si="60"/>
        <v/>
      </c>
      <c r="AA273" s="175" t="str">
        <f t="shared" si="60"/>
        <v/>
      </c>
      <c r="AB273" s="175" t="str">
        <f t="shared" si="60"/>
        <v/>
      </c>
      <c r="AC273" s="175" t="str">
        <f t="shared" si="60"/>
        <v/>
      </c>
      <c r="AD273" s="175" t="str">
        <f t="shared" si="60"/>
        <v/>
      </c>
      <c r="AE273" s="175" t="str">
        <f t="shared" si="60"/>
        <v/>
      </c>
      <c r="AF273" s="175" t="str">
        <f t="shared" si="60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61">IF(B241&lt;100,"",B241-1500)</f>
        <v/>
      </c>
      <c r="C274" s="175" t="str">
        <f t="shared" si="61"/>
        <v/>
      </c>
      <c r="D274" s="175" t="str">
        <f t="shared" si="61"/>
        <v/>
      </c>
      <c r="E274" s="175" t="str">
        <f t="shared" si="61"/>
        <v/>
      </c>
      <c r="F274" s="175" t="str">
        <f t="shared" si="61"/>
        <v/>
      </c>
      <c r="G274" s="175" t="str">
        <f t="shared" si="61"/>
        <v/>
      </c>
      <c r="H274" s="175" t="str">
        <f t="shared" si="61"/>
        <v/>
      </c>
      <c r="I274" s="175" t="str">
        <f t="shared" si="61"/>
        <v/>
      </c>
      <c r="J274" s="175" t="str">
        <f t="shared" si="61"/>
        <v/>
      </c>
      <c r="K274" s="175" t="str">
        <f t="shared" si="61"/>
        <v/>
      </c>
      <c r="L274" s="175" t="str">
        <f t="shared" si="61"/>
        <v/>
      </c>
      <c r="M274" s="175" t="str">
        <f t="shared" si="61"/>
        <v/>
      </c>
      <c r="N274" s="175" t="str">
        <f t="shared" si="61"/>
        <v/>
      </c>
      <c r="O274" s="175" t="str">
        <f t="shared" si="61"/>
        <v/>
      </c>
      <c r="P274" s="175" t="str">
        <f t="shared" si="61"/>
        <v/>
      </c>
      <c r="Q274" s="175" t="str">
        <f t="shared" si="61"/>
        <v/>
      </c>
      <c r="R274" s="175" t="str">
        <f t="shared" si="61"/>
        <v/>
      </c>
      <c r="S274" s="175" t="str">
        <f t="shared" si="61"/>
        <v/>
      </c>
      <c r="T274" s="175" t="str">
        <f t="shared" si="61"/>
        <v/>
      </c>
      <c r="U274" s="175" t="str">
        <f t="shared" si="61"/>
        <v/>
      </c>
      <c r="V274" s="175" t="str">
        <f t="shared" si="61"/>
        <v/>
      </c>
      <c r="W274" s="175" t="str">
        <f t="shared" si="61"/>
        <v/>
      </c>
      <c r="X274" s="175" t="str">
        <f t="shared" si="61"/>
        <v/>
      </c>
      <c r="Y274" s="175" t="str">
        <f t="shared" si="61"/>
        <v/>
      </c>
      <c r="Z274" s="175" t="str">
        <f t="shared" si="61"/>
        <v/>
      </c>
      <c r="AA274" s="175" t="str">
        <f t="shared" si="61"/>
        <v/>
      </c>
      <c r="AB274" s="175" t="str">
        <f t="shared" si="61"/>
        <v/>
      </c>
      <c r="AC274" s="175" t="str">
        <f t="shared" si="61"/>
        <v/>
      </c>
      <c r="AD274" s="175" t="str">
        <f t="shared" si="61"/>
        <v/>
      </c>
      <c r="AE274" s="175" t="str">
        <f t="shared" si="61"/>
        <v/>
      </c>
      <c r="AF274" s="175" t="str">
        <f t="shared" si="6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3718" priority="68">
      <formula>$AH11=0</formula>
    </cfRule>
  </conditionalFormatting>
  <conditionalFormatting sqref="B8 M8 S8 AB8">
    <cfRule type="expression" dxfId="3717" priority="119">
      <formula>AND(C$9&gt;=14/24,C$9&lt;20/24)</formula>
    </cfRule>
    <cfRule type="expression" dxfId="3716" priority="120">
      <formula>AND(C$9&gt;=8/24,C$9&lt;14/24)</formula>
    </cfRule>
    <cfRule type="expression" dxfId="3715" priority="121">
      <formula>C$9&lt;8/24</formula>
    </cfRule>
  </conditionalFormatting>
  <conditionalFormatting sqref="B54:C54">
    <cfRule type="expression" dxfId="3714" priority="44">
      <formula>AND(B$9&gt;=8/24,B$9&lt;14/24)</formula>
    </cfRule>
    <cfRule type="expression" dxfId="3713" priority="45">
      <formula>B$9&lt;8/24</formula>
    </cfRule>
    <cfRule type="expression" dxfId="3712" priority="43">
      <formula>AND(B$9&gt;=14/24,B$9&lt;20/24)</formula>
    </cfRule>
    <cfRule type="expression" dxfId="3711" priority="42">
      <formula>B$9&gt;=20/24</formula>
    </cfRule>
  </conditionalFormatting>
  <conditionalFormatting sqref="B54:C66 D55:D66 E58:J66 K59:Q66">
    <cfRule type="expression" dxfId="3710" priority="37">
      <formula>B54&gt;$AG54</formula>
    </cfRule>
  </conditionalFormatting>
  <conditionalFormatting sqref="B55:D59 E58:J59 K59:Q59">
    <cfRule type="expression" dxfId="3709" priority="67">
      <formula>B$9&lt;8/24</formula>
    </cfRule>
    <cfRule type="expression" dxfId="3708" priority="66">
      <formula>AND(B$9&gt;=8/24,B$9&lt;14/24)</formula>
    </cfRule>
    <cfRule type="expression" dxfId="3707" priority="65">
      <formula>AND(B$9&gt;=14/24,B$9&lt;20/24)</formula>
    </cfRule>
    <cfRule type="expression" dxfId="3706" priority="64">
      <formula>B$9&gt;=20/24</formula>
    </cfRule>
  </conditionalFormatting>
  <conditionalFormatting sqref="B9:AF45">
    <cfRule type="expression" dxfId="3705" priority="30">
      <formula>B$9&lt;8/24</formula>
    </cfRule>
    <cfRule type="expression" dxfId="3704" priority="27">
      <formula>B$9&gt;=20/24</formula>
    </cfRule>
    <cfRule type="expression" dxfId="3703" priority="28">
      <formula>AND(B$9&gt;=14/24,B$9&lt;20/24)</formula>
    </cfRule>
    <cfRule type="expression" dxfId="3702" priority="29">
      <formula>AND(B$9&gt;=8/24,B$9&lt;14/24)</formula>
    </cfRule>
  </conditionalFormatting>
  <conditionalFormatting sqref="B11:AF46">
    <cfRule type="expression" dxfId="3701" priority="26">
      <formula>B11&gt;$AG11</formula>
    </cfRule>
  </conditionalFormatting>
  <conditionalFormatting sqref="B46:AF46">
    <cfRule type="expression" dxfId="3700" priority="25">
      <formula>B$9&lt;8/24</formula>
    </cfRule>
    <cfRule type="expression" dxfId="3699" priority="23">
      <formula>AND(B$9&gt;=14/24,B$9&lt;20/24)</formula>
    </cfRule>
    <cfRule type="expression" dxfId="3698" priority="22">
      <formula>B$9&gt;=20/24</formula>
    </cfRule>
    <cfRule type="expression" dxfId="3697" priority="24">
      <formula>AND(B$9&gt;=8/24,B$9&lt;14/24)</formula>
    </cfRule>
  </conditionalFormatting>
  <conditionalFormatting sqref="B47:AF47">
    <cfRule type="expression" dxfId="3696" priority="36">
      <formula>B47&gt;$AG47</formula>
    </cfRule>
  </conditionalFormatting>
  <conditionalFormatting sqref="B47:AF49">
    <cfRule type="expression" dxfId="3695" priority="32">
      <formula>B$9&gt;=20/24</formula>
    </cfRule>
    <cfRule type="expression" dxfId="3694" priority="33">
      <formula>AND(B$9&gt;=14/24,B$9&lt;20/24)</formula>
    </cfRule>
    <cfRule type="expression" dxfId="3693" priority="34">
      <formula>AND(B$9&gt;=8/24,B$9&lt;14/24)</formula>
    </cfRule>
    <cfRule type="expression" dxfId="3692" priority="35">
      <formula>B$9&lt;8/24</formula>
    </cfRule>
  </conditionalFormatting>
  <conditionalFormatting sqref="B48:AF53">
    <cfRule type="expression" dxfId="3691" priority="31">
      <formula>B48&gt;$AG48</formula>
    </cfRule>
  </conditionalFormatting>
  <conditionalFormatting sqref="B51:AF53">
    <cfRule type="expression" dxfId="3690" priority="51">
      <formula>B$9&gt;=20/24</formula>
    </cfRule>
    <cfRule type="expression" dxfId="3689" priority="52">
      <formula>AND(B$9&gt;=14/24,B$9&lt;20/24)</formula>
    </cfRule>
    <cfRule type="expression" dxfId="3688" priority="53">
      <formula>AND(B$9&gt;=8/24,B$9&lt;14/24)</formula>
    </cfRule>
    <cfRule type="expression" dxfId="3687" priority="54">
      <formula>B$9&lt;8/24</formula>
    </cfRule>
  </conditionalFormatting>
  <conditionalFormatting sqref="B60:AF66">
    <cfRule type="expression" dxfId="3686" priority="38">
      <formula>B$9&gt;=20/24</formula>
    </cfRule>
    <cfRule type="expression" dxfId="3685" priority="39">
      <formula>AND(B$9&gt;=14/24,B$9&lt;20/24)</formula>
    </cfRule>
    <cfRule type="expression" dxfId="3684" priority="40">
      <formula>AND(B$9&gt;=8/24,B$9&lt;14/24)</formula>
    </cfRule>
    <cfRule type="expression" dxfId="3683" priority="41">
      <formula>B$9&lt;8/24</formula>
    </cfRule>
  </conditionalFormatting>
  <conditionalFormatting sqref="B69:AF71">
    <cfRule type="expression" dxfId="3682" priority="59">
      <formula>B69&gt;$AG69</formula>
    </cfRule>
    <cfRule type="expression" dxfId="3681" priority="60">
      <formula>B$9&gt;=20/24</formula>
    </cfRule>
    <cfRule type="expression" dxfId="3680" priority="61">
      <formula>AND(B$9&gt;=14/24,B$9&lt;20/24)</formula>
    </cfRule>
    <cfRule type="expression" dxfId="3679" priority="62">
      <formula>AND(B$9&gt;=8/24,B$9&lt;14/24)</formula>
    </cfRule>
    <cfRule type="expression" dxfId="3678" priority="63">
      <formula>B$9&lt;8/24</formula>
    </cfRule>
  </conditionalFormatting>
  <conditionalFormatting sqref="B73:AF91">
    <cfRule type="expression" dxfId="3677" priority="8">
      <formula>B$9&lt;8/24</formula>
    </cfRule>
    <cfRule type="expression" dxfId="3676" priority="5">
      <formula>B$9&gt;=20/24</formula>
    </cfRule>
    <cfRule type="expression" dxfId="3675" priority="6">
      <formula>AND(B$9&gt;=14/24,B$9&lt;20/24)</formula>
    </cfRule>
    <cfRule type="expression" dxfId="3674" priority="7">
      <formula>AND(B$9&gt;=8/24,B$9&lt;14/24)</formula>
    </cfRule>
  </conditionalFormatting>
  <conditionalFormatting sqref="B93:AF109">
    <cfRule type="expression" dxfId="3673" priority="3">
      <formula>AND(B$9&gt;=8/24,B$9&lt;14/24)</formula>
    </cfRule>
    <cfRule type="expression" dxfId="3672" priority="4">
      <formula>B$9&lt;8/24</formula>
    </cfRule>
    <cfRule type="expression" dxfId="3671" priority="2">
      <formula>AND(B$9&gt;=14/24,B$9&lt;20/24)</formula>
    </cfRule>
    <cfRule type="expression" dxfId="3670" priority="1">
      <formula>B$9&gt;=20/24</formula>
    </cfRule>
  </conditionalFormatting>
  <conditionalFormatting sqref="B111:AF120">
    <cfRule type="expression" dxfId="3669" priority="18">
      <formula>B$9&gt;=20/24</formula>
    </cfRule>
    <cfRule type="expression" dxfId="3668" priority="19">
      <formula>AND(B$9&gt;=14/24,B$9&lt;20/24)</formula>
    </cfRule>
    <cfRule type="expression" dxfId="3667" priority="21">
      <formula>B$9&lt;8/24</formula>
    </cfRule>
    <cfRule type="expression" dxfId="3666" priority="20">
      <formula>AND(B$9&gt;=8/24,B$9&lt;14/24)</formula>
    </cfRule>
  </conditionalFormatting>
  <conditionalFormatting sqref="B227:AF227 B229:B235 D229:AF235 U248:AF248">
    <cfRule type="expression" dxfId="3665" priority="115">
      <formula>B$9&lt;8/24</formula>
    </cfRule>
    <cfRule type="expression" dxfId="3664" priority="113">
      <formula>AND(B$9&gt;=14/24,B$9&lt;20/24)</formula>
    </cfRule>
    <cfRule type="expression" dxfId="3663" priority="114">
      <formula>AND(B$9&gt;=8/24,B$9&lt;14/24)</formula>
    </cfRule>
    <cfRule type="expression" dxfId="3662" priority="112">
      <formula>B$9&gt;=20/24</formula>
    </cfRule>
  </conditionalFormatting>
  <conditionalFormatting sqref="B67:AG68 B72:AG72">
    <cfRule type="expression" dxfId="3661" priority="46">
      <formula>B67&gt;$AG67</formula>
    </cfRule>
  </conditionalFormatting>
  <conditionalFormatting sqref="B72:AG72">
    <cfRule type="expression" dxfId="3660" priority="50">
      <formula>B$9&lt;8/24</formula>
    </cfRule>
    <cfRule type="expression" dxfId="3659" priority="49">
      <formula>AND(B$9&gt;=8/24,B$9&lt;14/24)</formula>
    </cfRule>
    <cfRule type="expression" dxfId="3658" priority="48">
      <formula>AND(B$9&gt;=14/24,B$9&lt;20/24)</formula>
    </cfRule>
    <cfRule type="expression" dxfId="3657" priority="47">
      <formula>B$9&gt;=20/24</formula>
    </cfRule>
  </conditionalFormatting>
  <conditionalFormatting sqref="D54:AG54">
    <cfRule type="expression" dxfId="3656" priority="84">
      <formula>D$9&lt;8/24</formula>
    </cfRule>
    <cfRule type="expression" dxfId="3655" priority="83">
      <formula>AND(D$9&gt;=8/24,D$9&lt;14/24)</formula>
    </cfRule>
    <cfRule type="expression" dxfId="3654" priority="82">
      <formula>AND(D$9&gt;=14/24,D$9&lt;20/24)</formula>
    </cfRule>
    <cfRule type="expression" dxfId="3653" priority="81">
      <formula>D$9&gt;=20/24</formula>
    </cfRule>
    <cfRule type="expression" dxfId="3652" priority="80">
      <formula>D54&gt;$AG54</formula>
    </cfRule>
  </conditionalFormatting>
  <conditionalFormatting sqref="E55:K57 L55:Q58 R55:AF66 K58">
    <cfRule type="expression" dxfId="3651" priority="9">
      <formula>E55&gt;$AG55</formula>
    </cfRule>
  </conditionalFormatting>
  <conditionalFormatting sqref="E55:Q57">
    <cfRule type="expression" dxfId="3650" priority="93">
      <formula>E$9&gt;=20/24</formula>
    </cfRule>
    <cfRule type="expression" dxfId="3649" priority="96">
      <formula>E$9&lt;8/24</formula>
    </cfRule>
    <cfRule type="expression" dxfId="3648" priority="95">
      <formula>AND(E$9&gt;=8/24,E$9&lt;14/24)</formula>
    </cfRule>
    <cfRule type="expression" dxfId="3647" priority="94">
      <formula>AND(E$9&gt;=14/24,E$9&lt;20/24)</formula>
    </cfRule>
  </conditionalFormatting>
  <conditionalFormatting sqref="O3:P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R55:AF59">
    <cfRule type="expression" dxfId="3646" priority="98">
      <formula>AND(R$9&gt;=14/24,R$9&lt;20/24)</formula>
    </cfRule>
    <cfRule type="expression" dxfId="3645" priority="100">
      <formula>R$9&lt;8/24</formula>
    </cfRule>
    <cfRule type="expression" dxfId="3644" priority="99">
      <formula>AND(R$9&gt;=8/24,R$9&lt;14/24)</formula>
    </cfRule>
    <cfRule type="expression" dxfId="3643" priority="97">
      <formula>R$9&gt;=20/24</formula>
    </cfRule>
  </conditionalFormatting>
  <conditionalFormatting sqref="S8 AB8 B8 M8">
    <cfRule type="expression" dxfId="3642" priority="118">
      <formula>C$9&gt;=20/24</formula>
    </cfRule>
  </conditionalFormatting>
  <conditionalFormatting sqref="S8">
    <cfRule type="expression" dxfId="3641" priority="105">
      <formula>U$9&gt;=20/24</formula>
    </cfRule>
    <cfRule type="expression" dxfId="3640" priority="106">
      <formula>AND(U$9&gt;=14/24,U$9&lt;20/24)</formula>
    </cfRule>
    <cfRule type="expression" dxfId="3639" priority="107">
      <formula>AND(U$9&gt;=8/24,U$9&lt;14/24)</formula>
    </cfRule>
    <cfRule type="expression" dxfId="3638" priority="108">
      <formula>U$9&lt;8/24</formula>
    </cfRule>
  </conditionalFormatting>
  <conditionalFormatting sqref="T248">
    <cfRule type="expression" dxfId="3637" priority="130">
      <formula>AX$9&gt;=20/24</formula>
    </cfRule>
    <cfRule type="expression" dxfId="3636" priority="131">
      <formula>AND(AX$9&gt;=14/24,AX$9&lt;20/24)</formula>
    </cfRule>
    <cfRule type="expression" dxfId="3635" priority="132">
      <formula>AND(AX$9&gt;=8/24,AX$9&lt;14/24)</formula>
    </cfRule>
    <cfRule type="expression" dxfId="3634" priority="133">
      <formula>AX$9&lt;8/24</formula>
    </cfRule>
  </conditionalFormatting>
  <conditionalFormatting sqref="V3 AB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633" priority="104">
      <formula>AD$9&lt;8/24</formula>
    </cfRule>
    <cfRule type="expression" dxfId="3632" priority="103">
      <formula>AND(AD$9&gt;=8/24,AD$9&lt;14/24)</formula>
    </cfRule>
    <cfRule type="expression" dxfId="3631" priority="102">
      <formula>AND(AD$9&gt;=14/24,AD$9&lt;20/24)</formula>
    </cfRule>
    <cfRule type="expression" dxfId="3630" priority="101">
      <formula>AD$9&gt;=20/24</formula>
    </cfRule>
  </conditionalFormatting>
  <conditionalFormatting sqref="AG50">
    <cfRule type="expression" dxfId="3629" priority="88">
      <formula>AG50&gt;$AG50</formula>
    </cfRule>
  </conditionalFormatting>
  <conditionalFormatting sqref="AG89">
    <cfRule type="expression" dxfId="3628" priority="89">
      <formula>AG$9&gt;=20/24</formula>
    </cfRule>
    <cfRule type="expression" dxfId="3627" priority="90">
      <formula>AND(AG$9&gt;=14/24,AG$9&lt;20/24)</formula>
    </cfRule>
    <cfRule type="expression" dxfId="3626" priority="92">
      <formula>AG$9&lt;8/24</formula>
    </cfRule>
    <cfRule type="expression" dxfId="3625" priority="91">
      <formula>AND(AG$9&gt;=8/24,AG$9&lt;14/24)</formula>
    </cfRule>
  </conditionalFormatting>
  <conditionalFormatting sqref="AG248">
    <cfRule type="expression" dxfId="3624" priority="122">
      <formula>B$9&gt;=20/24</formula>
    </cfRule>
    <cfRule type="expression" dxfId="3623" priority="123">
      <formula>AND(B$9&gt;=14/24,B$9&lt;20/24)</formula>
    </cfRule>
    <cfRule type="expression" dxfId="3622" priority="124">
      <formula>AND(B$9&gt;=8/24,B$9&lt;14/24)</formula>
    </cfRule>
    <cfRule type="expression" dxfId="3621" priority="125">
      <formula>B$9&lt;8/24</formula>
    </cfRule>
  </conditionalFormatting>
  <conditionalFormatting sqref="AH248:AX248">
    <cfRule type="expression" dxfId="3620" priority="126">
      <formula>AG$9&gt;=20/24</formula>
    </cfRule>
    <cfRule type="expression" dxfId="3619" priority="127">
      <formula>AND(AG$9&gt;=14/24,AG$9&lt;20/24)</formula>
    </cfRule>
    <cfRule type="expression" dxfId="3618" priority="128">
      <formula>AND(AG$9&gt;=8/24,AG$9&lt;14/24)</formula>
    </cfRule>
    <cfRule type="expression" dxfId="3617" priority="129">
      <formula>AG$9&lt;8/24</formula>
    </cfRule>
  </conditionalFormatting>
  <conditionalFormatting sqref="AL4:AL6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616" priority="135">
      <formula>AJ$9&gt;=20/24</formula>
    </cfRule>
    <cfRule type="expression" dxfId="3615" priority="136">
      <formula>AND(AJ$9&gt;=14/24,AJ$9&lt;20/24)</formula>
    </cfRule>
    <cfRule type="expression" dxfId="3614" priority="137">
      <formula>AND(AJ$9&gt;=8/24,AJ$9&lt;14/24)</formula>
    </cfRule>
    <cfRule type="expression" dxfId="3613" priority="138">
      <formula>AJ$9&lt;8/24</formula>
    </cfRule>
  </conditionalFormatting>
  <conditionalFormatting sqref="AL80:AN80 AL86:AN86">
    <cfRule type="expression" dxfId="3612" priority="77">
      <formula>AND(AL$9&gt;=14/24,AL$9&lt;20/24)</formula>
    </cfRule>
    <cfRule type="expression" dxfId="3611" priority="78">
      <formula>AND(AL$9&gt;=8/24,AL$9&lt;14/24)</formula>
    </cfRule>
    <cfRule type="expression" dxfId="3610" priority="76">
      <formula>AL$9&gt;=20/24</formula>
    </cfRule>
    <cfRule type="expression" dxfId="3609" priority="79">
      <formula>AL$9&lt;8/24</formula>
    </cfRule>
  </conditionalFormatting>
  <conditionalFormatting sqref="AN81:AN84">
    <cfRule type="expression" dxfId="3608" priority="74">
      <formula>AND(AN$9&gt;=8/24,AN$9&lt;14/24)</formula>
    </cfRule>
    <cfRule type="expression" dxfId="3607" priority="73">
      <formula>AND(AN$9&gt;=14/24,AN$9&lt;20/24)</formula>
    </cfRule>
    <cfRule type="expression" dxfId="3606" priority="72">
      <formula>AN$9&gt;=20/24</formula>
    </cfRule>
    <cfRule type="expression" dxfId="3605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A9EF-6A84-4971-9CD5-DE5E2BB5AA07}">
  <sheetPr codeName="Sheet2"/>
  <dimension ref="A1:CJ283"/>
  <sheetViews>
    <sheetView zoomScale="80" zoomScaleNormal="80" workbookViewId="0">
      <pane xSplit="1" ySplit="10" topLeftCell="B46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O95" sqref="O9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2080/09/2</v>
      </c>
      <c r="C4" s="246"/>
      <c r="D4" s="246"/>
      <c r="E4" s="247" t="str">
        <f ca="1">"2080/"&amp;"09/"&amp;INT(MID(CELL("filename",G6),FIND("]",CELL("filename",G6))+1,200))</f>
        <v>2080/09/2</v>
      </c>
      <c r="F4" s="247"/>
      <c r="G4" s="247"/>
      <c r="H4" s="247" t="str">
        <f ca="1">TEXT(E4,"dddd")</f>
        <v>Monday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131.6</v>
      </c>
      <c r="C5" s="30">
        <f t="shared" si="0"/>
        <v>120</v>
      </c>
      <c r="D5" s="30">
        <f t="shared" si="0"/>
        <v>124.9</v>
      </c>
      <c r="E5" s="30">
        <f t="shared" si="0"/>
        <v>183.5</v>
      </c>
      <c r="F5" s="30">
        <f t="shared" si="0"/>
        <v>174</v>
      </c>
      <c r="G5" s="30">
        <f t="shared" si="0"/>
        <v>232.4</v>
      </c>
      <c r="H5" s="30">
        <f t="shared" si="0"/>
        <v>243.2</v>
      </c>
      <c r="I5" s="30">
        <f t="shared" si="0"/>
        <v>146.19999999999999</v>
      </c>
      <c r="J5" s="30">
        <f t="shared" si="0"/>
        <v>100</v>
      </c>
      <c r="K5" s="30">
        <f t="shared" si="0"/>
        <v>87.2</v>
      </c>
      <c r="L5" s="30">
        <f t="shared" si="0"/>
        <v>45.8</v>
      </c>
      <c r="M5" s="30">
        <f t="shared" si="0"/>
        <v>288</v>
      </c>
      <c r="N5" s="30">
        <f t="shared" si="0"/>
        <v>289</v>
      </c>
      <c r="O5" s="30">
        <f t="shared" si="0"/>
        <v>293</v>
      </c>
      <c r="P5" s="30">
        <f t="shared" si="0"/>
        <v>292.3</v>
      </c>
      <c r="Q5" s="30">
        <f t="shared" si="0"/>
        <v>327</v>
      </c>
      <c r="R5" s="30">
        <f t="shared" si="0"/>
        <v>343.3</v>
      </c>
      <c r="S5" s="30">
        <f t="shared" si="0"/>
        <v>346</v>
      </c>
      <c r="T5" s="30">
        <f t="shared" si="0"/>
        <v>369.6</v>
      </c>
      <c r="U5" s="30">
        <f t="shared" si="0"/>
        <v>92.3</v>
      </c>
      <c r="V5" s="30">
        <f t="shared" si="0"/>
        <v>45.199999999999996</v>
      </c>
      <c r="W5" s="30">
        <f t="shared" si="0"/>
        <v>34.5</v>
      </c>
      <c r="X5" s="30">
        <f t="shared" si="0"/>
        <v>48.5</v>
      </c>
      <c r="Y5" s="30">
        <f t="shared" si="0"/>
        <v>91.5</v>
      </c>
      <c r="Z5" s="30">
        <f t="shared" si="0"/>
        <v>98</v>
      </c>
      <c r="AA5" s="30">
        <f t="shared" si="0"/>
        <v>133.1</v>
      </c>
      <c r="AB5" s="30">
        <f t="shared" si="0"/>
        <v>142.30000000000001</v>
      </c>
      <c r="AC5" s="30">
        <f t="shared" si="0"/>
        <v>123</v>
      </c>
      <c r="AD5" s="30">
        <f t="shared" si="0"/>
        <v>117.7</v>
      </c>
      <c r="AE5" s="30">
        <f t="shared" si="0"/>
        <v>113.1</v>
      </c>
      <c r="AF5" s="30">
        <f>B84</f>
        <v>132.4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1810MW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Load=1067</v>
      </c>
      <c r="B7" s="35">
        <f>B92</f>
        <v>1138.1400000000001</v>
      </c>
      <c r="C7" s="35">
        <f t="shared" ref="C7:AF7" si="1">C92</f>
        <v>1137.04</v>
      </c>
      <c r="D7" s="35">
        <f t="shared" si="1"/>
        <v>1114.3400000000001</v>
      </c>
      <c r="E7" s="35">
        <f t="shared" si="1"/>
        <v>1105.1400000000001</v>
      </c>
      <c r="F7" s="35">
        <f t="shared" si="1"/>
        <v>1121.2400000000002</v>
      </c>
      <c r="G7" s="35">
        <f t="shared" si="1"/>
        <v>1198.1400000000001</v>
      </c>
      <c r="H7" s="35">
        <f t="shared" si="1"/>
        <v>1274.54</v>
      </c>
      <c r="I7" s="35">
        <f t="shared" si="1"/>
        <v>1400.14</v>
      </c>
      <c r="J7" s="35">
        <f t="shared" si="1"/>
        <v>1559.54</v>
      </c>
      <c r="K7" s="35">
        <f t="shared" si="1"/>
        <v>1692.44</v>
      </c>
      <c r="L7" s="35">
        <f t="shared" si="1"/>
        <v>1809.94</v>
      </c>
      <c r="M7" s="35">
        <f t="shared" si="1"/>
        <v>1763.54</v>
      </c>
      <c r="N7" s="35">
        <f t="shared" si="1"/>
        <v>1590.44</v>
      </c>
      <c r="O7" s="35">
        <f t="shared" si="1"/>
        <v>1575.44</v>
      </c>
      <c r="P7" s="35">
        <f t="shared" si="1"/>
        <v>1539.44</v>
      </c>
      <c r="Q7" s="35">
        <f t="shared" si="1"/>
        <v>1363.86</v>
      </c>
      <c r="R7" s="35">
        <f t="shared" si="1"/>
        <v>1292.46</v>
      </c>
      <c r="S7" s="35">
        <f t="shared" si="1"/>
        <v>1303.56</v>
      </c>
      <c r="T7" s="35">
        <f t="shared" si="1"/>
        <v>1319.26</v>
      </c>
      <c r="U7" s="35">
        <f t="shared" si="1"/>
        <v>1360.56</v>
      </c>
      <c r="V7" s="35">
        <f t="shared" si="1"/>
        <v>1481.5599999999997</v>
      </c>
      <c r="W7" s="35">
        <f t="shared" si="1"/>
        <v>1567.0599999999997</v>
      </c>
      <c r="X7" s="35">
        <f t="shared" si="1"/>
        <v>1651.8599999999997</v>
      </c>
      <c r="Y7" s="35">
        <f t="shared" si="1"/>
        <v>1595.6599999999999</v>
      </c>
      <c r="Z7" s="35">
        <f t="shared" si="1"/>
        <v>1478.26</v>
      </c>
      <c r="AA7" s="35">
        <f t="shared" si="1"/>
        <v>1525.6599999999999</v>
      </c>
      <c r="AB7" s="35">
        <f t="shared" si="1"/>
        <v>1483.9599999999998</v>
      </c>
      <c r="AC7" s="35">
        <f t="shared" si="1"/>
        <v>1377.26</v>
      </c>
      <c r="AD7" s="35">
        <f t="shared" si="1"/>
        <v>1258.6599999999999</v>
      </c>
      <c r="AE7" s="35">
        <f t="shared" si="1"/>
        <v>1096.76</v>
      </c>
      <c r="AF7" s="35">
        <f t="shared" si="1"/>
        <v>1066.76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42</v>
      </c>
      <c r="C11" s="45">
        <v>42</v>
      </c>
      <c r="D11" s="45">
        <v>42</v>
      </c>
      <c r="E11" s="45">
        <v>41.5</v>
      </c>
      <c r="F11" s="45">
        <v>41.5</v>
      </c>
      <c r="G11" s="45">
        <v>42.9</v>
      </c>
      <c r="H11" s="45">
        <v>42.9</v>
      </c>
      <c r="I11" s="45">
        <v>42.9</v>
      </c>
      <c r="J11" s="45">
        <v>42.9</v>
      </c>
      <c r="K11" s="45">
        <v>42.9</v>
      </c>
      <c r="L11" s="45">
        <v>42.9</v>
      </c>
      <c r="M11" s="45">
        <v>42.9</v>
      </c>
      <c r="N11" s="45">
        <v>42.9</v>
      </c>
      <c r="O11" s="45">
        <v>42.9</v>
      </c>
      <c r="P11" s="45">
        <v>42.9</v>
      </c>
      <c r="Q11" s="45">
        <v>39.799999999999997</v>
      </c>
      <c r="R11" s="45">
        <v>39.799999999999997</v>
      </c>
      <c r="S11" s="45">
        <v>39.799999999999997</v>
      </c>
      <c r="T11" s="45">
        <v>39.799999999999997</v>
      </c>
      <c r="U11" s="45">
        <v>39.799999999999997</v>
      </c>
      <c r="V11" s="45">
        <v>39.799999999999997</v>
      </c>
      <c r="W11" s="45">
        <v>39.799999999999997</v>
      </c>
      <c r="X11" s="45">
        <v>40.4</v>
      </c>
      <c r="Y11" s="45">
        <v>40.4</v>
      </c>
      <c r="Z11" s="45">
        <v>0</v>
      </c>
      <c r="AA11" s="45">
        <v>40.9</v>
      </c>
      <c r="AB11" s="45">
        <v>40.9</v>
      </c>
      <c r="AC11" s="45">
        <v>40.9</v>
      </c>
      <c r="AD11" s="45">
        <v>40.9</v>
      </c>
      <c r="AE11" s="45">
        <v>41.5</v>
      </c>
      <c r="AF11" s="45">
        <v>42.9</v>
      </c>
      <c r="AG11" s="46">
        <v>86</v>
      </c>
      <c r="AH11" s="47">
        <f t="shared" ref="AH11:AH76" si="2">MAX(B11:AF11)</f>
        <v>42.9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20</v>
      </c>
      <c r="C12" s="45">
        <v>20</v>
      </c>
      <c r="D12" s="45">
        <v>20</v>
      </c>
      <c r="E12" s="45">
        <v>20</v>
      </c>
      <c r="F12" s="45">
        <v>20</v>
      </c>
      <c r="G12" s="45">
        <v>20</v>
      </c>
      <c r="H12" s="45">
        <v>20</v>
      </c>
      <c r="I12" s="45">
        <v>20</v>
      </c>
      <c r="J12" s="45">
        <v>20</v>
      </c>
      <c r="K12" s="45">
        <v>20</v>
      </c>
      <c r="L12" s="45">
        <v>20</v>
      </c>
      <c r="M12" s="45">
        <v>20</v>
      </c>
      <c r="N12" s="45">
        <v>20</v>
      </c>
      <c r="O12" s="45">
        <v>20</v>
      </c>
      <c r="P12" s="45">
        <v>20</v>
      </c>
      <c r="Q12" s="45">
        <v>20</v>
      </c>
      <c r="R12" s="45">
        <v>20</v>
      </c>
      <c r="S12" s="45">
        <v>20</v>
      </c>
      <c r="T12" s="45">
        <v>20</v>
      </c>
      <c r="U12" s="45">
        <v>20</v>
      </c>
      <c r="V12" s="45">
        <v>20</v>
      </c>
      <c r="W12" s="45">
        <v>20</v>
      </c>
      <c r="X12" s="45">
        <v>18</v>
      </c>
      <c r="Y12" s="45">
        <v>18</v>
      </c>
      <c r="Z12" s="45">
        <v>18</v>
      </c>
      <c r="AA12" s="45">
        <v>18</v>
      </c>
      <c r="AB12" s="45">
        <v>18</v>
      </c>
      <c r="AC12" s="45">
        <v>18</v>
      </c>
      <c r="AD12" s="45">
        <v>18</v>
      </c>
      <c r="AE12" s="45">
        <v>18</v>
      </c>
      <c r="AF12" s="45">
        <v>18</v>
      </c>
      <c r="AG12" s="49">
        <v>54</v>
      </c>
      <c r="AH12" s="47">
        <f t="shared" si="2"/>
        <v>20</v>
      </c>
      <c r="AI12" s="48">
        <f t="shared" si="3"/>
        <v>18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24.1</v>
      </c>
      <c r="C13" s="45">
        <v>24.1</v>
      </c>
      <c r="D13" s="45">
        <v>24.1</v>
      </c>
      <c r="E13" s="45">
        <v>23.3</v>
      </c>
      <c r="F13" s="45">
        <v>23.3</v>
      </c>
      <c r="G13" s="45">
        <v>22.8</v>
      </c>
      <c r="H13" s="45">
        <v>22.8</v>
      </c>
      <c r="I13" s="45">
        <v>22.8</v>
      </c>
      <c r="J13" s="45">
        <v>22.8</v>
      </c>
      <c r="K13" s="45">
        <v>22.8</v>
      </c>
      <c r="L13" s="45">
        <v>22.8</v>
      </c>
      <c r="M13" s="45">
        <v>22.8</v>
      </c>
      <c r="N13" s="45">
        <v>22.8</v>
      </c>
      <c r="O13" s="45">
        <v>22.8</v>
      </c>
      <c r="P13" s="45">
        <v>22.8</v>
      </c>
      <c r="Q13" s="45">
        <v>22.8</v>
      </c>
      <c r="R13" s="45">
        <v>22.8</v>
      </c>
      <c r="S13" s="45">
        <v>22.8</v>
      </c>
      <c r="T13" s="45">
        <v>22.8</v>
      </c>
      <c r="U13" s="45">
        <v>22.8</v>
      </c>
      <c r="V13" s="45">
        <v>22.8</v>
      </c>
      <c r="W13" s="45">
        <v>22.8</v>
      </c>
      <c r="X13" s="45">
        <v>22</v>
      </c>
      <c r="Y13" s="45">
        <v>22</v>
      </c>
      <c r="Z13" s="45">
        <v>22</v>
      </c>
      <c r="AA13" s="45">
        <v>22</v>
      </c>
      <c r="AB13" s="45">
        <v>22</v>
      </c>
      <c r="AC13" s="45">
        <v>22</v>
      </c>
      <c r="AD13" s="45">
        <v>22</v>
      </c>
      <c r="AE13" s="45">
        <v>22</v>
      </c>
      <c r="AF13" s="45">
        <v>22</v>
      </c>
      <c r="AG13" s="46">
        <v>52.4</v>
      </c>
      <c r="AH13" s="47">
        <f t="shared" si="2"/>
        <v>24.1</v>
      </c>
      <c r="AI13" s="48">
        <f t="shared" si="3"/>
        <v>22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1">
        <v>49.7</v>
      </c>
      <c r="C14" s="51">
        <v>49.7</v>
      </c>
      <c r="D14" s="51">
        <v>49.7</v>
      </c>
      <c r="E14" s="51">
        <v>48.1</v>
      </c>
      <c r="F14" s="51">
        <v>48.1</v>
      </c>
      <c r="G14" s="51">
        <v>48</v>
      </c>
      <c r="H14" s="51">
        <v>48</v>
      </c>
      <c r="I14" s="51">
        <v>48</v>
      </c>
      <c r="J14" s="51">
        <v>48</v>
      </c>
      <c r="K14" s="51">
        <v>47.2</v>
      </c>
      <c r="L14" s="51">
        <v>47.2</v>
      </c>
      <c r="M14" s="51">
        <v>47.2</v>
      </c>
      <c r="N14" s="51">
        <v>47.2</v>
      </c>
      <c r="O14" s="51">
        <v>47.2</v>
      </c>
      <c r="P14" s="51">
        <v>47.2</v>
      </c>
      <c r="Q14" s="51">
        <v>48.2</v>
      </c>
      <c r="R14" s="51">
        <v>48.2</v>
      </c>
      <c r="S14" s="51">
        <v>48.2</v>
      </c>
      <c r="T14" s="51">
        <v>48.2</v>
      </c>
      <c r="U14" s="51">
        <v>48.2</v>
      </c>
      <c r="V14" s="51">
        <v>48.2</v>
      </c>
      <c r="W14" s="51">
        <v>48.2</v>
      </c>
      <c r="X14" s="51">
        <v>43.2</v>
      </c>
      <c r="Y14" s="51">
        <v>43.2</v>
      </c>
      <c r="Z14" s="51">
        <v>43.2</v>
      </c>
      <c r="AA14" s="51">
        <v>43.2</v>
      </c>
      <c r="AB14" s="51">
        <v>43.2</v>
      </c>
      <c r="AC14" s="51">
        <v>43.2</v>
      </c>
      <c r="AD14" s="51">
        <v>43.2</v>
      </c>
      <c r="AE14" s="51">
        <v>43.2</v>
      </c>
      <c r="AF14" s="51">
        <v>43.2</v>
      </c>
      <c r="AG14" s="49">
        <v>50</v>
      </c>
      <c r="AH14" s="47">
        <f t="shared" si="2"/>
        <v>49.7</v>
      </c>
      <c r="AI14" s="48">
        <f t="shared" si="3"/>
        <v>43.2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24.5</v>
      </c>
      <c r="C15" s="45">
        <v>24.5</v>
      </c>
      <c r="D15" s="45">
        <v>24.5</v>
      </c>
      <c r="E15" s="45">
        <v>22.9</v>
      </c>
      <c r="F15" s="45">
        <v>22.9</v>
      </c>
      <c r="G15" s="45">
        <v>22.9</v>
      </c>
      <c r="H15" s="45">
        <v>22.9</v>
      </c>
      <c r="I15" s="45">
        <v>21.3</v>
      </c>
      <c r="J15" s="45">
        <v>21.3</v>
      </c>
      <c r="K15" s="45">
        <v>21.3</v>
      </c>
      <c r="L15" s="45">
        <v>21.3</v>
      </c>
      <c r="M15" s="45">
        <v>21.3</v>
      </c>
      <c r="N15" s="45">
        <v>21.3</v>
      </c>
      <c r="O15" s="45">
        <v>21.3</v>
      </c>
      <c r="P15" s="45">
        <v>21.3</v>
      </c>
      <c r="Q15" s="45">
        <v>21.2</v>
      </c>
      <c r="R15" s="45">
        <v>21.2</v>
      </c>
      <c r="S15" s="45">
        <v>21.2</v>
      </c>
      <c r="T15" s="45">
        <v>21.2</v>
      </c>
      <c r="U15" s="45">
        <v>21.2</v>
      </c>
      <c r="V15" s="45">
        <v>21.2</v>
      </c>
      <c r="W15" s="45">
        <v>21.2</v>
      </c>
      <c r="X15" s="45">
        <v>24.4</v>
      </c>
      <c r="Y15" s="45">
        <v>24.4</v>
      </c>
      <c r="Z15" s="45">
        <v>24.4</v>
      </c>
      <c r="AA15" s="45">
        <v>24.4</v>
      </c>
      <c r="AB15" s="45">
        <v>24.4</v>
      </c>
      <c r="AC15" s="45">
        <v>24.4</v>
      </c>
      <c r="AD15" s="45">
        <v>24.4</v>
      </c>
      <c r="AE15" s="45">
        <v>24.4</v>
      </c>
      <c r="AF15" s="45">
        <v>24.4</v>
      </c>
      <c r="AG15" s="49">
        <v>45</v>
      </c>
      <c r="AH15" s="47">
        <f t="shared" si="2"/>
        <v>24.5</v>
      </c>
      <c r="AI15" s="48">
        <f t="shared" si="3"/>
        <v>21.2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22</v>
      </c>
      <c r="M16" s="45">
        <v>22</v>
      </c>
      <c r="N16" s="45">
        <v>22</v>
      </c>
      <c r="O16" s="45">
        <v>22</v>
      </c>
      <c r="P16" s="45">
        <v>22</v>
      </c>
      <c r="Q16" s="45">
        <v>22</v>
      </c>
      <c r="R16" s="45">
        <v>22</v>
      </c>
      <c r="S16" s="45">
        <v>22</v>
      </c>
      <c r="T16" s="45">
        <v>22</v>
      </c>
      <c r="U16" s="45">
        <v>22</v>
      </c>
      <c r="V16" s="45">
        <v>22</v>
      </c>
      <c r="W16" s="45">
        <v>22</v>
      </c>
      <c r="X16" s="45">
        <v>22</v>
      </c>
      <c r="Y16" s="45">
        <v>22</v>
      </c>
      <c r="Z16" s="45">
        <v>22</v>
      </c>
      <c r="AA16" s="45">
        <v>22</v>
      </c>
      <c r="AB16" s="45">
        <v>22</v>
      </c>
      <c r="AC16" s="45">
        <v>22</v>
      </c>
      <c r="AD16" s="45">
        <v>22</v>
      </c>
      <c r="AE16" s="45">
        <v>22</v>
      </c>
      <c r="AF16" s="45">
        <v>22</v>
      </c>
      <c r="AG16" s="49">
        <v>44</v>
      </c>
      <c r="AH16" s="47">
        <f>MAX(B16:AG16)</f>
        <v>44</v>
      </c>
      <c r="AI16" s="48">
        <f>MIN(B16:AG16)</f>
        <v>22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13</v>
      </c>
      <c r="C17" s="45">
        <v>13</v>
      </c>
      <c r="D17" s="45">
        <v>13</v>
      </c>
      <c r="E17" s="45">
        <v>13</v>
      </c>
      <c r="F17" s="45">
        <v>13</v>
      </c>
      <c r="G17" s="45">
        <v>13</v>
      </c>
      <c r="H17" s="45">
        <v>13</v>
      </c>
      <c r="I17" s="45">
        <v>12</v>
      </c>
      <c r="J17" s="45">
        <v>12</v>
      </c>
      <c r="K17" s="45">
        <v>12</v>
      </c>
      <c r="L17" s="45">
        <v>12</v>
      </c>
      <c r="M17" s="45">
        <v>12</v>
      </c>
      <c r="N17" s="45">
        <v>12</v>
      </c>
      <c r="O17" s="45">
        <v>12</v>
      </c>
      <c r="P17" s="45">
        <v>12</v>
      </c>
      <c r="Q17" s="45">
        <v>12</v>
      </c>
      <c r="R17" s="45">
        <v>12</v>
      </c>
      <c r="S17" s="45">
        <v>12</v>
      </c>
      <c r="T17" s="45">
        <v>12</v>
      </c>
      <c r="U17" s="45">
        <v>12</v>
      </c>
      <c r="V17" s="45">
        <v>12</v>
      </c>
      <c r="W17" s="45">
        <v>12</v>
      </c>
      <c r="X17" s="45">
        <v>12</v>
      </c>
      <c r="Y17" s="45">
        <v>12</v>
      </c>
      <c r="Z17" s="45">
        <v>12</v>
      </c>
      <c r="AA17" s="45">
        <v>12</v>
      </c>
      <c r="AB17" s="45">
        <v>12</v>
      </c>
      <c r="AC17" s="45">
        <v>12</v>
      </c>
      <c r="AD17" s="45">
        <v>12</v>
      </c>
      <c r="AE17" s="45">
        <v>12</v>
      </c>
      <c r="AF17" s="45">
        <v>12</v>
      </c>
      <c r="AG17" s="49">
        <v>42</v>
      </c>
      <c r="AH17" s="47">
        <f t="shared" si="2"/>
        <v>13</v>
      </c>
      <c r="AI17" s="48">
        <f t="shared" si="3"/>
        <v>12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49">
        <v>38.46</v>
      </c>
      <c r="AH18" s="47">
        <f t="shared" si="2"/>
        <v>13</v>
      </c>
      <c r="AI18" s="48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18</v>
      </c>
      <c r="G19" s="45">
        <v>18</v>
      </c>
      <c r="H19" s="45">
        <v>18</v>
      </c>
      <c r="I19" s="45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18</v>
      </c>
      <c r="AB19" s="45">
        <v>18</v>
      </c>
      <c r="AC19" s="45">
        <v>18</v>
      </c>
      <c r="AD19" s="45">
        <v>18</v>
      </c>
      <c r="AE19" s="45">
        <v>18</v>
      </c>
      <c r="AF19" s="45">
        <v>18</v>
      </c>
      <c r="AG19" s="49">
        <v>36</v>
      </c>
      <c r="AH19" s="47">
        <f t="shared" si="2"/>
        <v>18</v>
      </c>
      <c r="AI19" s="48">
        <f t="shared" si="3"/>
        <v>18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13.3</v>
      </c>
      <c r="C20" s="45">
        <v>13.3</v>
      </c>
      <c r="D20" s="45">
        <v>13.3</v>
      </c>
      <c r="E20" s="45">
        <v>13.9</v>
      </c>
      <c r="F20" s="45">
        <v>13.9</v>
      </c>
      <c r="G20" s="45">
        <v>12.7</v>
      </c>
      <c r="H20" s="45">
        <v>12.7</v>
      </c>
      <c r="I20" s="45">
        <v>12.7</v>
      </c>
      <c r="J20" s="45">
        <v>12.7</v>
      </c>
      <c r="K20" s="45">
        <v>12.7</v>
      </c>
      <c r="L20" s="45">
        <v>12.7</v>
      </c>
      <c r="M20" s="45">
        <v>12.7</v>
      </c>
      <c r="N20" s="45">
        <v>12.7</v>
      </c>
      <c r="O20" s="45">
        <v>12.7</v>
      </c>
      <c r="P20" s="45">
        <v>12.7</v>
      </c>
      <c r="Q20" s="45">
        <v>12.7</v>
      </c>
      <c r="R20" s="45">
        <v>12.7</v>
      </c>
      <c r="S20" s="45">
        <v>12.7</v>
      </c>
      <c r="T20" s="45">
        <v>12.7</v>
      </c>
      <c r="U20" s="45">
        <v>12.7</v>
      </c>
      <c r="V20" s="45">
        <v>12.7</v>
      </c>
      <c r="W20" s="45">
        <v>12.7</v>
      </c>
      <c r="X20" s="45">
        <v>13.8</v>
      </c>
      <c r="Y20" s="45">
        <v>13.8</v>
      </c>
      <c r="Z20" s="45">
        <v>13.8</v>
      </c>
      <c r="AA20" s="45">
        <v>13.8</v>
      </c>
      <c r="AB20" s="45">
        <v>13.8</v>
      </c>
      <c r="AC20" s="45">
        <v>13.8</v>
      </c>
      <c r="AD20" s="45">
        <v>13.8</v>
      </c>
      <c r="AE20" s="45">
        <v>13.8</v>
      </c>
      <c r="AF20" s="45">
        <v>13.8</v>
      </c>
      <c r="AG20" s="52">
        <v>30</v>
      </c>
      <c r="AH20" s="47">
        <f t="shared" si="2"/>
        <v>13.9</v>
      </c>
      <c r="AI20" s="48">
        <f t="shared" si="3"/>
        <v>12.7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11</v>
      </c>
      <c r="C21" s="45">
        <v>11</v>
      </c>
      <c r="D21" s="45">
        <v>11</v>
      </c>
      <c r="E21" s="45">
        <v>11</v>
      </c>
      <c r="F21" s="45">
        <v>11</v>
      </c>
      <c r="G21" s="45">
        <v>11</v>
      </c>
      <c r="H21" s="45">
        <v>11</v>
      </c>
      <c r="I21" s="45">
        <v>11</v>
      </c>
      <c r="J21" s="45">
        <v>11</v>
      </c>
      <c r="K21" s="45">
        <v>11</v>
      </c>
      <c r="L21" s="45">
        <v>11</v>
      </c>
      <c r="M21" s="45">
        <v>11</v>
      </c>
      <c r="N21" s="45">
        <v>11</v>
      </c>
      <c r="O21" s="45">
        <v>11</v>
      </c>
      <c r="P21" s="45">
        <v>11</v>
      </c>
      <c r="Q21" s="45">
        <v>11</v>
      </c>
      <c r="R21" s="45">
        <v>11</v>
      </c>
      <c r="S21" s="45">
        <v>11</v>
      </c>
      <c r="T21" s="45">
        <v>11</v>
      </c>
      <c r="U21" s="45">
        <v>11</v>
      </c>
      <c r="V21" s="45">
        <v>11</v>
      </c>
      <c r="W21" s="45">
        <v>11</v>
      </c>
      <c r="X21" s="45">
        <v>11</v>
      </c>
      <c r="Y21" s="45">
        <v>11</v>
      </c>
      <c r="Z21" s="45">
        <v>11</v>
      </c>
      <c r="AA21" s="45">
        <v>11</v>
      </c>
      <c r="AB21" s="45">
        <v>11</v>
      </c>
      <c r="AC21" s="45">
        <v>11</v>
      </c>
      <c r="AD21" s="45">
        <v>11</v>
      </c>
      <c r="AE21" s="45">
        <v>11</v>
      </c>
      <c r="AF21" s="45">
        <v>11</v>
      </c>
      <c r="AG21" s="49">
        <v>24.2</v>
      </c>
      <c r="AH21" s="47">
        <f t="shared" si="2"/>
        <v>11</v>
      </c>
      <c r="AI21" s="48">
        <f t="shared" si="3"/>
        <v>11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13.5</v>
      </c>
      <c r="C22" s="45">
        <v>13.5</v>
      </c>
      <c r="D22" s="45">
        <v>13.5</v>
      </c>
      <c r="E22" s="45">
        <v>13.5</v>
      </c>
      <c r="F22" s="45">
        <v>13.5</v>
      </c>
      <c r="G22" s="45">
        <v>13.5</v>
      </c>
      <c r="H22" s="45">
        <v>13.5</v>
      </c>
      <c r="I22" s="45">
        <v>13.5</v>
      </c>
      <c r="J22" s="45">
        <v>13.5</v>
      </c>
      <c r="K22" s="45">
        <v>13.5</v>
      </c>
      <c r="L22" s="45">
        <v>13.5</v>
      </c>
      <c r="M22" s="45">
        <v>13.5</v>
      </c>
      <c r="N22" s="45">
        <v>13.5</v>
      </c>
      <c r="O22" s="45">
        <v>13.5</v>
      </c>
      <c r="P22" s="45">
        <v>13.5</v>
      </c>
      <c r="Q22" s="45">
        <v>13.5</v>
      </c>
      <c r="R22" s="45">
        <v>13.5</v>
      </c>
      <c r="S22" s="45">
        <v>13.5</v>
      </c>
      <c r="T22" s="45">
        <v>13.5</v>
      </c>
      <c r="U22" s="45">
        <v>13.5</v>
      </c>
      <c r="V22" s="45">
        <v>13.5</v>
      </c>
      <c r="W22" s="45">
        <v>13.5</v>
      </c>
      <c r="X22" s="45">
        <v>13.5</v>
      </c>
      <c r="Y22" s="45">
        <v>13.5</v>
      </c>
      <c r="Z22" s="45">
        <v>13.5</v>
      </c>
      <c r="AA22" s="45">
        <v>13.5</v>
      </c>
      <c r="AB22" s="45">
        <v>13.5</v>
      </c>
      <c r="AC22" s="45">
        <v>13.5</v>
      </c>
      <c r="AD22" s="45">
        <v>13.5</v>
      </c>
      <c r="AE22" s="45">
        <v>13.5</v>
      </c>
      <c r="AF22" s="45">
        <v>13.5</v>
      </c>
      <c r="AG22" s="49">
        <v>28</v>
      </c>
      <c r="AH22" s="47">
        <f t="shared" si="2"/>
        <v>13.5</v>
      </c>
      <c r="AI22" s="48">
        <f t="shared" si="3"/>
        <v>13.5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12.4</v>
      </c>
      <c r="C23" s="45">
        <v>12.4</v>
      </c>
      <c r="D23" s="45">
        <v>12.4</v>
      </c>
      <c r="E23" s="45">
        <v>13</v>
      </c>
      <c r="F23" s="45">
        <v>13</v>
      </c>
      <c r="G23" s="45">
        <v>11.8</v>
      </c>
      <c r="H23" s="45">
        <v>11.8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12.9</v>
      </c>
      <c r="Y23" s="45">
        <v>12.9</v>
      </c>
      <c r="Z23" s="45">
        <v>12.9</v>
      </c>
      <c r="AA23" s="45">
        <v>12.9</v>
      </c>
      <c r="AB23" s="45">
        <v>12.9</v>
      </c>
      <c r="AC23" s="45">
        <v>12.9</v>
      </c>
      <c r="AD23" s="45">
        <v>12.9</v>
      </c>
      <c r="AE23" s="45">
        <v>12.9</v>
      </c>
      <c r="AF23" s="45">
        <v>12.9</v>
      </c>
      <c r="AG23" s="52">
        <v>30</v>
      </c>
      <c r="AH23" s="47">
        <f t="shared" si="2"/>
        <v>13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13.1</v>
      </c>
      <c r="C24" s="45">
        <v>13.1</v>
      </c>
      <c r="D24" s="45">
        <v>13.1</v>
      </c>
      <c r="E24" s="45">
        <v>13.1</v>
      </c>
      <c r="F24" s="45">
        <v>13.1</v>
      </c>
      <c r="G24" s="45">
        <v>13.1</v>
      </c>
      <c r="H24" s="45">
        <v>13.1</v>
      </c>
      <c r="I24" s="45">
        <v>12.4</v>
      </c>
      <c r="J24" s="45">
        <v>12.4</v>
      </c>
      <c r="K24" s="45">
        <v>12.4</v>
      </c>
      <c r="L24" s="45">
        <v>12.4</v>
      </c>
      <c r="M24" s="45">
        <v>12.4</v>
      </c>
      <c r="N24" s="45">
        <v>12.4</v>
      </c>
      <c r="O24" s="45">
        <v>12.4</v>
      </c>
      <c r="P24" s="45">
        <v>12.4</v>
      </c>
      <c r="Q24" s="45">
        <v>12.4</v>
      </c>
      <c r="R24" s="45">
        <v>12.4</v>
      </c>
      <c r="S24" s="45">
        <v>12.4</v>
      </c>
      <c r="T24" s="45">
        <v>12.4</v>
      </c>
      <c r="U24" s="45">
        <v>12.4</v>
      </c>
      <c r="V24" s="45">
        <v>12.4</v>
      </c>
      <c r="W24" s="45">
        <v>12.4</v>
      </c>
      <c r="X24" s="45">
        <v>12.4</v>
      </c>
      <c r="Y24" s="45">
        <v>12.4</v>
      </c>
      <c r="Z24" s="45">
        <v>12.4</v>
      </c>
      <c r="AA24" s="45">
        <v>12.4</v>
      </c>
      <c r="AB24" s="45">
        <v>12.4</v>
      </c>
      <c r="AC24" s="45">
        <v>12.4</v>
      </c>
      <c r="AD24" s="45">
        <v>12.4</v>
      </c>
      <c r="AE24" s="45">
        <v>12.4</v>
      </c>
      <c r="AF24" s="45">
        <v>12.4</v>
      </c>
      <c r="AG24" s="49">
        <v>25</v>
      </c>
      <c r="AH24" s="47">
        <f t="shared" si="2"/>
        <v>13.1</v>
      </c>
      <c r="AI24" s="48">
        <f t="shared" si="3"/>
        <v>12.4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12</v>
      </c>
      <c r="C26" s="45">
        <v>12</v>
      </c>
      <c r="D26" s="45">
        <v>12</v>
      </c>
      <c r="E26" s="45">
        <v>12</v>
      </c>
      <c r="F26" s="45">
        <v>12</v>
      </c>
      <c r="G26" s="45">
        <v>12</v>
      </c>
      <c r="H26" s="45">
        <v>12</v>
      </c>
      <c r="I26" s="45">
        <v>12</v>
      </c>
      <c r="J26" s="45">
        <v>12</v>
      </c>
      <c r="K26" s="45">
        <v>12</v>
      </c>
      <c r="L26" s="45">
        <v>12</v>
      </c>
      <c r="M26" s="45">
        <v>12</v>
      </c>
      <c r="N26" s="45">
        <v>12</v>
      </c>
      <c r="O26" s="45">
        <v>12</v>
      </c>
      <c r="P26" s="45">
        <v>12</v>
      </c>
      <c r="Q26" s="45">
        <v>12</v>
      </c>
      <c r="R26" s="45">
        <v>12</v>
      </c>
      <c r="S26" s="45">
        <v>12</v>
      </c>
      <c r="T26" s="45">
        <v>12</v>
      </c>
      <c r="U26" s="45">
        <v>12</v>
      </c>
      <c r="V26" s="45">
        <v>12</v>
      </c>
      <c r="W26" s="45">
        <v>12</v>
      </c>
      <c r="X26" s="45">
        <v>12</v>
      </c>
      <c r="Y26" s="45">
        <v>12</v>
      </c>
      <c r="Z26" s="45">
        <v>12</v>
      </c>
      <c r="AA26" s="45">
        <v>12</v>
      </c>
      <c r="AB26" s="45">
        <v>12</v>
      </c>
      <c r="AC26" s="45">
        <v>12</v>
      </c>
      <c r="AD26" s="45">
        <v>12</v>
      </c>
      <c r="AE26" s="45">
        <v>12</v>
      </c>
      <c r="AF26" s="45">
        <v>12</v>
      </c>
      <c r="AG26" s="49">
        <v>25</v>
      </c>
      <c r="AH26" s="47">
        <f t="shared" si="2"/>
        <v>12</v>
      </c>
      <c r="AI26" s="48">
        <f t="shared" si="3"/>
        <v>12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13</v>
      </c>
      <c r="C27" s="45">
        <v>13</v>
      </c>
      <c r="D27" s="45">
        <v>13</v>
      </c>
      <c r="E27" s="45">
        <v>13</v>
      </c>
      <c r="F27" s="45">
        <v>13</v>
      </c>
      <c r="G27" s="45">
        <v>13</v>
      </c>
      <c r="H27" s="45">
        <v>13</v>
      </c>
      <c r="I27" s="45">
        <v>13</v>
      </c>
      <c r="J27" s="45">
        <v>13</v>
      </c>
      <c r="K27" s="45">
        <v>13</v>
      </c>
      <c r="L27" s="45">
        <v>13</v>
      </c>
      <c r="M27" s="45">
        <v>13</v>
      </c>
      <c r="N27" s="45">
        <v>13</v>
      </c>
      <c r="O27" s="45">
        <v>13</v>
      </c>
      <c r="P27" s="45">
        <v>13</v>
      </c>
      <c r="Q27" s="45">
        <v>13</v>
      </c>
      <c r="R27" s="45">
        <v>13</v>
      </c>
      <c r="S27" s="45">
        <v>13</v>
      </c>
      <c r="T27" s="45">
        <v>13</v>
      </c>
      <c r="U27" s="45">
        <v>13</v>
      </c>
      <c r="V27" s="45">
        <v>13</v>
      </c>
      <c r="W27" s="45">
        <v>13</v>
      </c>
      <c r="X27" s="45">
        <v>13</v>
      </c>
      <c r="Y27" s="45">
        <v>13</v>
      </c>
      <c r="Z27" s="45">
        <v>13</v>
      </c>
      <c r="AA27" s="45">
        <v>13</v>
      </c>
      <c r="AB27" s="45">
        <v>13</v>
      </c>
      <c r="AC27" s="45">
        <v>13</v>
      </c>
      <c r="AD27" s="45">
        <v>13</v>
      </c>
      <c r="AE27" s="45">
        <v>13</v>
      </c>
      <c r="AF27" s="45">
        <v>13</v>
      </c>
      <c r="AG27" s="49">
        <v>25</v>
      </c>
      <c r="AH27" s="47">
        <f t="shared" si="2"/>
        <v>13</v>
      </c>
      <c r="AI27" s="48">
        <f t="shared" si="3"/>
        <v>13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12.3</v>
      </c>
      <c r="C28" s="45">
        <v>12.3</v>
      </c>
      <c r="D28" s="45">
        <v>12.3</v>
      </c>
      <c r="E28" s="45">
        <v>12.3</v>
      </c>
      <c r="F28" s="45">
        <v>12.3</v>
      </c>
      <c r="G28" s="45">
        <v>12.3</v>
      </c>
      <c r="H28" s="45">
        <v>12.3</v>
      </c>
      <c r="I28" s="45">
        <v>12.3</v>
      </c>
      <c r="J28" s="45">
        <v>12.3</v>
      </c>
      <c r="K28" s="45">
        <v>12.3</v>
      </c>
      <c r="L28" s="45">
        <v>12.3</v>
      </c>
      <c r="M28" s="45">
        <v>12.3</v>
      </c>
      <c r="N28" s="45">
        <v>12.3</v>
      </c>
      <c r="O28" s="45">
        <v>12.3</v>
      </c>
      <c r="P28" s="45">
        <v>12.3</v>
      </c>
      <c r="Q28" s="45">
        <v>12.3</v>
      </c>
      <c r="R28" s="45">
        <v>12.3</v>
      </c>
      <c r="S28" s="45">
        <v>12.3</v>
      </c>
      <c r="T28" s="45">
        <v>12.3</v>
      </c>
      <c r="U28" s="45">
        <v>12.3</v>
      </c>
      <c r="V28" s="45">
        <v>12.3</v>
      </c>
      <c r="W28" s="45">
        <v>12.3</v>
      </c>
      <c r="X28" s="45">
        <v>12.3</v>
      </c>
      <c r="Y28" s="45">
        <v>12.3</v>
      </c>
      <c r="Z28" s="45">
        <v>12.3</v>
      </c>
      <c r="AA28" s="45">
        <v>12.3</v>
      </c>
      <c r="AB28" s="45">
        <v>12.3</v>
      </c>
      <c r="AC28" s="45">
        <v>12.3</v>
      </c>
      <c r="AD28" s="45">
        <v>12.3</v>
      </c>
      <c r="AE28" s="45">
        <v>12.3</v>
      </c>
      <c r="AF28" s="45">
        <v>12.3</v>
      </c>
      <c r="AG28" s="49">
        <v>23.5</v>
      </c>
      <c r="AH28" s="47">
        <f t="shared" si="2"/>
        <v>12.3</v>
      </c>
      <c r="AI28" s="48">
        <f t="shared" si="3"/>
        <v>12.3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49">
        <v>22.2</v>
      </c>
      <c r="AH29" s="47">
        <f t="shared" si="2"/>
        <v>10</v>
      </c>
      <c r="AI29" s="48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7.9</v>
      </c>
      <c r="C32" s="45">
        <v>7.9</v>
      </c>
      <c r="D32" s="45">
        <v>7.9</v>
      </c>
      <c r="E32" s="45">
        <v>7.9</v>
      </c>
      <c r="F32" s="45">
        <v>7.9</v>
      </c>
      <c r="G32" s="45">
        <v>7.9</v>
      </c>
      <c r="H32" s="45">
        <v>7.9</v>
      </c>
      <c r="I32" s="45">
        <v>7.9</v>
      </c>
      <c r="J32" s="45">
        <v>7.9</v>
      </c>
      <c r="K32" s="45">
        <v>7.9</v>
      </c>
      <c r="L32" s="45">
        <v>7.9</v>
      </c>
      <c r="M32" s="45">
        <v>7.9</v>
      </c>
      <c r="N32" s="45">
        <v>7.9</v>
      </c>
      <c r="O32" s="45">
        <v>7.9</v>
      </c>
      <c r="P32" s="45">
        <v>7.9</v>
      </c>
      <c r="Q32" s="45">
        <v>7.9</v>
      </c>
      <c r="R32" s="45">
        <v>7.9</v>
      </c>
      <c r="S32" s="45">
        <v>7.9</v>
      </c>
      <c r="T32" s="45">
        <v>7.9</v>
      </c>
      <c r="U32" s="45">
        <v>7.9</v>
      </c>
      <c r="V32" s="45">
        <v>7.9</v>
      </c>
      <c r="W32" s="45">
        <v>7.9</v>
      </c>
      <c r="X32" s="45">
        <v>7.9</v>
      </c>
      <c r="Y32" s="45">
        <v>7.9</v>
      </c>
      <c r="Z32" s="45">
        <v>7.9</v>
      </c>
      <c r="AA32" s="45">
        <v>7.9</v>
      </c>
      <c r="AB32" s="45">
        <v>7.9</v>
      </c>
      <c r="AC32" s="45">
        <v>7.9</v>
      </c>
      <c r="AD32" s="45">
        <v>7.9</v>
      </c>
      <c r="AE32" s="45">
        <v>7.9</v>
      </c>
      <c r="AF32" s="45">
        <v>7.9</v>
      </c>
      <c r="AG32" s="49">
        <v>22</v>
      </c>
      <c r="AH32" s="47">
        <f t="shared" si="2"/>
        <v>7.9</v>
      </c>
      <c r="AI32" s="48">
        <f t="shared" si="3"/>
        <v>7.9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9</v>
      </c>
      <c r="C33" s="45">
        <v>9</v>
      </c>
      <c r="D33" s="45">
        <v>9</v>
      </c>
      <c r="E33" s="45">
        <v>9</v>
      </c>
      <c r="F33" s="45">
        <v>9</v>
      </c>
      <c r="G33" s="45">
        <v>9</v>
      </c>
      <c r="H33" s="45">
        <v>9</v>
      </c>
      <c r="I33" s="45">
        <v>9</v>
      </c>
      <c r="J33" s="45">
        <v>9</v>
      </c>
      <c r="K33" s="45">
        <v>9</v>
      </c>
      <c r="L33" s="45">
        <v>9</v>
      </c>
      <c r="M33" s="45">
        <v>9</v>
      </c>
      <c r="N33" s="45">
        <v>9</v>
      </c>
      <c r="O33" s="45">
        <v>9</v>
      </c>
      <c r="P33" s="45">
        <v>9</v>
      </c>
      <c r="Q33" s="45">
        <v>9</v>
      </c>
      <c r="R33" s="45">
        <v>9</v>
      </c>
      <c r="S33" s="45">
        <v>9</v>
      </c>
      <c r="T33" s="45">
        <v>9</v>
      </c>
      <c r="U33" s="45">
        <v>9</v>
      </c>
      <c r="V33" s="45">
        <v>9</v>
      </c>
      <c r="W33" s="45">
        <v>9</v>
      </c>
      <c r="X33" s="45">
        <v>9</v>
      </c>
      <c r="Y33" s="45">
        <v>9</v>
      </c>
      <c r="Z33" s="45">
        <v>9</v>
      </c>
      <c r="AA33" s="45">
        <v>9</v>
      </c>
      <c r="AB33" s="45">
        <v>9</v>
      </c>
      <c r="AC33" s="45">
        <v>9</v>
      </c>
      <c r="AD33" s="45">
        <v>9</v>
      </c>
      <c r="AE33" s="45">
        <v>9</v>
      </c>
      <c r="AF33" s="45">
        <v>9</v>
      </c>
      <c r="AG33" s="49">
        <v>20</v>
      </c>
      <c r="AH33" s="47">
        <f t="shared" si="2"/>
        <v>9</v>
      </c>
      <c r="AI33" s="48">
        <f t="shared" si="3"/>
        <v>9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49">
        <v>18</v>
      </c>
      <c r="AH34" s="47">
        <f t="shared" si="2"/>
        <v>8</v>
      </c>
      <c r="AI34" s="48">
        <f t="shared" si="3"/>
        <v>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8.1999999999999993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5.8</v>
      </c>
      <c r="Q45" s="45">
        <v>5.8</v>
      </c>
      <c r="R45" s="45">
        <v>5.8</v>
      </c>
      <c r="S45" s="45">
        <v>5.8</v>
      </c>
      <c r="T45" s="45">
        <v>5.8</v>
      </c>
      <c r="U45" s="45">
        <v>5.8</v>
      </c>
      <c r="V45" s="45">
        <v>5.8</v>
      </c>
      <c r="W45" s="45">
        <v>5.8</v>
      </c>
      <c r="X45" s="45">
        <v>5.8</v>
      </c>
      <c r="Y45" s="45">
        <v>5.8</v>
      </c>
      <c r="Z45" s="45">
        <v>5.8</v>
      </c>
      <c r="AA45" s="45">
        <v>5.8</v>
      </c>
      <c r="AB45" s="45">
        <v>5.8</v>
      </c>
      <c r="AC45" s="45">
        <v>5.8</v>
      </c>
      <c r="AD45" s="45">
        <v>5.8</v>
      </c>
      <c r="AE45" s="45">
        <v>5.8</v>
      </c>
      <c r="AF45" s="45">
        <v>5.8</v>
      </c>
      <c r="AG45" s="55">
        <v>10</v>
      </c>
      <c r="AH45" s="47">
        <f t="shared" si="2"/>
        <v>5.8</v>
      </c>
      <c r="AI45" s="48">
        <f t="shared" si="3"/>
        <v>5.8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6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250</v>
      </c>
      <c r="C48" s="57">
        <v>250</v>
      </c>
      <c r="D48" s="57">
        <v>250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225</v>
      </c>
      <c r="N48" s="57">
        <v>225</v>
      </c>
      <c r="O48" s="57">
        <v>225</v>
      </c>
      <c r="P48" s="57">
        <v>225</v>
      </c>
      <c r="Q48" s="57">
        <v>225</v>
      </c>
      <c r="R48" s="57">
        <v>225</v>
      </c>
      <c r="S48" s="57">
        <v>225</v>
      </c>
      <c r="T48" s="57">
        <v>225</v>
      </c>
      <c r="U48" s="57">
        <v>225</v>
      </c>
      <c r="V48" s="57">
        <v>225</v>
      </c>
      <c r="W48" s="57">
        <v>225</v>
      </c>
      <c r="X48" s="57">
        <v>225</v>
      </c>
      <c r="Y48" s="57">
        <v>225</v>
      </c>
      <c r="Z48" s="57">
        <v>225</v>
      </c>
      <c r="AA48" s="57">
        <v>225</v>
      </c>
      <c r="AB48" s="57">
        <v>225</v>
      </c>
      <c r="AC48" s="57">
        <v>225</v>
      </c>
      <c r="AD48" s="57">
        <v>225</v>
      </c>
      <c r="AE48" s="57">
        <v>225</v>
      </c>
      <c r="AF48" s="57">
        <v>225</v>
      </c>
      <c r="AG48" s="55">
        <v>85</v>
      </c>
      <c r="AH48" s="47">
        <f t="shared" si="2"/>
        <v>250</v>
      </c>
      <c r="AI48" s="48">
        <f t="shared" si="3"/>
        <v>225</v>
      </c>
      <c r="AK48" s="50"/>
    </row>
    <row r="49" spans="1:41" ht="15.75" thickBot="1" x14ac:dyDescent="0.3">
      <c r="A49" s="58" t="s">
        <v>57</v>
      </c>
      <c r="B49" s="57">
        <v>42.8</v>
      </c>
      <c r="C49" s="57">
        <v>42.8</v>
      </c>
      <c r="D49" s="57">
        <v>43.7</v>
      </c>
      <c r="E49" s="51">
        <f>11.3+30.7</f>
        <v>42</v>
      </c>
      <c r="F49" s="51">
        <f>11.2+30.2</f>
        <v>41.4</v>
      </c>
      <c r="G49" s="51">
        <f>11.2+30.2</f>
        <v>41.4</v>
      </c>
      <c r="H49" s="51">
        <f>11.2+30.3</f>
        <v>41.5</v>
      </c>
      <c r="I49" s="51">
        <f>11.2+30.3</f>
        <v>41.5</v>
      </c>
      <c r="J49" s="51">
        <f>11.2+30.3</f>
        <v>41.5</v>
      </c>
      <c r="K49" s="51">
        <f>10.5+28.6</f>
        <v>39.1</v>
      </c>
      <c r="L49" s="51">
        <f>10.5+28.6</f>
        <v>39.1</v>
      </c>
      <c r="M49" s="51">
        <f>10.5+28.6</f>
        <v>39.1</v>
      </c>
      <c r="N49" s="51">
        <f>10.5+28.6</f>
        <v>39.1</v>
      </c>
      <c r="O49" s="51">
        <f t="shared" ref="O49:W49" si="4">10.5+28.6</f>
        <v>39.1</v>
      </c>
      <c r="P49" s="51">
        <f t="shared" si="4"/>
        <v>39.1</v>
      </c>
      <c r="Q49" s="51">
        <f t="shared" si="4"/>
        <v>39.1</v>
      </c>
      <c r="R49" s="51">
        <f t="shared" si="4"/>
        <v>39.1</v>
      </c>
      <c r="S49" s="51">
        <f t="shared" si="4"/>
        <v>39.1</v>
      </c>
      <c r="T49" s="51">
        <f t="shared" si="4"/>
        <v>39.1</v>
      </c>
      <c r="U49" s="51">
        <f t="shared" si="4"/>
        <v>39.1</v>
      </c>
      <c r="V49" s="51">
        <f t="shared" si="4"/>
        <v>39.1</v>
      </c>
      <c r="W49" s="51">
        <f t="shared" si="4"/>
        <v>39.1</v>
      </c>
      <c r="X49" s="57">
        <v>36.799999999999997</v>
      </c>
      <c r="Y49" s="57">
        <v>36.799999999999997</v>
      </c>
      <c r="Z49" s="57">
        <v>36.799999999999997</v>
      </c>
      <c r="AA49" s="57">
        <v>36.799999999999997</v>
      </c>
      <c r="AB49" s="57">
        <v>36.799999999999997</v>
      </c>
      <c r="AC49" s="57">
        <v>36.799999999999997</v>
      </c>
      <c r="AD49" s="57">
        <v>36.799999999999997</v>
      </c>
      <c r="AE49" s="57">
        <v>36.799999999999997</v>
      </c>
      <c r="AF49" s="57">
        <v>36.799999999999997</v>
      </c>
      <c r="AG49" s="55">
        <v>240</v>
      </c>
      <c r="AH49" s="47">
        <f t="shared" si="2"/>
        <v>43.7</v>
      </c>
      <c r="AI49" s="48">
        <f t="shared" si="3"/>
        <v>36.799999999999997</v>
      </c>
      <c r="AK49" s="50"/>
    </row>
    <row r="50" spans="1:41" ht="15.75" thickBot="1" x14ac:dyDescent="0.3">
      <c r="A50" s="59" t="s">
        <v>58</v>
      </c>
      <c r="B50" s="60">
        <f t="shared" ref="B50:AF50" si="5">SUM(B11:B48)</f>
        <v>698.6</v>
      </c>
      <c r="C50" s="60">
        <f t="shared" si="5"/>
        <v>698.6</v>
      </c>
      <c r="D50" s="60">
        <f t="shared" si="5"/>
        <v>698.6</v>
      </c>
      <c r="E50" s="60">
        <f t="shared" si="5"/>
        <v>695.30000000000007</v>
      </c>
      <c r="F50" s="60">
        <f t="shared" si="5"/>
        <v>695.30000000000007</v>
      </c>
      <c r="G50" s="60">
        <f t="shared" si="5"/>
        <v>693.7</v>
      </c>
      <c r="H50" s="60">
        <f t="shared" si="5"/>
        <v>693.7</v>
      </c>
      <c r="I50" s="60">
        <f t="shared" si="5"/>
        <v>688.59999999999991</v>
      </c>
      <c r="J50" s="60">
        <f t="shared" si="5"/>
        <v>688.59999999999991</v>
      </c>
      <c r="K50" s="60">
        <f t="shared" si="5"/>
        <v>687.8</v>
      </c>
      <c r="L50" s="60">
        <f t="shared" si="5"/>
        <v>687.8</v>
      </c>
      <c r="M50" s="60">
        <f t="shared" si="5"/>
        <v>662.8</v>
      </c>
      <c r="N50" s="60">
        <f t="shared" si="5"/>
        <v>662.8</v>
      </c>
      <c r="O50" s="60">
        <f t="shared" si="5"/>
        <v>662.8</v>
      </c>
      <c r="P50" s="60">
        <f t="shared" si="5"/>
        <v>662.8</v>
      </c>
      <c r="Q50" s="60">
        <f>SUM(Q11:Q48)</f>
        <v>660.59999999999991</v>
      </c>
      <c r="R50" s="60">
        <f t="shared" si="5"/>
        <v>660.59999999999991</v>
      </c>
      <c r="S50" s="60">
        <f t="shared" si="5"/>
        <v>660.59999999999991</v>
      </c>
      <c r="T50" s="60">
        <f t="shared" si="5"/>
        <v>660.59999999999991</v>
      </c>
      <c r="U50" s="60">
        <f t="shared" si="5"/>
        <v>660.59999999999991</v>
      </c>
      <c r="V50" s="60">
        <f t="shared" si="5"/>
        <v>660.59999999999991</v>
      </c>
      <c r="W50" s="60">
        <f t="shared" si="5"/>
        <v>660.59999999999991</v>
      </c>
      <c r="X50" s="60">
        <f t="shared" si="5"/>
        <v>660.59999999999991</v>
      </c>
      <c r="Y50" s="60">
        <f t="shared" si="5"/>
        <v>660.59999999999991</v>
      </c>
      <c r="Z50" s="60">
        <f t="shared" si="5"/>
        <v>620.20000000000005</v>
      </c>
      <c r="AA50" s="60">
        <f t="shared" si="5"/>
        <v>661.09999999999991</v>
      </c>
      <c r="AB50" s="60">
        <f t="shared" si="5"/>
        <v>661.09999999999991</v>
      </c>
      <c r="AC50" s="60">
        <f t="shared" si="5"/>
        <v>661.09999999999991</v>
      </c>
      <c r="AD50" s="60">
        <f t="shared" si="5"/>
        <v>661.09999999999991</v>
      </c>
      <c r="AE50" s="60">
        <f t="shared" si="5"/>
        <v>661.7</v>
      </c>
      <c r="AF50" s="60">
        <f t="shared" si="5"/>
        <v>663.09999999999991</v>
      </c>
      <c r="AG50" s="61">
        <f>SUM(AG13:AG48)</f>
        <v>922.14</v>
      </c>
      <c r="AH50" s="47">
        <f t="shared" si="2"/>
        <v>698.6</v>
      </c>
      <c r="AI50" s="48">
        <f t="shared" si="3"/>
        <v>620.20000000000005</v>
      </c>
      <c r="AK50" s="50"/>
    </row>
    <row r="51" spans="1:41" x14ac:dyDescent="0.25">
      <c r="A51" s="62" t="s">
        <v>59</v>
      </c>
      <c r="B51" s="45">
        <v>20</v>
      </c>
      <c r="C51" s="45">
        <v>15</v>
      </c>
      <c r="D51" s="45">
        <v>15</v>
      </c>
      <c r="E51" s="45">
        <v>15</v>
      </c>
      <c r="F51" s="45">
        <v>0</v>
      </c>
      <c r="G51" s="45">
        <v>60</v>
      </c>
      <c r="H51" s="45">
        <v>50</v>
      </c>
      <c r="I51" s="45">
        <v>90</v>
      </c>
      <c r="J51" s="45">
        <v>280</v>
      </c>
      <c r="K51" s="45">
        <v>400</v>
      </c>
      <c r="L51" s="45">
        <v>456</v>
      </c>
      <c r="M51" s="45">
        <v>456</v>
      </c>
      <c r="N51" s="45">
        <v>140</v>
      </c>
      <c r="O51" s="45">
        <v>140</v>
      </c>
      <c r="P51" s="45">
        <v>100</v>
      </c>
      <c r="Q51" s="63">
        <v>20</v>
      </c>
      <c r="R51" s="63">
        <v>12</v>
      </c>
      <c r="S51" s="63">
        <v>12</v>
      </c>
      <c r="T51" s="63">
        <v>25</v>
      </c>
      <c r="U51" s="63">
        <v>11</v>
      </c>
      <c r="V51" s="63">
        <v>285</v>
      </c>
      <c r="W51" s="63">
        <v>390</v>
      </c>
      <c r="X51" s="45">
        <v>430</v>
      </c>
      <c r="Y51" s="45">
        <v>320</v>
      </c>
      <c r="Z51" s="45">
        <v>200</v>
      </c>
      <c r="AA51" s="45">
        <v>200</v>
      </c>
      <c r="AB51" s="45">
        <v>115</v>
      </c>
      <c r="AC51" s="45">
        <v>100</v>
      </c>
      <c r="AD51" s="45">
        <v>100</v>
      </c>
      <c r="AE51" s="45">
        <v>30</v>
      </c>
      <c r="AF51" s="45">
        <v>0</v>
      </c>
      <c r="AG51" s="52">
        <v>456</v>
      </c>
      <c r="AH51" s="47">
        <f t="shared" si="2"/>
        <v>456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46</v>
      </c>
      <c r="C52" s="65">
        <v>46</v>
      </c>
      <c r="D52" s="65">
        <v>46</v>
      </c>
      <c r="E52" s="65">
        <v>46</v>
      </c>
      <c r="F52" s="65">
        <v>46</v>
      </c>
      <c r="G52" s="65">
        <v>46</v>
      </c>
      <c r="H52" s="65">
        <v>46</v>
      </c>
      <c r="I52" s="65">
        <v>46</v>
      </c>
      <c r="J52" s="65">
        <v>46</v>
      </c>
      <c r="K52" s="65">
        <v>46</v>
      </c>
      <c r="L52" s="65">
        <v>46</v>
      </c>
      <c r="M52" s="65">
        <v>46</v>
      </c>
      <c r="N52" s="65">
        <v>46</v>
      </c>
      <c r="O52" s="65">
        <v>46</v>
      </c>
      <c r="P52" s="65">
        <v>46</v>
      </c>
      <c r="Q52" s="65">
        <v>46</v>
      </c>
      <c r="R52" s="65">
        <v>46</v>
      </c>
      <c r="S52" s="65">
        <v>46</v>
      </c>
      <c r="T52" s="65">
        <v>46</v>
      </c>
      <c r="U52" s="65">
        <v>46</v>
      </c>
      <c r="V52" s="65">
        <v>46</v>
      </c>
      <c r="W52" s="65">
        <v>46</v>
      </c>
      <c r="X52" s="65">
        <v>46</v>
      </c>
      <c r="Y52" s="65">
        <v>46</v>
      </c>
      <c r="Z52" s="65">
        <v>46</v>
      </c>
      <c r="AA52" s="65">
        <v>46</v>
      </c>
      <c r="AB52" s="65">
        <v>46</v>
      </c>
      <c r="AC52" s="65">
        <v>46</v>
      </c>
      <c r="AD52" s="65">
        <v>46</v>
      </c>
      <c r="AE52" s="65">
        <v>46</v>
      </c>
      <c r="AF52" s="65">
        <v>46</v>
      </c>
      <c r="AG52" s="55">
        <v>60</v>
      </c>
      <c r="AH52" s="47">
        <f t="shared" si="2"/>
        <v>46</v>
      </c>
      <c r="AI52" s="48">
        <f t="shared" si="3"/>
        <v>46</v>
      </c>
      <c r="AK52" s="50"/>
    </row>
    <row r="53" spans="1:41" ht="15.75" thickBot="1" x14ac:dyDescent="0.3">
      <c r="A53" s="66" t="s">
        <v>61</v>
      </c>
      <c r="B53" s="67">
        <v>20.100000000000001</v>
      </c>
      <c r="C53" s="67">
        <v>20.100000000000001</v>
      </c>
      <c r="D53" s="67">
        <v>15.2</v>
      </c>
      <c r="E53" s="67">
        <v>15.1</v>
      </c>
      <c r="F53" s="67">
        <v>15.1</v>
      </c>
      <c r="G53" s="67">
        <v>10.199999999999999</v>
      </c>
      <c r="H53" s="67">
        <v>10.3</v>
      </c>
      <c r="I53" s="67">
        <v>10.199999999999999</v>
      </c>
      <c r="J53" s="67">
        <v>16.100000000000001</v>
      </c>
      <c r="K53" s="67">
        <v>16.100000000000001</v>
      </c>
      <c r="L53" s="67">
        <v>16.100000000000001</v>
      </c>
      <c r="M53" s="67">
        <v>16.100000000000001</v>
      </c>
      <c r="N53" s="67">
        <v>16.100000000000001</v>
      </c>
      <c r="O53" s="67">
        <v>16.100000000000001</v>
      </c>
      <c r="P53" s="67">
        <v>16.100000000000001</v>
      </c>
      <c r="Q53" s="67">
        <v>13.2</v>
      </c>
      <c r="R53" s="67">
        <v>13.2</v>
      </c>
      <c r="S53" s="67">
        <v>13.2</v>
      </c>
      <c r="T53" s="67">
        <v>13.2</v>
      </c>
      <c r="U53" s="67">
        <v>16.100000000000001</v>
      </c>
      <c r="V53" s="67">
        <v>16.100000000000001</v>
      </c>
      <c r="W53" s="67">
        <v>16.100000000000001</v>
      </c>
      <c r="X53" s="67">
        <v>16.100000000000001</v>
      </c>
      <c r="Y53" s="67">
        <v>16.100000000000001</v>
      </c>
      <c r="Z53" s="67">
        <v>16.100000000000001</v>
      </c>
      <c r="AA53" s="67">
        <v>16.100000000000001</v>
      </c>
      <c r="AB53" s="67">
        <v>20.100000000000001</v>
      </c>
      <c r="AC53" s="67">
        <v>20.100000000000001</v>
      </c>
      <c r="AD53" s="67">
        <v>20.100000000000001</v>
      </c>
      <c r="AE53" s="67">
        <v>14.1</v>
      </c>
      <c r="AF53" s="67">
        <v>14.2</v>
      </c>
      <c r="AG53" s="68">
        <v>22.1</v>
      </c>
      <c r="AH53" s="47">
        <f t="shared" si="2"/>
        <v>20.100000000000001</v>
      </c>
      <c r="AI53" s="48">
        <f t="shared" si="3"/>
        <v>10.199999999999999</v>
      </c>
      <c r="AK53" s="50"/>
    </row>
    <row r="54" spans="1:41" ht="15.75" thickBot="1" x14ac:dyDescent="0.3">
      <c r="A54" s="69" t="s">
        <v>62</v>
      </c>
      <c r="B54" s="60">
        <f t="shared" ref="B54:AG54" si="6">SUM(B51:B53)</f>
        <v>86.1</v>
      </c>
      <c r="C54" s="60">
        <f t="shared" si="6"/>
        <v>81.099999999999994</v>
      </c>
      <c r="D54" s="60">
        <f t="shared" si="6"/>
        <v>76.2</v>
      </c>
      <c r="E54" s="60">
        <f t="shared" si="6"/>
        <v>76.099999999999994</v>
      </c>
      <c r="F54" s="60">
        <f t="shared" si="6"/>
        <v>61.1</v>
      </c>
      <c r="G54" s="60">
        <f t="shared" si="6"/>
        <v>116.2</v>
      </c>
      <c r="H54" s="60">
        <f t="shared" si="6"/>
        <v>106.3</v>
      </c>
      <c r="I54" s="60">
        <f t="shared" si="6"/>
        <v>146.19999999999999</v>
      </c>
      <c r="J54" s="60">
        <f t="shared" si="6"/>
        <v>342.1</v>
      </c>
      <c r="K54" s="60">
        <f t="shared" si="6"/>
        <v>462.1</v>
      </c>
      <c r="L54" s="60">
        <f t="shared" si="6"/>
        <v>518.1</v>
      </c>
      <c r="M54" s="60">
        <f t="shared" si="6"/>
        <v>518.1</v>
      </c>
      <c r="N54" s="60">
        <f t="shared" si="6"/>
        <v>202.1</v>
      </c>
      <c r="O54" s="60">
        <f t="shared" si="6"/>
        <v>202.1</v>
      </c>
      <c r="P54" s="60">
        <f t="shared" si="6"/>
        <v>162.1</v>
      </c>
      <c r="Q54" s="60">
        <f>SUM(Q51:Q53)</f>
        <v>79.2</v>
      </c>
      <c r="R54" s="60">
        <f t="shared" si="6"/>
        <v>71.2</v>
      </c>
      <c r="S54" s="60">
        <f t="shared" si="6"/>
        <v>71.2</v>
      </c>
      <c r="T54" s="60">
        <f t="shared" si="6"/>
        <v>84.2</v>
      </c>
      <c r="U54" s="60">
        <f t="shared" si="6"/>
        <v>73.099999999999994</v>
      </c>
      <c r="V54" s="60">
        <f t="shared" si="6"/>
        <v>347.1</v>
      </c>
      <c r="W54" s="60">
        <f t="shared" si="6"/>
        <v>452.1</v>
      </c>
      <c r="X54" s="60">
        <f t="shared" si="6"/>
        <v>492.1</v>
      </c>
      <c r="Y54" s="60">
        <f t="shared" si="6"/>
        <v>382.1</v>
      </c>
      <c r="Z54" s="60">
        <f t="shared" si="6"/>
        <v>262.10000000000002</v>
      </c>
      <c r="AA54" s="60">
        <f t="shared" si="6"/>
        <v>262.10000000000002</v>
      </c>
      <c r="AB54" s="60">
        <f t="shared" si="6"/>
        <v>181.1</v>
      </c>
      <c r="AC54" s="60">
        <f t="shared" si="6"/>
        <v>166.1</v>
      </c>
      <c r="AD54" s="60">
        <f t="shared" si="6"/>
        <v>166.1</v>
      </c>
      <c r="AE54" s="60">
        <f t="shared" si="6"/>
        <v>90.1</v>
      </c>
      <c r="AF54" s="60">
        <f t="shared" si="6"/>
        <v>60.2</v>
      </c>
      <c r="AG54" s="61">
        <f t="shared" si="6"/>
        <v>538.1</v>
      </c>
      <c r="AH54" s="47">
        <f t="shared" si="2"/>
        <v>518.1</v>
      </c>
      <c r="AI54" s="48">
        <f t="shared" si="3"/>
        <v>60.2</v>
      </c>
      <c r="AK54" s="50"/>
    </row>
    <row r="55" spans="1:41" x14ac:dyDescent="0.25">
      <c r="A55" s="44" t="s">
        <v>63</v>
      </c>
      <c r="B55" s="45">
        <v>40.5</v>
      </c>
      <c r="C55" s="45">
        <v>35.200000000000003</v>
      </c>
      <c r="D55" s="45">
        <v>30.4</v>
      </c>
      <c r="E55" s="45">
        <v>30.7</v>
      </c>
      <c r="F55" s="45">
        <v>27.7</v>
      </c>
      <c r="G55" s="45">
        <v>47.2</v>
      </c>
      <c r="H55" s="45">
        <v>61.5</v>
      </c>
      <c r="I55" s="45">
        <v>100.6</v>
      </c>
      <c r="J55" s="45">
        <v>133.80000000000001</v>
      </c>
      <c r="K55" s="45">
        <v>145.4</v>
      </c>
      <c r="L55" s="45">
        <v>145.4</v>
      </c>
      <c r="M55" s="45">
        <v>145.4</v>
      </c>
      <c r="N55" s="45">
        <v>145.4</v>
      </c>
      <c r="O55" s="45">
        <v>145.4</v>
      </c>
      <c r="P55" s="45">
        <v>145.4</v>
      </c>
      <c r="Q55" s="45">
        <v>121.8</v>
      </c>
      <c r="R55" s="45">
        <v>57</v>
      </c>
      <c r="S55" s="45">
        <v>57</v>
      </c>
      <c r="T55" s="45">
        <v>57</v>
      </c>
      <c r="U55" s="45">
        <v>70</v>
      </c>
      <c r="V55" s="45">
        <v>121.8</v>
      </c>
      <c r="W55" s="45">
        <v>142.4</v>
      </c>
      <c r="X55" s="45">
        <v>142.4</v>
      </c>
      <c r="Y55" s="45">
        <v>142.4</v>
      </c>
      <c r="Z55" s="45">
        <v>142.4</v>
      </c>
      <c r="AA55" s="45">
        <v>142.4</v>
      </c>
      <c r="AB55" s="45">
        <v>142.4</v>
      </c>
      <c r="AC55" s="45">
        <v>70</v>
      </c>
      <c r="AD55" s="45">
        <v>48.9</v>
      </c>
      <c r="AE55" s="45">
        <v>48.5</v>
      </c>
      <c r="AF55" s="45">
        <v>48.5</v>
      </c>
      <c r="AG55" s="52">
        <v>144</v>
      </c>
      <c r="AH55" s="47">
        <f t="shared" si="2"/>
        <v>145.4</v>
      </c>
      <c r="AI55" s="48">
        <f t="shared" si="3"/>
        <v>27.7</v>
      </c>
      <c r="AK55" s="50"/>
    </row>
    <row r="56" spans="1:41" x14ac:dyDescent="0.25">
      <c r="A56" s="54" t="s">
        <v>64</v>
      </c>
      <c r="B56" s="65">
        <v>24.8</v>
      </c>
      <c r="C56" s="65">
        <v>34.799999999999997</v>
      </c>
      <c r="D56" s="65">
        <v>23.4</v>
      </c>
      <c r="E56" s="65">
        <v>23.4</v>
      </c>
      <c r="F56" s="65">
        <v>0</v>
      </c>
      <c r="G56" s="65">
        <v>0</v>
      </c>
      <c r="H56" s="65">
        <v>24.6</v>
      </c>
      <c r="I56" s="65">
        <v>71</v>
      </c>
      <c r="J56" s="65">
        <v>71.8</v>
      </c>
      <c r="K56" s="65">
        <v>72</v>
      </c>
      <c r="L56" s="65">
        <v>72</v>
      </c>
      <c r="M56" s="65">
        <v>72</v>
      </c>
      <c r="N56" s="65">
        <v>72</v>
      </c>
      <c r="O56" s="65">
        <v>72</v>
      </c>
      <c r="P56" s="65">
        <v>72</v>
      </c>
      <c r="Q56" s="65">
        <v>34.6</v>
      </c>
      <c r="R56" s="65">
        <v>24</v>
      </c>
      <c r="S56" s="65">
        <v>24</v>
      </c>
      <c r="T56" s="65">
        <v>24</v>
      </c>
      <c r="U56" s="65">
        <v>26.3</v>
      </c>
      <c r="V56" s="65">
        <v>65</v>
      </c>
      <c r="W56" s="65">
        <v>65</v>
      </c>
      <c r="X56" s="45">
        <v>65</v>
      </c>
      <c r="Y56" s="45">
        <v>65</v>
      </c>
      <c r="Z56" s="45">
        <v>65</v>
      </c>
      <c r="AA56" s="45">
        <v>65</v>
      </c>
      <c r="AB56" s="45">
        <v>65</v>
      </c>
      <c r="AC56" s="45">
        <v>55.6</v>
      </c>
      <c r="AD56" s="65">
        <v>55</v>
      </c>
      <c r="AE56" s="45">
        <v>34.1</v>
      </c>
      <c r="AF56" s="45">
        <v>37</v>
      </c>
      <c r="AG56" s="55">
        <v>70</v>
      </c>
      <c r="AH56" s="47">
        <f t="shared" si="2"/>
        <v>72</v>
      </c>
      <c r="AI56" s="48">
        <f t="shared" si="3"/>
        <v>0</v>
      </c>
      <c r="AK56" s="50"/>
    </row>
    <row r="57" spans="1:41" x14ac:dyDescent="0.25">
      <c r="A57" s="54" t="s">
        <v>65</v>
      </c>
      <c r="B57" s="65">
        <v>45.6</v>
      </c>
      <c r="C57" s="65">
        <v>45.6</v>
      </c>
      <c r="D57" s="65">
        <v>45.6</v>
      </c>
      <c r="E57" s="65">
        <v>34.6</v>
      </c>
      <c r="F57" s="65">
        <v>35.9</v>
      </c>
      <c r="G57" s="65">
        <v>43.6</v>
      </c>
      <c r="H57" s="65">
        <v>32.299999999999997</v>
      </c>
      <c r="I57" s="65">
        <v>32.1</v>
      </c>
      <c r="J57" s="65">
        <v>53.6</v>
      </c>
      <c r="K57" s="65">
        <v>68.7</v>
      </c>
      <c r="L57" s="65">
        <v>68.7</v>
      </c>
      <c r="M57" s="65">
        <v>68.7</v>
      </c>
      <c r="N57" s="65">
        <v>68.7</v>
      </c>
      <c r="O57" s="65">
        <v>68.7</v>
      </c>
      <c r="P57" s="65">
        <v>68.7</v>
      </c>
      <c r="Q57" s="65">
        <v>56.7</v>
      </c>
      <c r="R57" s="65">
        <v>34</v>
      </c>
      <c r="S57" s="65">
        <v>34</v>
      </c>
      <c r="T57" s="65">
        <v>34</v>
      </c>
      <c r="U57" s="65">
        <v>45.6</v>
      </c>
      <c r="V57" s="65">
        <v>68.599999999999994</v>
      </c>
      <c r="W57" s="65">
        <v>68.599999999999994</v>
      </c>
      <c r="X57" s="65">
        <v>68.599999999999994</v>
      </c>
      <c r="Y57" s="45">
        <v>67.900000000000006</v>
      </c>
      <c r="Z57" s="45">
        <v>67.900000000000006</v>
      </c>
      <c r="AA57" s="45">
        <v>67.900000000000006</v>
      </c>
      <c r="AB57" s="45">
        <v>67.900000000000006</v>
      </c>
      <c r="AC57" s="45">
        <v>60.9</v>
      </c>
      <c r="AD57" s="65">
        <v>60.7</v>
      </c>
      <c r="AE57" s="45">
        <v>35.700000000000003</v>
      </c>
      <c r="AF57" s="45">
        <v>36.1</v>
      </c>
      <c r="AG57" s="55">
        <v>69</v>
      </c>
      <c r="AH57" s="47">
        <f t="shared" si="2"/>
        <v>68.7</v>
      </c>
      <c r="AI57" s="48">
        <f t="shared" si="3"/>
        <v>32.1</v>
      </c>
      <c r="AK57" s="50"/>
    </row>
    <row r="58" spans="1:41" x14ac:dyDescent="0.25">
      <c r="A58" s="54" t="s">
        <v>66</v>
      </c>
      <c r="B58" s="65">
        <v>60.9</v>
      </c>
      <c r="C58" s="65">
        <v>60.9</v>
      </c>
      <c r="D58" s="65">
        <v>60.9</v>
      </c>
      <c r="E58" s="65">
        <v>60.9</v>
      </c>
      <c r="F58" s="57">
        <v>58.5</v>
      </c>
      <c r="G58" s="57">
        <v>59.2</v>
      </c>
      <c r="H58" s="57">
        <v>59.5</v>
      </c>
      <c r="I58" s="57">
        <v>59.2</v>
      </c>
      <c r="J58" s="57">
        <v>59.2</v>
      </c>
      <c r="K58" s="57">
        <v>59.2</v>
      </c>
      <c r="L58" s="57">
        <v>59.2</v>
      </c>
      <c r="M58" s="57">
        <v>59.2</v>
      </c>
      <c r="N58" s="57">
        <v>59.2</v>
      </c>
      <c r="O58" s="57">
        <v>59.2</v>
      </c>
      <c r="P58" s="57">
        <v>59.2</v>
      </c>
      <c r="Q58" s="65">
        <v>58</v>
      </c>
      <c r="R58" s="65">
        <v>58</v>
      </c>
      <c r="S58" s="65">
        <v>58</v>
      </c>
      <c r="T58" s="65">
        <v>58</v>
      </c>
      <c r="U58" s="65">
        <v>58</v>
      </c>
      <c r="V58" s="65">
        <v>58</v>
      </c>
      <c r="W58" s="65">
        <v>58</v>
      </c>
      <c r="X58" s="45">
        <v>58</v>
      </c>
      <c r="Y58" s="45">
        <v>58</v>
      </c>
      <c r="Z58" s="45">
        <v>58</v>
      </c>
      <c r="AA58" s="45">
        <v>58</v>
      </c>
      <c r="AB58" s="45">
        <v>60</v>
      </c>
      <c r="AC58" s="45">
        <v>60</v>
      </c>
      <c r="AD58" s="65">
        <v>60</v>
      </c>
      <c r="AE58" s="45">
        <v>60</v>
      </c>
      <c r="AF58" s="45">
        <v>60</v>
      </c>
      <c r="AG58" s="55">
        <v>60</v>
      </c>
      <c r="AH58" s="47">
        <f t="shared" si="2"/>
        <v>60.9</v>
      </c>
      <c r="AI58" s="48">
        <f t="shared" si="3"/>
        <v>58</v>
      </c>
      <c r="AK58" s="50"/>
    </row>
    <row r="59" spans="1:41" x14ac:dyDescent="0.25">
      <c r="A59" s="54" t="s">
        <v>67</v>
      </c>
      <c r="B59" s="65">
        <v>0</v>
      </c>
      <c r="C59" s="65">
        <v>0</v>
      </c>
      <c r="D59" s="65">
        <v>10</v>
      </c>
      <c r="E59" s="65">
        <v>10</v>
      </c>
      <c r="F59" s="57">
        <v>10</v>
      </c>
      <c r="G59" s="57">
        <v>15</v>
      </c>
      <c r="H59" s="57">
        <v>15</v>
      </c>
      <c r="I59" s="57">
        <v>10</v>
      </c>
      <c r="J59" s="57">
        <v>15</v>
      </c>
      <c r="K59" s="57">
        <v>23</v>
      </c>
      <c r="L59" s="57">
        <v>27</v>
      </c>
      <c r="M59" s="57">
        <v>27</v>
      </c>
      <c r="N59" s="57">
        <v>27</v>
      </c>
      <c r="O59" s="57">
        <v>27</v>
      </c>
      <c r="P59" s="57">
        <v>27</v>
      </c>
      <c r="Q59" s="65">
        <v>0</v>
      </c>
      <c r="R59" s="65">
        <v>0</v>
      </c>
      <c r="S59" s="65">
        <v>0</v>
      </c>
      <c r="T59" s="65">
        <v>0</v>
      </c>
      <c r="U59" s="65">
        <v>10</v>
      </c>
      <c r="V59" s="65">
        <v>23</v>
      </c>
      <c r="W59" s="6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26</v>
      </c>
      <c r="AC59" s="45">
        <v>15</v>
      </c>
      <c r="AD59" s="65">
        <v>10</v>
      </c>
      <c r="AE59" s="45">
        <v>0</v>
      </c>
      <c r="AF59" s="45">
        <v>0</v>
      </c>
      <c r="AG59" s="55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15.5</v>
      </c>
      <c r="R60" s="65">
        <v>15.5</v>
      </c>
      <c r="S60" s="65">
        <v>10.3</v>
      </c>
      <c r="T60" s="65">
        <v>10.3</v>
      </c>
      <c r="U60" s="65">
        <v>2.2000000000000002</v>
      </c>
      <c r="V60" s="65">
        <v>0</v>
      </c>
      <c r="W60" s="6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5">
        <v>25</v>
      </c>
      <c r="AH60" s="47">
        <f t="shared" si="2"/>
        <v>15.5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4" t="s">
        <v>70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5">
        <v>15</v>
      </c>
      <c r="AH62" s="47">
        <f t="shared" si="2"/>
        <v>0</v>
      </c>
      <c r="AI62" s="48">
        <f t="shared" si="3"/>
        <v>0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11.9</v>
      </c>
      <c r="C63" s="65">
        <v>11.9</v>
      </c>
      <c r="D63" s="65">
        <v>11.9</v>
      </c>
      <c r="E63" s="65">
        <v>11.9</v>
      </c>
      <c r="F63" s="65">
        <v>11.9</v>
      </c>
      <c r="G63" s="65">
        <v>11.9</v>
      </c>
      <c r="H63" s="65">
        <v>11.9</v>
      </c>
      <c r="I63" s="65">
        <v>11.9</v>
      </c>
      <c r="J63" s="65">
        <v>11.9</v>
      </c>
      <c r="K63" s="65">
        <v>11.9</v>
      </c>
      <c r="L63" s="65">
        <v>11.9</v>
      </c>
      <c r="M63" s="65">
        <v>11.9</v>
      </c>
      <c r="N63" s="65">
        <v>11.9</v>
      </c>
      <c r="O63" s="65">
        <v>11.9</v>
      </c>
      <c r="P63" s="65">
        <v>11.9</v>
      </c>
      <c r="Q63" s="65">
        <v>9.9</v>
      </c>
      <c r="R63" s="65">
        <v>9.9</v>
      </c>
      <c r="S63" s="65">
        <v>9.9</v>
      </c>
      <c r="T63" s="65">
        <v>9.9</v>
      </c>
      <c r="U63" s="65">
        <v>9.9</v>
      </c>
      <c r="V63" s="65">
        <v>9.9</v>
      </c>
      <c r="W63" s="65">
        <v>9.9</v>
      </c>
      <c r="X63" s="65">
        <v>9.9</v>
      </c>
      <c r="Y63" s="65">
        <v>9.9</v>
      </c>
      <c r="Z63" s="65">
        <v>9.9</v>
      </c>
      <c r="AA63" s="65">
        <v>9.9</v>
      </c>
      <c r="AB63" s="65">
        <v>13.5</v>
      </c>
      <c r="AC63" s="65">
        <v>13.5</v>
      </c>
      <c r="AD63" s="65">
        <v>13.7</v>
      </c>
      <c r="AE63" s="65">
        <v>13.7</v>
      </c>
      <c r="AF63" s="65">
        <v>13.7</v>
      </c>
      <c r="AG63" s="55">
        <v>14.1</v>
      </c>
      <c r="AH63" s="47">
        <f t="shared" si="2"/>
        <v>13.7</v>
      </c>
      <c r="AI63" s="48">
        <f t="shared" si="3"/>
        <v>9.9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6.8</v>
      </c>
      <c r="C64" s="65">
        <v>6.8</v>
      </c>
      <c r="D64" s="65">
        <v>6.8</v>
      </c>
      <c r="E64" s="65">
        <v>6.8</v>
      </c>
      <c r="F64" s="65">
        <v>6.8</v>
      </c>
      <c r="G64" s="65">
        <v>6.8</v>
      </c>
      <c r="H64" s="65">
        <v>6.8</v>
      </c>
      <c r="I64" s="65">
        <v>6.8</v>
      </c>
      <c r="J64" s="65">
        <v>6.8</v>
      </c>
      <c r="K64" s="65">
        <v>6.8</v>
      </c>
      <c r="L64" s="65">
        <v>6.8</v>
      </c>
      <c r="M64" s="65">
        <v>6.8</v>
      </c>
      <c r="N64" s="65">
        <v>6.8</v>
      </c>
      <c r="O64" s="65">
        <v>6.8</v>
      </c>
      <c r="P64" s="65">
        <v>6.8</v>
      </c>
      <c r="Q64" s="65">
        <v>5.7</v>
      </c>
      <c r="R64" s="65">
        <v>5.7</v>
      </c>
      <c r="S64" s="65">
        <v>5.7</v>
      </c>
      <c r="T64" s="65">
        <v>5.7</v>
      </c>
      <c r="U64" s="65">
        <v>5.7</v>
      </c>
      <c r="V64" s="65">
        <v>5.7</v>
      </c>
      <c r="W64" s="65">
        <v>5.7</v>
      </c>
      <c r="X64" s="65">
        <v>5.7</v>
      </c>
      <c r="Y64" s="65">
        <v>5.7</v>
      </c>
      <c r="Z64" s="65">
        <v>5.7</v>
      </c>
      <c r="AA64" s="65">
        <v>5.7</v>
      </c>
      <c r="AB64" s="65">
        <v>5.7</v>
      </c>
      <c r="AC64" s="65">
        <v>5.7</v>
      </c>
      <c r="AD64" s="65">
        <v>5.7</v>
      </c>
      <c r="AE64" s="65">
        <v>5.7</v>
      </c>
      <c r="AF64" s="65">
        <v>5.5</v>
      </c>
      <c r="AG64" s="55">
        <v>14</v>
      </c>
      <c r="AH64" s="47">
        <f t="shared" si="2"/>
        <v>6.8</v>
      </c>
      <c r="AI64" s="48">
        <f t="shared" si="3"/>
        <v>5.5</v>
      </c>
      <c r="AK64" s="50"/>
    </row>
    <row r="65" spans="1:40" x14ac:dyDescent="0.25">
      <c r="A65" s="54" t="s">
        <v>73</v>
      </c>
      <c r="B65" s="65">
        <v>6.5</v>
      </c>
      <c r="C65" s="65">
        <v>6.5</v>
      </c>
      <c r="D65" s="65">
        <v>6.5</v>
      </c>
      <c r="E65" s="65">
        <v>6.5</v>
      </c>
      <c r="F65" s="65">
        <v>6.5</v>
      </c>
      <c r="G65" s="65">
        <v>6.5</v>
      </c>
      <c r="H65" s="65">
        <v>6.5</v>
      </c>
      <c r="I65" s="65">
        <v>6.5</v>
      </c>
      <c r="J65" s="65">
        <v>6.5</v>
      </c>
      <c r="K65" s="65">
        <v>6.5</v>
      </c>
      <c r="L65" s="65">
        <v>6.5</v>
      </c>
      <c r="M65" s="65">
        <v>6.5</v>
      </c>
      <c r="N65" s="65">
        <v>6.5</v>
      </c>
      <c r="O65" s="65">
        <v>6.5</v>
      </c>
      <c r="P65" s="65">
        <v>6.5</v>
      </c>
      <c r="Q65" s="65">
        <v>6.5</v>
      </c>
      <c r="R65" s="65">
        <v>6.5</v>
      </c>
      <c r="S65" s="65">
        <v>6.5</v>
      </c>
      <c r="T65" s="65">
        <v>6.5</v>
      </c>
      <c r="U65" s="65">
        <v>6.5</v>
      </c>
      <c r="V65" s="65">
        <v>6.5</v>
      </c>
      <c r="W65" s="65">
        <v>6.5</v>
      </c>
      <c r="X65" s="65">
        <v>6.5</v>
      </c>
      <c r="Y65" s="65">
        <v>6.5</v>
      </c>
      <c r="Z65" s="65">
        <v>6.5</v>
      </c>
      <c r="AA65" s="65">
        <v>6.5</v>
      </c>
      <c r="AB65" s="65">
        <v>6.5</v>
      </c>
      <c r="AC65" s="65">
        <v>6.5</v>
      </c>
      <c r="AD65" s="65">
        <v>6.5</v>
      </c>
      <c r="AE65" s="65">
        <v>6.5</v>
      </c>
      <c r="AF65" s="65">
        <v>6.5</v>
      </c>
      <c r="AG65" s="55">
        <v>10.050000000000001</v>
      </c>
      <c r="AH65" s="47">
        <f t="shared" si="2"/>
        <v>6.5</v>
      </c>
      <c r="AI65" s="48">
        <f t="shared" si="3"/>
        <v>6.5</v>
      </c>
      <c r="AK65" s="50"/>
    </row>
    <row r="66" spans="1:40" x14ac:dyDescent="0.25">
      <c r="A66" s="54" t="s">
        <v>74</v>
      </c>
      <c r="B66" s="65">
        <v>4.5</v>
      </c>
      <c r="C66" s="65">
        <v>4.5</v>
      </c>
      <c r="D66" s="65">
        <v>4.5</v>
      </c>
      <c r="E66" s="65">
        <v>4.5</v>
      </c>
      <c r="F66" s="65">
        <v>4.5</v>
      </c>
      <c r="G66" s="65">
        <v>4.5</v>
      </c>
      <c r="H66" s="65">
        <v>4.5</v>
      </c>
      <c r="I66" s="65">
        <v>4.5</v>
      </c>
      <c r="J66" s="65">
        <v>4.5</v>
      </c>
      <c r="K66" s="65">
        <v>4.5</v>
      </c>
      <c r="L66" s="65">
        <v>4.5</v>
      </c>
      <c r="M66" s="65">
        <v>4.5</v>
      </c>
      <c r="N66" s="65">
        <v>4.5</v>
      </c>
      <c r="O66" s="65">
        <v>4.5</v>
      </c>
      <c r="P66" s="65">
        <v>4.5</v>
      </c>
      <c r="Q66" s="65">
        <v>3.52</v>
      </c>
      <c r="R66" s="65">
        <v>3.52</v>
      </c>
      <c r="S66" s="65">
        <v>3.52</v>
      </c>
      <c r="T66" s="65">
        <v>3.52</v>
      </c>
      <c r="U66" s="65">
        <v>3.52</v>
      </c>
      <c r="V66" s="65">
        <v>3.52</v>
      </c>
      <c r="W66" s="65">
        <v>3.52</v>
      </c>
      <c r="X66" s="65">
        <v>3.52</v>
      </c>
      <c r="Y66" s="65">
        <v>3.52</v>
      </c>
      <c r="Z66" s="65">
        <v>3.52</v>
      </c>
      <c r="AA66" s="65">
        <v>3.52</v>
      </c>
      <c r="AB66" s="65">
        <v>3.52</v>
      </c>
      <c r="AC66" s="65">
        <v>3.52</v>
      </c>
      <c r="AD66" s="65">
        <v>3.52</v>
      </c>
      <c r="AE66" s="65">
        <v>3.52</v>
      </c>
      <c r="AF66" s="65">
        <v>3.52</v>
      </c>
      <c r="AG66" s="55">
        <v>6.2</v>
      </c>
      <c r="AH66" s="47">
        <f t="shared" si="2"/>
        <v>4.5</v>
      </c>
      <c r="AI66" s="48">
        <f t="shared" si="3"/>
        <v>3.52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4" t="s">
        <v>76</v>
      </c>
      <c r="B68" s="60">
        <f t="shared" ref="B68:AG68" si="7">SUM(B55:B67)</f>
        <v>221.04000000000002</v>
      </c>
      <c r="C68" s="60">
        <f t="shared" si="7"/>
        <v>225.74</v>
      </c>
      <c r="D68" s="60">
        <f t="shared" si="7"/>
        <v>219.54000000000002</v>
      </c>
      <c r="E68" s="60">
        <f t="shared" si="7"/>
        <v>208.84</v>
      </c>
      <c r="F68" s="60">
        <f t="shared" si="7"/>
        <v>181.34</v>
      </c>
      <c r="G68" s="60">
        <f t="shared" si="7"/>
        <v>214.24</v>
      </c>
      <c r="H68" s="60">
        <f t="shared" si="7"/>
        <v>242.14</v>
      </c>
      <c r="I68" s="60">
        <f t="shared" si="7"/>
        <v>322.14</v>
      </c>
      <c r="J68" s="60">
        <f t="shared" si="7"/>
        <v>382.64000000000004</v>
      </c>
      <c r="K68" s="60">
        <f t="shared" si="7"/>
        <v>417.54</v>
      </c>
      <c r="L68" s="60">
        <f t="shared" si="7"/>
        <v>421.54</v>
      </c>
      <c r="M68" s="60">
        <f t="shared" si="7"/>
        <v>421.54</v>
      </c>
      <c r="N68" s="60">
        <f t="shared" si="7"/>
        <v>421.54</v>
      </c>
      <c r="O68" s="60">
        <f t="shared" si="7"/>
        <v>421.54</v>
      </c>
      <c r="P68" s="60">
        <f t="shared" si="7"/>
        <v>421.54</v>
      </c>
      <c r="Q68" s="60">
        <f t="shared" si="7"/>
        <v>331.76</v>
      </c>
      <c r="R68" s="60">
        <f t="shared" si="7"/>
        <v>233.66</v>
      </c>
      <c r="S68" s="60">
        <f t="shared" si="7"/>
        <v>228.46</v>
      </c>
      <c r="T68" s="60">
        <f t="shared" si="7"/>
        <v>228.46</v>
      </c>
      <c r="U68" s="60">
        <f t="shared" si="7"/>
        <v>257.26</v>
      </c>
      <c r="V68" s="60">
        <f t="shared" si="7"/>
        <v>381.55999999999995</v>
      </c>
      <c r="W68" s="60">
        <f t="shared" si="7"/>
        <v>409.15999999999997</v>
      </c>
      <c r="X68" s="60">
        <f t="shared" si="7"/>
        <v>409.15999999999997</v>
      </c>
      <c r="Y68" s="60">
        <f t="shared" si="7"/>
        <v>408.46</v>
      </c>
      <c r="Z68" s="60">
        <f t="shared" si="7"/>
        <v>408.46</v>
      </c>
      <c r="AA68" s="60">
        <f t="shared" si="7"/>
        <v>408.46</v>
      </c>
      <c r="AB68" s="60">
        <f t="shared" si="7"/>
        <v>410.06</v>
      </c>
      <c r="AC68" s="60">
        <f t="shared" si="7"/>
        <v>310.26</v>
      </c>
      <c r="AD68" s="60">
        <f t="shared" si="7"/>
        <v>283.56</v>
      </c>
      <c r="AE68" s="60">
        <f t="shared" si="7"/>
        <v>227.26</v>
      </c>
      <c r="AF68" s="60">
        <f t="shared" si="7"/>
        <v>230.35999999999999</v>
      </c>
      <c r="AG68" s="61">
        <f t="shared" si="7"/>
        <v>489.91</v>
      </c>
      <c r="AH68" s="47">
        <f t="shared" si="2"/>
        <v>421.54</v>
      </c>
      <c r="AI68" s="48">
        <f t="shared" si="3"/>
        <v>181.34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>
        <v>25</v>
      </c>
      <c r="L69" s="45">
        <v>59.2</v>
      </c>
      <c r="M69" s="45">
        <v>59.2</v>
      </c>
      <c r="N69" s="45">
        <v>10</v>
      </c>
      <c r="O69" s="45">
        <v>0</v>
      </c>
      <c r="P69" s="45">
        <v>0</v>
      </c>
      <c r="Q69" s="45">
        <v>0</v>
      </c>
      <c r="R69" s="45"/>
      <c r="S69" s="45"/>
      <c r="T69" s="45"/>
      <c r="U69" s="45"/>
      <c r="V69" s="45"/>
      <c r="W69" s="45"/>
      <c r="X69" s="45">
        <v>35</v>
      </c>
      <c r="Y69" s="45">
        <v>60.4</v>
      </c>
      <c r="Z69" s="45">
        <v>60.4</v>
      </c>
      <c r="AA69" s="45">
        <v>60.4</v>
      </c>
      <c r="AB69" s="45">
        <v>60</v>
      </c>
      <c r="AC69" s="45">
        <v>59.4</v>
      </c>
      <c r="AD69" s="45">
        <v>14</v>
      </c>
      <c r="AE69" s="45">
        <v>0</v>
      </c>
      <c r="AF69" s="45">
        <v>0</v>
      </c>
      <c r="AG69" s="52">
        <v>60</v>
      </c>
      <c r="AH69" s="47">
        <f t="shared" si="2"/>
        <v>60.4</v>
      </c>
      <c r="AI69" s="48">
        <f t="shared" si="3"/>
        <v>0</v>
      </c>
      <c r="AK69" s="50"/>
    </row>
    <row r="70" spans="1:40" x14ac:dyDescent="0.25">
      <c r="A70" s="54" t="s">
        <v>78</v>
      </c>
      <c r="B70" s="45"/>
      <c r="C70" s="45"/>
      <c r="D70" s="65"/>
      <c r="E70" s="65"/>
      <c r="F70" s="65"/>
      <c r="G70" s="65"/>
      <c r="H70" s="65"/>
      <c r="I70" s="65"/>
      <c r="J70" s="65"/>
      <c r="K70" s="65"/>
      <c r="L70" s="65">
        <v>30</v>
      </c>
      <c r="M70" s="65">
        <v>30</v>
      </c>
      <c r="N70" s="65">
        <v>4</v>
      </c>
      <c r="O70" s="65">
        <v>0</v>
      </c>
      <c r="P70" s="65">
        <v>0</v>
      </c>
      <c r="Q70" s="65">
        <v>0</v>
      </c>
      <c r="R70" s="65"/>
      <c r="S70" s="65"/>
      <c r="T70" s="65"/>
      <c r="U70" s="65"/>
      <c r="V70" s="65"/>
      <c r="W70" s="65"/>
      <c r="X70" s="65">
        <v>15</v>
      </c>
      <c r="Y70" s="65">
        <v>26.1</v>
      </c>
      <c r="Z70" s="65">
        <v>26.1</v>
      </c>
      <c r="AA70" s="65">
        <v>26.1</v>
      </c>
      <c r="AB70" s="65">
        <v>28.3</v>
      </c>
      <c r="AC70" s="65">
        <v>27.9</v>
      </c>
      <c r="AD70" s="65">
        <v>8</v>
      </c>
      <c r="AE70" s="65">
        <v>0</v>
      </c>
      <c r="AF70" s="65">
        <v>0</v>
      </c>
      <c r="AG70" s="55">
        <v>32</v>
      </c>
      <c r="AH70" s="47">
        <f t="shared" si="2"/>
        <v>30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45"/>
      <c r="C71" s="45"/>
      <c r="D71" s="67"/>
      <c r="E71" s="67"/>
      <c r="F71" s="67"/>
      <c r="G71" s="67"/>
      <c r="H71" s="67"/>
      <c r="I71" s="67"/>
      <c r="J71" s="67"/>
      <c r="K71" s="67"/>
      <c r="L71" s="67">
        <v>6.1</v>
      </c>
      <c r="M71" s="67">
        <v>6.1</v>
      </c>
      <c r="N71" s="67">
        <v>2</v>
      </c>
      <c r="O71" s="67">
        <v>0</v>
      </c>
      <c r="P71" s="67">
        <v>0</v>
      </c>
      <c r="Q71" s="67">
        <v>0</v>
      </c>
      <c r="R71" s="67"/>
      <c r="S71" s="67"/>
      <c r="T71" s="67"/>
      <c r="U71" s="67"/>
      <c r="V71" s="67"/>
      <c r="W71" s="67"/>
      <c r="X71" s="67">
        <v>5.5</v>
      </c>
      <c r="Y71" s="67">
        <v>9.5</v>
      </c>
      <c r="Z71" s="67">
        <v>9.5</v>
      </c>
      <c r="AA71" s="67">
        <v>9.5</v>
      </c>
      <c r="AB71" s="67">
        <v>10.3</v>
      </c>
      <c r="AC71" s="67">
        <v>10.199999999999999</v>
      </c>
      <c r="AD71" s="67">
        <v>2.9</v>
      </c>
      <c r="AE71" s="67">
        <v>0</v>
      </c>
      <c r="AF71" s="67">
        <v>0</v>
      </c>
      <c r="AG71" s="68">
        <v>14</v>
      </c>
      <c r="AH71" s="47">
        <f t="shared" si="2"/>
        <v>10.3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 t="shared" ref="B72:L72" si="8">B69+B70+B71</f>
        <v>0</v>
      </c>
      <c r="C72" s="60">
        <f t="shared" si="8"/>
        <v>0</v>
      </c>
      <c r="D72" s="60">
        <f t="shared" si="8"/>
        <v>0</v>
      </c>
      <c r="E72" s="60">
        <f t="shared" si="8"/>
        <v>0</v>
      </c>
      <c r="F72" s="60">
        <f t="shared" si="8"/>
        <v>0</v>
      </c>
      <c r="G72" s="60">
        <f t="shared" si="8"/>
        <v>0</v>
      </c>
      <c r="H72" s="60">
        <f t="shared" si="8"/>
        <v>0</v>
      </c>
      <c r="I72" s="60">
        <f t="shared" si="8"/>
        <v>0</v>
      </c>
      <c r="J72" s="60">
        <f t="shared" si="8"/>
        <v>0</v>
      </c>
      <c r="K72" s="60">
        <f t="shared" si="8"/>
        <v>25</v>
      </c>
      <c r="L72" s="60">
        <f t="shared" si="8"/>
        <v>95.3</v>
      </c>
      <c r="M72" s="60">
        <f t="shared" ref="M72:AF72" si="9">M69+M70+M71</f>
        <v>95.3</v>
      </c>
      <c r="N72" s="60">
        <f t="shared" si="9"/>
        <v>16</v>
      </c>
      <c r="O72" s="60">
        <f t="shared" si="9"/>
        <v>0</v>
      </c>
      <c r="P72" s="60">
        <f t="shared" si="9"/>
        <v>0</v>
      </c>
      <c r="Q72" s="60">
        <f t="shared" si="9"/>
        <v>0</v>
      </c>
      <c r="R72" s="60">
        <f t="shared" si="9"/>
        <v>0</v>
      </c>
      <c r="S72" s="60">
        <f t="shared" si="9"/>
        <v>0</v>
      </c>
      <c r="T72" s="60">
        <f t="shared" si="9"/>
        <v>0</v>
      </c>
      <c r="U72" s="60">
        <f t="shared" si="9"/>
        <v>0</v>
      </c>
      <c r="V72" s="60">
        <f t="shared" si="9"/>
        <v>0</v>
      </c>
      <c r="W72" s="60">
        <f t="shared" si="9"/>
        <v>0</v>
      </c>
      <c r="X72" s="60">
        <f t="shared" si="9"/>
        <v>55.5</v>
      </c>
      <c r="Y72" s="60">
        <f t="shared" si="9"/>
        <v>96</v>
      </c>
      <c r="Z72" s="60">
        <f t="shared" si="9"/>
        <v>96</v>
      </c>
      <c r="AA72" s="60">
        <f t="shared" si="9"/>
        <v>96</v>
      </c>
      <c r="AB72" s="60">
        <f t="shared" si="9"/>
        <v>98.6</v>
      </c>
      <c r="AC72" s="60">
        <f t="shared" si="9"/>
        <v>97.5</v>
      </c>
      <c r="AD72" s="60">
        <f t="shared" si="9"/>
        <v>24.9</v>
      </c>
      <c r="AE72" s="60">
        <f t="shared" si="9"/>
        <v>0</v>
      </c>
      <c r="AF72" s="60">
        <f t="shared" si="9"/>
        <v>0</v>
      </c>
      <c r="AG72" s="61">
        <f>SUM(AG69:AG71)</f>
        <v>106</v>
      </c>
      <c r="AH72" s="47">
        <f t="shared" si="2"/>
        <v>98.6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34</v>
      </c>
      <c r="C73" s="45">
        <v>14.6</v>
      </c>
      <c r="D73" s="45">
        <v>15</v>
      </c>
      <c r="E73" s="45">
        <v>6</v>
      </c>
      <c r="F73" s="45">
        <v>27.5</v>
      </c>
      <c r="G73" s="45">
        <v>29</v>
      </c>
      <c r="H73" s="45">
        <v>26.4</v>
      </c>
      <c r="I73" s="45">
        <v>44.5</v>
      </c>
      <c r="J73" s="45">
        <v>55.2</v>
      </c>
      <c r="K73" s="45">
        <v>51</v>
      </c>
      <c r="L73" s="45">
        <v>57.2</v>
      </c>
      <c r="M73" s="45">
        <v>45.8</v>
      </c>
      <c r="N73" s="45">
        <v>47</v>
      </c>
      <c r="O73" s="45">
        <v>48</v>
      </c>
      <c r="P73" s="45">
        <v>43</v>
      </c>
      <c r="Q73" s="45">
        <v>49.3</v>
      </c>
      <c r="R73" s="45">
        <v>52</v>
      </c>
      <c r="S73" s="45">
        <v>61.3</v>
      </c>
      <c r="T73" s="45">
        <v>58</v>
      </c>
      <c r="U73" s="45">
        <v>57.6</v>
      </c>
      <c r="V73" s="45">
        <v>61.3</v>
      </c>
      <c r="W73" s="45">
        <v>32.299999999999997</v>
      </c>
      <c r="X73" s="45">
        <v>34.5</v>
      </c>
      <c r="Y73" s="45">
        <v>32.799999999999997</v>
      </c>
      <c r="Z73" s="45">
        <v>21.5</v>
      </c>
      <c r="AA73" s="45">
        <v>18</v>
      </c>
      <c r="AB73" s="45">
        <v>12.3</v>
      </c>
      <c r="AC73" s="45">
        <v>28.1</v>
      </c>
      <c r="AD73" s="45">
        <v>21.6</v>
      </c>
      <c r="AE73" s="45">
        <v>19.7</v>
      </c>
      <c r="AF73" s="45">
        <v>21.1</v>
      </c>
      <c r="AG73" s="52"/>
      <c r="AH73" s="47">
        <f t="shared" si="2"/>
        <v>61.3</v>
      </c>
      <c r="AI73" s="48">
        <f t="shared" si="3"/>
        <v>6</v>
      </c>
      <c r="AK73" s="50"/>
    </row>
    <row r="74" spans="1:40" x14ac:dyDescent="0.25">
      <c r="A74" s="54" t="s">
        <v>82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98.4</v>
      </c>
      <c r="C75" s="65">
        <v>117</v>
      </c>
      <c r="D75" s="65">
        <v>105</v>
      </c>
      <c r="E75" s="65">
        <v>118.9</v>
      </c>
      <c r="F75" s="65">
        <v>156</v>
      </c>
      <c r="G75" s="65">
        <v>145</v>
      </c>
      <c r="H75" s="65">
        <v>206</v>
      </c>
      <c r="I75" s="65">
        <v>198.7</v>
      </c>
      <c r="J75" s="65">
        <v>91</v>
      </c>
      <c r="K75" s="65">
        <v>49</v>
      </c>
      <c r="L75" s="65">
        <v>30</v>
      </c>
      <c r="M75" s="65">
        <v>-6.4</v>
      </c>
      <c r="N75" s="65">
        <v>241</v>
      </c>
      <c r="O75" s="65">
        <v>241</v>
      </c>
      <c r="P75" s="65">
        <v>250</v>
      </c>
      <c r="Q75" s="65">
        <v>243</v>
      </c>
      <c r="R75" s="65">
        <v>275</v>
      </c>
      <c r="S75" s="65">
        <v>282</v>
      </c>
      <c r="T75" s="65">
        <v>288</v>
      </c>
      <c r="U75" s="65">
        <v>312</v>
      </c>
      <c r="V75" s="65">
        <v>31</v>
      </c>
      <c r="W75" s="65">
        <v>12.9</v>
      </c>
      <c r="X75" s="65">
        <v>-1.4</v>
      </c>
      <c r="Y75" s="65">
        <v>15.7</v>
      </c>
      <c r="Z75" s="65">
        <v>70</v>
      </c>
      <c r="AA75" s="65">
        <v>80</v>
      </c>
      <c r="AB75" s="65">
        <v>120.8</v>
      </c>
      <c r="AC75" s="65">
        <v>114.2</v>
      </c>
      <c r="AD75" s="65">
        <v>101.4</v>
      </c>
      <c r="AE75" s="65">
        <v>98</v>
      </c>
      <c r="AF75" s="65">
        <v>92</v>
      </c>
      <c r="AG75" s="75"/>
      <c r="AH75" s="47">
        <f t="shared" si="2"/>
        <v>312</v>
      </c>
      <c r="AI75" s="48">
        <f t="shared" si="3"/>
        <v>-6.4</v>
      </c>
      <c r="AK75" s="50"/>
    </row>
    <row r="76" spans="1:40" x14ac:dyDescent="0.25">
      <c r="A76" s="54" t="s">
        <v>84</v>
      </c>
      <c r="B76" s="65"/>
      <c r="C76" s="65"/>
      <c r="D76" s="65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>
        <v>0</v>
      </c>
      <c r="AC76" s="76">
        <v>0</v>
      </c>
      <c r="AD76" s="65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/>
      <c r="C77" s="45"/>
      <c r="D77" s="6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2" si="10">MAX(B77:AF77)</f>
        <v>0</v>
      </c>
      <c r="AI77" s="48">
        <f t="shared" ref="AI77:AI122" si="11">MIN(B77:AF77)</f>
        <v>0</v>
      </c>
      <c r="AK77" s="50"/>
    </row>
    <row r="78" spans="1:40" x14ac:dyDescent="0.25">
      <c r="A78" s="54" t="s">
        <v>86</v>
      </c>
      <c r="B78" s="45"/>
      <c r="C78" s="77"/>
      <c r="D78" s="65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0"/>
        <v>0</v>
      </c>
      <c r="AI78" s="48">
        <f t="shared" si="11"/>
        <v>0</v>
      </c>
      <c r="AK78" s="50"/>
    </row>
    <row r="79" spans="1:40" ht="15.75" thickBot="1" x14ac:dyDescent="0.3">
      <c r="A79" s="54" t="s">
        <v>87</v>
      </c>
      <c r="B79" s="45"/>
      <c r="C79" s="77"/>
      <c r="D79" s="65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0"/>
        <v>0</v>
      </c>
      <c r="AI79" s="48">
        <f t="shared" si="11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/>
      <c r="C80" s="77"/>
      <c r="D80" s="65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0"/>
        <v>0</v>
      </c>
      <c r="AI80" s="48">
        <f t="shared" si="11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/>
      <c r="C81" s="77"/>
      <c r="D81" s="65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0"/>
        <v>0</v>
      </c>
      <c r="AI81" s="48">
        <f t="shared" si="11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/>
      <c r="C82" s="77"/>
      <c r="D82" s="65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0"/>
        <v>0</v>
      </c>
      <c r="AI82" s="48">
        <f t="shared" si="11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/>
      <c r="C83" s="77"/>
      <c r="D83" s="65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0"/>
        <v>0</v>
      </c>
      <c r="AI83" s="48">
        <f t="shared" si="11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AF84" si="12">SUMIF(B73:B83,"&gt;0")</f>
        <v>132.4</v>
      </c>
      <c r="C84" s="60">
        <f t="shared" si="12"/>
        <v>131.6</v>
      </c>
      <c r="D84" s="60">
        <f t="shared" si="12"/>
        <v>120</v>
      </c>
      <c r="E84" s="60">
        <f t="shared" si="12"/>
        <v>124.9</v>
      </c>
      <c r="F84" s="60">
        <f t="shared" si="12"/>
        <v>183.5</v>
      </c>
      <c r="G84" s="60">
        <f t="shared" si="12"/>
        <v>174</v>
      </c>
      <c r="H84" s="60">
        <f t="shared" si="12"/>
        <v>232.4</v>
      </c>
      <c r="I84" s="60">
        <f t="shared" si="12"/>
        <v>243.2</v>
      </c>
      <c r="J84" s="60">
        <f t="shared" si="12"/>
        <v>146.19999999999999</v>
      </c>
      <c r="K84" s="60">
        <f t="shared" si="12"/>
        <v>100</v>
      </c>
      <c r="L84" s="60">
        <f t="shared" si="12"/>
        <v>87.2</v>
      </c>
      <c r="M84" s="60">
        <f t="shared" si="12"/>
        <v>45.8</v>
      </c>
      <c r="N84" s="60">
        <f t="shared" si="12"/>
        <v>288</v>
      </c>
      <c r="O84" s="60">
        <f t="shared" si="12"/>
        <v>289</v>
      </c>
      <c r="P84" s="60">
        <f t="shared" si="12"/>
        <v>293</v>
      </c>
      <c r="Q84" s="60">
        <f t="shared" si="12"/>
        <v>292.3</v>
      </c>
      <c r="R84" s="60">
        <f t="shared" si="12"/>
        <v>327</v>
      </c>
      <c r="S84" s="60">
        <f t="shared" si="12"/>
        <v>343.3</v>
      </c>
      <c r="T84" s="60">
        <f t="shared" si="12"/>
        <v>346</v>
      </c>
      <c r="U84" s="60">
        <f t="shared" si="12"/>
        <v>369.6</v>
      </c>
      <c r="V84" s="60">
        <f t="shared" si="12"/>
        <v>92.3</v>
      </c>
      <c r="W84" s="60">
        <f t="shared" si="12"/>
        <v>45.199999999999996</v>
      </c>
      <c r="X84" s="60">
        <f t="shared" si="12"/>
        <v>34.5</v>
      </c>
      <c r="Y84" s="60">
        <f t="shared" si="12"/>
        <v>48.5</v>
      </c>
      <c r="Z84" s="60">
        <f t="shared" si="12"/>
        <v>91.5</v>
      </c>
      <c r="AA84" s="60">
        <f t="shared" si="12"/>
        <v>98</v>
      </c>
      <c r="AB84" s="60">
        <f t="shared" si="12"/>
        <v>133.1</v>
      </c>
      <c r="AC84" s="60">
        <f t="shared" si="12"/>
        <v>142.30000000000001</v>
      </c>
      <c r="AD84" s="60">
        <f t="shared" si="12"/>
        <v>123</v>
      </c>
      <c r="AE84" s="60">
        <f t="shared" si="12"/>
        <v>117.7</v>
      </c>
      <c r="AF84" s="60">
        <f t="shared" si="12"/>
        <v>113.1</v>
      </c>
      <c r="AG84" s="88">
        <f>SUM(AG73:AG83)</f>
        <v>0</v>
      </c>
      <c r="AH84" s="47">
        <f t="shared" si="10"/>
        <v>369.6</v>
      </c>
      <c r="AI84" s="48">
        <f t="shared" si="11"/>
        <v>34.5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0"/>
        <v>0</v>
      </c>
      <c r="AI85" s="48">
        <f t="shared" si="11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0"/>
        <v>0</v>
      </c>
      <c r="AI86" s="48">
        <f t="shared" si="11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0"/>
        <v>0</v>
      </c>
      <c r="AI87" s="48">
        <f t="shared" si="11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10"/>
        <v>0</v>
      </c>
      <c r="AI88" s="48">
        <f t="shared" si="11"/>
        <v>0</v>
      </c>
    </row>
    <row r="89" spans="1:40" ht="15.75" thickBot="1" x14ac:dyDescent="0.3">
      <c r="A89" s="74" t="s">
        <v>100</v>
      </c>
      <c r="B89" s="95">
        <f t="shared" ref="B89:AG89" si="13">B50+B54+B72+B68+B84+B88</f>
        <v>1138.1400000000001</v>
      </c>
      <c r="C89" s="95">
        <f t="shared" si="13"/>
        <v>1137.04</v>
      </c>
      <c r="D89" s="95">
        <f t="shared" si="13"/>
        <v>1114.3400000000001</v>
      </c>
      <c r="E89" s="95">
        <f t="shared" si="13"/>
        <v>1105.1400000000001</v>
      </c>
      <c r="F89" s="95">
        <f t="shared" si="13"/>
        <v>1121.2400000000002</v>
      </c>
      <c r="G89" s="95">
        <f t="shared" si="13"/>
        <v>1198.1400000000001</v>
      </c>
      <c r="H89" s="95">
        <f t="shared" si="13"/>
        <v>1274.54</v>
      </c>
      <c r="I89" s="95">
        <f t="shared" si="13"/>
        <v>1400.14</v>
      </c>
      <c r="J89" s="95">
        <f t="shared" si="13"/>
        <v>1559.54</v>
      </c>
      <c r="K89" s="95">
        <f t="shared" si="13"/>
        <v>1692.44</v>
      </c>
      <c r="L89" s="95">
        <f t="shared" si="13"/>
        <v>1809.94</v>
      </c>
      <c r="M89" s="95">
        <f t="shared" si="13"/>
        <v>1743.54</v>
      </c>
      <c r="N89" s="95">
        <f t="shared" si="13"/>
        <v>1590.44</v>
      </c>
      <c r="O89" s="95">
        <f t="shared" si="13"/>
        <v>1575.44</v>
      </c>
      <c r="P89" s="95">
        <f t="shared" si="13"/>
        <v>1539.44</v>
      </c>
      <c r="Q89" s="95">
        <f t="shared" si="13"/>
        <v>1363.86</v>
      </c>
      <c r="R89" s="95">
        <f t="shared" si="13"/>
        <v>1292.46</v>
      </c>
      <c r="S89" s="95">
        <f t="shared" si="13"/>
        <v>1303.56</v>
      </c>
      <c r="T89" s="95">
        <f t="shared" si="13"/>
        <v>1319.26</v>
      </c>
      <c r="U89" s="95">
        <f t="shared" si="13"/>
        <v>1360.56</v>
      </c>
      <c r="V89" s="95">
        <f t="shared" si="13"/>
        <v>1481.5599999999997</v>
      </c>
      <c r="W89" s="95">
        <f t="shared" si="13"/>
        <v>1567.0599999999997</v>
      </c>
      <c r="X89" s="95">
        <f t="shared" si="13"/>
        <v>1651.8599999999997</v>
      </c>
      <c r="Y89" s="95">
        <f t="shared" si="13"/>
        <v>1595.6599999999999</v>
      </c>
      <c r="Z89" s="95">
        <f t="shared" si="13"/>
        <v>1478.26</v>
      </c>
      <c r="AA89" s="95">
        <f t="shared" si="13"/>
        <v>1525.6599999999999</v>
      </c>
      <c r="AB89" s="95">
        <f t="shared" si="13"/>
        <v>1483.9599999999998</v>
      </c>
      <c r="AC89" s="95">
        <f t="shared" si="13"/>
        <v>1377.26</v>
      </c>
      <c r="AD89" s="95">
        <f t="shared" si="13"/>
        <v>1258.6599999999999</v>
      </c>
      <c r="AE89" s="95">
        <f t="shared" si="13"/>
        <v>1096.76</v>
      </c>
      <c r="AF89" s="95">
        <f t="shared" si="13"/>
        <v>1066.76</v>
      </c>
      <c r="AG89" s="61">
        <f t="shared" si="13"/>
        <v>2111.5500000000002</v>
      </c>
      <c r="AH89" s="47">
        <f t="shared" si="10"/>
        <v>1809.94</v>
      </c>
      <c r="AI89" s="48">
        <f t="shared" si="11"/>
        <v>1066.76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>
        <v>20</v>
      </c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0"/>
        <v>20</v>
      </c>
      <c r="AI90" s="48">
        <f t="shared" si="11"/>
        <v>20</v>
      </c>
    </row>
    <row r="91" spans="1:40" ht="15.75" thickBot="1" x14ac:dyDescent="0.3">
      <c r="A91" s="74" t="s">
        <v>102</v>
      </c>
      <c r="B91" s="95">
        <f t="shared" ref="B91:AF91" si="14">B89+B90</f>
        <v>1138.1400000000001</v>
      </c>
      <c r="C91" s="95">
        <f t="shared" si="14"/>
        <v>1137.04</v>
      </c>
      <c r="D91" s="95">
        <f t="shared" si="14"/>
        <v>1114.3400000000001</v>
      </c>
      <c r="E91" s="95">
        <f t="shared" si="14"/>
        <v>1105.1400000000001</v>
      </c>
      <c r="F91" s="95">
        <f t="shared" si="14"/>
        <v>1121.2400000000002</v>
      </c>
      <c r="G91" s="95">
        <f t="shared" si="14"/>
        <v>1198.1400000000001</v>
      </c>
      <c r="H91" s="95">
        <f t="shared" si="14"/>
        <v>1274.54</v>
      </c>
      <c r="I91" s="95">
        <f t="shared" si="14"/>
        <v>1400.14</v>
      </c>
      <c r="J91" s="95">
        <f t="shared" si="14"/>
        <v>1559.54</v>
      </c>
      <c r="K91" s="95">
        <f t="shared" si="14"/>
        <v>1692.44</v>
      </c>
      <c r="L91" s="95">
        <f t="shared" si="14"/>
        <v>1809.94</v>
      </c>
      <c r="M91" s="95">
        <f t="shared" si="14"/>
        <v>1763.54</v>
      </c>
      <c r="N91" s="95">
        <f t="shared" si="14"/>
        <v>1590.44</v>
      </c>
      <c r="O91" s="95">
        <f t="shared" si="14"/>
        <v>1575.44</v>
      </c>
      <c r="P91" s="95">
        <f t="shared" si="14"/>
        <v>1539.44</v>
      </c>
      <c r="Q91" s="95">
        <f t="shared" si="14"/>
        <v>1363.86</v>
      </c>
      <c r="R91" s="95">
        <f t="shared" si="14"/>
        <v>1292.46</v>
      </c>
      <c r="S91" s="95">
        <f t="shared" si="14"/>
        <v>1303.56</v>
      </c>
      <c r="T91" s="95">
        <f t="shared" si="14"/>
        <v>1319.26</v>
      </c>
      <c r="U91" s="95">
        <f t="shared" si="14"/>
        <v>1360.56</v>
      </c>
      <c r="V91" s="95">
        <f t="shared" si="14"/>
        <v>1481.5599999999997</v>
      </c>
      <c r="W91" s="95">
        <f t="shared" si="14"/>
        <v>1567.0599999999997</v>
      </c>
      <c r="X91" s="95">
        <f t="shared" si="14"/>
        <v>1651.8599999999997</v>
      </c>
      <c r="Y91" s="95">
        <f t="shared" si="14"/>
        <v>1595.6599999999999</v>
      </c>
      <c r="Z91" s="95">
        <f t="shared" si="14"/>
        <v>1478.26</v>
      </c>
      <c r="AA91" s="95">
        <f t="shared" si="14"/>
        <v>1525.6599999999999</v>
      </c>
      <c r="AB91" s="95">
        <f t="shared" si="14"/>
        <v>1483.9599999999998</v>
      </c>
      <c r="AC91" s="95">
        <f t="shared" si="14"/>
        <v>1377.26</v>
      </c>
      <c r="AD91" s="95">
        <f t="shared" si="14"/>
        <v>1258.6599999999999</v>
      </c>
      <c r="AE91" s="95">
        <f t="shared" si="14"/>
        <v>1096.76</v>
      </c>
      <c r="AF91" s="95">
        <f t="shared" si="14"/>
        <v>1066.76</v>
      </c>
      <c r="AG91" s="88">
        <f>AG88+AG84+AG72+AG68+AG50+AG90</f>
        <v>1573.45</v>
      </c>
      <c r="AH91" s="47">
        <f t="shared" si="10"/>
        <v>1809.94</v>
      </c>
      <c r="AI91" s="48">
        <f t="shared" si="11"/>
        <v>1066.76</v>
      </c>
    </row>
    <row r="92" spans="1:40" ht="15.75" thickBot="1" x14ac:dyDescent="0.3">
      <c r="A92" s="74" t="s">
        <v>103</v>
      </c>
      <c r="B92" s="95">
        <f>B91-(-B99)</f>
        <v>1138.1400000000001</v>
      </c>
      <c r="C92" s="95">
        <f t="shared" ref="C92:AF92" si="15">C91-(-C99)</f>
        <v>1137.04</v>
      </c>
      <c r="D92" s="95">
        <f t="shared" si="15"/>
        <v>1114.3400000000001</v>
      </c>
      <c r="E92" s="95">
        <f t="shared" si="15"/>
        <v>1105.1400000000001</v>
      </c>
      <c r="F92" s="95">
        <f t="shared" si="15"/>
        <v>1121.2400000000002</v>
      </c>
      <c r="G92" s="95">
        <f t="shared" si="15"/>
        <v>1198.1400000000001</v>
      </c>
      <c r="H92" s="95">
        <f t="shared" si="15"/>
        <v>1274.54</v>
      </c>
      <c r="I92" s="95">
        <f t="shared" si="15"/>
        <v>1400.14</v>
      </c>
      <c r="J92" s="95">
        <f t="shared" si="15"/>
        <v>1559.54</v>
      </c>
      <c r="K92" s="95">
        <f t="shared" si="15"/>
        <v>1692.44</v>
      </c>
      <c r="L92" s="95">
        <f t="shared" si="15"/>
        <v>1809.94</v>
      </c>
      <c r="M92" s="95">
        <f t="shared" si="15"/>
        <v>1763.54</v>
      </c>
      <c r="N92" s="95">
        <f t="shared" si="15"/>
        <v>1590.44</v>
      </c>
      <c r="O92" s="95">
        <f t="shared" si="15"/>
        <v>1575.44</v>
      </c>
      <c r="P92" s="95">
        <f t="shared" si="15"/>
        <v>1539.44</v>
      </c>
      <c r="Q92" s="95">
        <f t="shared" si="15"/>
        <v>1363.86</v>
      </c>
      <c r="R92" s="95">
        <f t="shared" si="15"/>
        <v>1292.46</v>
      </c>
      <c r="S92" s="95">
        <f t="shared" si="15"/>
        <v>1303.56</v>
      </c>
      <c r="T92" s="95">
        <f t="shared" si="15"/>
        <v>1319.26</v>
      </c>
      <c r="U92" s="95">
        <f t="shared" si="15"/>
        <v>1360.56</v>
      </c>
      <c r="V92" s="95">
        <f t="shared" si="15"/>
        <v>1481.5599999999997</v>
      </c>
      <c r="W92" s="95">
        <f t="shared" si="15"/>
        <v>1567.0599999999997</v>
      </c>
      <c r="X92" s="95">
        <f t="shared" si="15"/>
        <v>1651.8599999999997</v>
      </c>
      <c r="Y92" s="95">
        <f t="shared" si="15"/>
        <v>1595.6599999999999</v>
      </c>
      <c r="Z92" s="95">
        <f t="shared" si="15"/>
        <v>1478.26</v>
      </c>
      <c r="AA92" s="95">
        <f t="shared" si="15"/>
        <v>1525.6599999999999</v>
      </c>
      <c r="AB92" s="95">
        <f t="shared" si="15"/>
        <v>1483.9599999999998</v>
      </c>
      <c r="AC92" s="95">
        <f t="shared" si="15"/>
        <v>1377.26</v>
      </c>
      <c r="AD92" s="95">
        <f t="shared" si="15"/>
        <v>1258.6599999999999</v>
      </c>
      <c r="AE92" s="95">
        <f t="shared" si="15"/>
        <v>1096.76</v>
      </c>
      <c r="AF92" s="95">
        <f t="shared" si="15"/>
        <v>1066.76</v>
      </c>
      <c r="AG92" s="88"/>
      <c r="AH92" s="47">
        <f t="shared" si="10"/>
        <v>1809.94</v>
      </c>
      <c r="AI92" s="48">
        <f t="shared" si="11"/>
        <v>1066.76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10"/>
        <v>0</v>
      </c>
      <c r="AI93" s="48">
        <f t="shared" si="11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10"/>
        <v>0</v>
      </c>
      <c r="AI94" s="48">
        <f t="shared" si="11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0"/>
        <v>0</v>
      </c>
      <c r="AI95" s="48">
        <f t="shared" si="11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0"/>
        <v>0</v>
      </c>
      <c r="AI96" s="48">
        <f t="shared" si="11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0"/>
        <v>0</v>
      </c>
      <c r="AI97" s="48">
        <f t="shared" si="11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0"/>
        <v>0</v>
      </c>
      <c r="AI98" s="48">
        <f t="shared" si="11"/>
        <v>0</v>
      </c>
    </row>
    <row r="99" spans="1:37" ht="15.75" thickBot="1" x14ac:dyDescent="0.3">
      <c r="A99" s="99" t="s">
        <v>107</v>
      </c>
      <c r="B99" s="60">
        <f t="shared" ref="B99:AF99" si="16">IF(B84&lt;0,B75+B73,0)</f>
        <v>0</v>
      </c>
      <c r="C99" s="60">
        <f t="shared" si="16"/>
        <v>0</v>
      </c>
      <c r="D99" s="60">
        <f t="shared" si="16"/>
        <v>0</v>
      </c>
      <c r="E99" s="60">
        <f t="shared" si="16"/>
        <v>0</v>
      </c>
      <c r="F99" s="60">
        <f t="shared" si="16"/>
        <v>0</v>
      </c>
      <c r="G99" s="60">
        <f t="shared" si="16"/>
        <v>0</v>
      </c>
      <c r="H99" s="60">
        <f t="shared" si="16"/>
        <v>0</v>
      </c>
      <c r="I99" s="60">
        <f t="shared" si="16"/>
        <v>0</v>
      </c>
      <c r="J99" s="60">
        <f t="shared" si="16"/>
        <v>0</v>
      </c>
      <c r="K99" s="60">
        <f t="shared" si="16"/>
        <v>0</v>
      </c>
      <c r="L99" s="60">
        <f t="shared" si="16"/>
        <v>0</v>
      </c>
      <c r="M99" s="60">
        <f t="shared" si="16"/>
        <v>0</v>
      </c>
      <c r="N99" s="60">
        <f t="shared" si="16"/>
        <v>0</v>
      </c>
      <c r="O99" s="60">
        <f t="shared" si="16"/>
        <v>0</v>
      </c>
      <c r="P99" s="60">
        <f t="shared" si="16"/>
        <v>0</v>
      </c>
      <c r="Q99" s="60">
        <f t="shared" si="16"/>
        <v>0</v>
      </c>
      <c r="R99" s="60">
        <f t="shared" si="16"/>
        <v>0</v>
      </c>
      <c r="S99" s="60">
        <f t="shared" si="16"/>
        <v>0</v>
      </c>
      <c r="T99" s="60">
        <f t="shared" si="16"/>
        <v>0</v>
      </c>
      <c r="U99" s="60">
        <f t="shared" si="16"/>
        <v>0</v>
      </c>
      <c r="V99" s="60">
        <f t="shared" si="16"/>
        <v>0</v>
      </c>
      <c r="W99" s="60">
        <f t="shared" si="16"/>
        <v>0</v>
      </c>
      <c r="X99" s="60">
        <f t="shared" si="16"/>
        <v>0</v>
      </c>
      <c r="Y99" s="60">
        <f t="shared" si="16"/>
        <v>0</v>
      </c>
      <c r="Z99" s="60">
        <f t="shared" si="16"/>
        <v>0</v>
      </c>
      <c r="AA99" s="60">
        <f t="shared" si="16"/>
        <v>0</v>
      </c>
      <c r="AB99" s="60">
        <f t="shared" si="16"/>
        <v>0</v>
      </c>
      <c r="AC99" s="60">
        <f t="shared" si="16"/>
        <v>0</v>
      </c>
      <c r="AD99" s="60">
        <f t="shared" si="16"/>
        <v>0</v>
      </c>
      <c r="AE99" s="60">
        <f t="shared" si="16"/>
        <v>0</v>
      </c>
      <c r="AF99" s="60">
        <f t="shared" si="16"/>
        <v>0</v>
      </c>
      <c r="AG99" s="88"/>
      <c r="AH99" s="47">
        <f t="shared" si="10"/>
        <v>0</v>
      </c>
      <c r="AI99" s="48">
        <f t="shared" si="11"/>
        <v>0</v>
      </c>
      <c r="AK99" s="50"/>
    </row>
    <row r="100" spans="1:37" ht="15.75" thickBot="1" x14ac:dyDescent="0.3">
      <c r="A100" s="74" t="s">
        <v>108</v>
      </c>
      <c r="B100" s="60">
        <f t="shared" ref="B100:AF100" si="17">B84-B99</f>
        <v>132.4</v>
      </c>
      <c r="C100" s="60">
        <f t="shared" si="17"/>
        <v>131.6</v>
      </c>
      <c r="D100" s="60">
        <f t="shared" si="17"/>
        <v>120</v>
      </c>
      <c r="E100" s="60">
        <f t="shared" si="17"/>
        <v>124.9</v>
      </c>
      <c r="F100" s="60">
        <f t="shared" si="17"/>
        <v>183.5</v>
      </c>
      <c r="G100" s="60">
        <f t="shared" si="17"/>
        <v>174</v>
      </c>
      <c r="H100" s="60">
        <f t="shared" si="17"/>
        <v>232.4</v>
      </c>
      <c r="I100" s="60">
        <f t="shared" si="17"/>
        <v>243.2</v>
      </c>
      <c r="J100" s="60">
        <f t="shared" si="17"/>
        <v>146.19999999999999</v>
      </c>
      <c r="K100" s="60">
        <f t="shared" si="17"/>
        <v>100</v>
      </c>
      <c r="L100" s="60">
        <f t="shared" si="17"/>
        <v>87.2</v>
      </c>
      <c r="M100" s="60">
        <f t="shared" si="17"/>
        <v>45.8</v>
      </c>
      <c r="N100" s="60">
        <f t="shared" si="17"/>
        <v>288</v>
      </c>
      <c r="O100" s="60">
        <f t="shared" si="17"/>
        <v>289</v>
      </c>
      <c r="P100" s="60">
        <f t="shared" si="17"/>
        <v>293</v>
      </c>
      <c r="Q100" s="60">
        <f t="shared" si="17"/>
        <v>292.3</v>
      </c>
      <c r="R100" s="60">
        <f t="shared" si="17"/>
        <v>327</v>
      </c>
      <c r="S100" s="60">
        <f t="shared" si="17"/>
        <v>343.3</v>
      </c>
      <c r="T100" s="60">
        <f t="shared" si="17"/>
        <v>346</v>
      </c>
      <c r="U100" s="60">
        <f t="shared" si="17"/>
        <v>369.6</v>
      </c>
      <c r="V100" s="60">
        <f t="shared" si="17"/>
        <v>92.3</v>
      </c>
      <c r="W100" s="60">
        <f t="shared" si="17"/>
        <v>45.199999999999996</v>
      </c>
      <c r="X100" s="60">
        <f t="shared" si="17"/>
        <v>34.5</v>
      </c>
      <c r="Y100" s="60">
        <f t="shared" si="17"/>
        <v>48.5</v>
      </c>
      <c r="Z100" s="60">
        <f t="shared" si="17"/>
        <v>91.5</v>
      </c>
      <c r="AA100" s="60">
        <f t="shared" si="17"/>
        <v>98</v>
      </c>
      <c r="AB100" s="60">
        <f t="shared" si="17"/>
        <v>133.1</v>
      </c>
      <c r="AC100" s="60">
        <f t="shared" si="17"/>
        <v>142.30000000000001</v>
      </c>
      <c r="AD100" s="60">
        <f t="shared" si="17"/>
        <v>123</v>
      </c>
      <c r="AE100" s="60">
        <f t="shared" si="17"/>
        <v>117.7</v>
      </c>
      <c r="AF100" s="60">
        <f t="shared" si="17"/>
        <v>113.1</v>
      </c>
      <c r="AG100" s="88"/>
      <c r="AH100" s="47">
        <f t="shared" si="10"/>
        <v>369.6</v>
      </c>
      <c r="AI100" s="48">
        <f t="shared" si="11"/>
        <v>34.5</v>
      </c>
    </row>
    <row r="101" spans="1:37" x14ac:dyDescent="0.25">
      <c r="A101" s="100" t="s">
        <v>109</v>
      </c>
      <c r="B101" s="101">
        <v>50.029000000000003</v>
      </c>
      <c r="C101" s="101">
        <v>49.985999999999997</v>
      </c>
      <c r="D101" s="101">
        <v>50.006999999999998</v>
      </c>
      <c r="E101" s="101">
        <v>50.015000000000001</v>
      </c>
      <c r="F101" s="101">
        <v>49.959000000000003</v>
      </c>
      <c r="G101" s="101">
        <v>49.938000000000002</v>
      </c>
      <c r="H101" s="101">
        <v>49.898000000000003</v>
      </c>
      <c r="I101" s="101">
        <v>49.905999999999999</v>
      </c>
      <c r="J101" s="101">
        <v>49.988</v>
      </c>
      <c r="K101" s="101">
        <v>49.759</v>
      </c>
      <c r="L101" s="101">
        <v>49.792999999999999</v>
      </c>
      <c r="M101" s="101">
        <v>49.85</v>
      </c>
      <c r="N101" s="101">
        <v>49.917999999999999</v>
      </c>
      <c r="O101" s="101">
        <v>49.917999999999999</v>
      </c>
      <c r="P101" s="101">
        <v>50.058999999999997</v>
      </c>
      <c r="Q101" s="101">
        <v>50.119</v>
      </c>
      <c r="R101" s="101">
        <v>50.131999999999998</v>
      </c>
      <c r="S101" s="101">
        <v>50.037999999999997</v>
      </c>
      <c r="T101" s="101">
        <v>50.026000000000003</v>
      </c>
      <c r="U101" s="101">
        <v>49.972000000000001</v>
      </c>
      <c r="V101" s="101">
        <v>50.079000000000001</v>
      </c>
      <c r="W101" s="101">
        <v>50.055999999999997</v>
      </c>
      <c r="X101" s="101">
        <v>50.003</v>
      </c>
      <c r="Y101" s="101">
        <v>50.014000000000003</v>
      </c>
      <c r="Z101" s="101">
        <v>50.023000000000003</v>
      </c>
      <c r="AA101" s="101">
        <v>50.023000000000003</v>
      </c>
      <c r="AB101" s="101">
        <v>49.962000000000003</v>
      </c>
      <c r="AC101" s="101">
        <v>49.962000000000003</v>
      </c>
      <c r="AD101" s="101">
        <v>50.052</v>
      </c>
      <c r="AE101" s="101">
        <v>50.052999999999997</v>
      </c>
      <c r="AF101" s="101">
        <v>49.823999999999998</v>
      </c>
      <c r="AG101" s="102"/>
      <c r="AH101" s="47">
        <f t="shared" si="10"/>
        <v>50.131999999999998</v>
      </c>
      <c r="AI101" s="48">
        <f t="shared" si="11"/>
        <v>49.759</v>
      </c>
    </row>
    <row r="102" spans="1:37" x14ac:dyDescent="0.25">
      <c r="A102" s="103" t="s">
        <v>110</v>
      </c>
      <c r="B102" s="65">
        <v>128.5</v>
      </c>
      <c r="C102" s="65">
        <v>128.30000000000001</v>
      </c>
      <c r="D102" s="65">
        <v>128.80000000000001</v>
      </c>
      <c r="E102" s="65">
        <v>128.1</v>
      </c>
      <c r="F102" s="65">
        <v>129.1</v>
      </c>
      <c r="G102" s="65" t="s">
        <v>259</v>
      </c>
      <c r="H102" s="65">
        <v>127</v>
      </c>
      <c r="I102" s="65">
        <v>127.1</v>
      </c>
      <c r="J102" s="65">
        <v>124</v>
      </c>
      <c r="K102" s="65">
        <v>123</v>
      </c>
      <c r="L102" s="65">
        <v>124.5</v>
      </c>
      <c r="M102" s="65">
        <v>124.1</v>
      </c>
      <c r="N102" s="65">
        <v>123.4</v>
      </c>
      <c r="O102" s="65">
        <v>123.4</v>
      </c>
      <c r="P102" s="65">
        <v>122.1</v>
      </c>
      <c r="Q102" s="65">
        <v>124.7</v>
      </c>
      <c r="R102" s="65">
        <v>124.4</v>
      </c>
      <c r="S102" s="65">
        <v>125.8</v>
      </c>
      <c r="T102" s="65">
        <v>124.74</v>
      </c>
      <c r="U102" s="65">
        <v>124.2</v>
      </c>
      <c r="V102" s="65">
        <v>126</v>
      </c>
      <c r="W102" s="65">
        <v>124.8</v>
      </c>
      <c r="X102" s="65">
        <v>125.9</v>
      </c>
      <c r="Y102" s="65">
        <v>128.1</v>
      </c>
      <c r="Z102" s="65">
        <v>128.5</v>
      </c>
      <c r="AA102" s="65">
        <v>128.5</v>
      </c>
      <c r="AB102" s="65">
        <v>128.80000000000001</v>
      </c>
      <c r="AC102" s="65">
        <v>128.9</v>
      </c>
      <c r="AD102" s="65">
        <v>128.5</v>
      </c>
      <c r="AE102" s="65">
        <v>129.69999999999999</v>
      </c>
      <c r="AF102" s="65">
        <v>129.69999999999999</v>
      </c>
      <c r="AG102" s="104"/>
      <c r="AH102" s="47">
        <f t="shared" si="10"/>
        <v>129.69999999999999</v>
      </c>
      <c r="AI102" s="48">
        <f t="shared" si="11"/>
        <v>122.1</v>
      </c>
    </row>
    <row r="103" spans="1:37" x14ac:dyDescent="0.25">
      <c r="A103" s="103" t="s">
        <v>111</v>
      </c>
      <c r="B103" s="65">
        <v>132.4</v>
      </c>
      <c r="C103" s="65">
        <v>132.69999999999999</v>
      </c>
      <c r="D103" s="65">
        <v>133.5</v>
      </c>
      <c r="E103" s="65">
        <v>132.6</v>
      </c>
      <c r="F103" s="65">
        <v>133.30000000000001</v>
      </c>
      <c r="G103" s="65">
        <v>132.30000000000001</v>
      </c>
      <c r="H103" s="65">
        <v>130.9</v>
      </c>
      <c r="I103" s="65">
        <v>130.9</v>
      </c>
      <c r="J103" s="65">
        <v>127.7</v>
      </c>
      <c r="K103" s="65">
        <v>127.3</v>
      </c>
      <c r="L103" s="65">
        <v>127.3</v>
      </c>
      <c r="M103" s="65">
        <v>127</v>
      </c>
      <c r="N103" s="65">
        <v>127.2</v>
      </c>
      <c r="O103" s="65">
        <v>127.2</v>
      </c>
      <c r="P103" s="65">
        <v>126.7</v>
      </c>
      <c r="Q103" s="65">
        <v>128.69999999999999</v>
      </c>
      <c r="R103" s="65">
        <v>128.69999999999999</v>
      </c>
      <c r="S103" s="65">
        <v>129.19999999999999</v>
      </c>
      <c r="T103" s="65">
        <v>128.19999999999999</v>
      </c>
      <c r="U103" s="65">
        <v>127.7</v>
      </c>
      <c r="V103" s="65">
        <v>129.1</v>
      </c>
      <c r="W103" s="65">
        <v>127.5</v>
      </c>
      <c r="X103" s="65">
        <v>127.4</v>
      </c>
      <c r="Y103" s="65">
        <v>129.6</v>
      </c>
      <c r="Z103" s="65">
        <v>130.4</v>
      </c>
      <c r="AA103" s="65">
        <v>130.4</v>
      </c>
      <c r="AB103" s="65">
        <v>131</v>
      </c>
      <c r="AC103" s="65">
        <v>131.5</v>
      </c>
      <c r="AD103" s="65">
        <v>131.4</v>
      </c>
      <c r="AE103" s="65">
        <v>133</v>
      </c>
      <c r="AF103" s="65">
        <v>133.6</v>
      </c>
      <c r="AG103" s="104"/>
      <c r="AH103" s="47">
        <f t="shared" si="10"/>
        <v>133.6</v>
      </c>
      <c r="AI103" s="48">
        <f t="shared" si="11"/>
        <v>126.7</v>
      </c>
    </row>
    <row r="104" spans="1:37" x14ac:dyDescent="0.25">
      <c r="A104" s="103" t="s">
        <v>112</v>
      </c>
      <c r="B104" s="65">
        <v>130.9</v>
      </c>
      <c r="C104" s="65">
        <v>131</v>
      </c>
      <c r="D104" s="65">
        <v>132.30000000000001</v>
      </c>
      <c r="E104" s="65">
        <v>130.5</v>
      </c>
      <c r="F104" s="65">
        <v>128.69999999999999</v>
      </c>
      <c r="G104" s="65">
        <v>127.3</v>
      </c>
      <c r="H104" s="65">
        <v>128.4</v>
      </c>
      <c r="I104" s="65">
        <v>128.6</v>
      </c>
      <c r="J104" s="65">
        <v>123</v>
      </c>
      <c r="K104" s="65">
        <v>125.5</v>
      </c>
      <c r="L104" s="65">
        <v>126.1</v>
      </c>
      <c r="M104" s="65">
        <v>126.5</v>
      </c>
      <c r="N104" s="65">
        <v>127</v>
      </c>
      <c r="O104" s="65">
        <v>127</v>
      </c>
      <c r="P104" s="65">
        <v>129</v>
      </c>
      <c r="Q104" s="65">
        <v>134.6</v>
      </c>
      <c r="R104" s="65">
        <v>127.7</v>
      </c>
      <c r="S104" s="65">
        <v>128.4</v>
      </c>
      <c r="T104" s="65">
        <v>131.80000000000001</v>
      </c>
      <c r="U104" s="65">
        <v>129.30000000000001</v>
      </c>
      <c r="V104" s="65">
        <v>130</v>
      </c>
      <c r="W104" s="65">
        <v>122.8</v>
      </c>
      <c r="X104" s="65">
        <v>127.7</v>
      </c>
      <c r="Y104" s="65">
        <v>132</v>
      </c>
      <c r="Z104" s="65">
        <v>130.9</v>
      </c>
      <c r="AA104" s="65">
        <v>130.9</v>
      </c>
      <c r="AB104" s="65">
        <v>132.9</v>
      </c>
      <c r="AC104" s="65">
        <v>132.80000000000001</v>
      </c>
      <c r="AD104" s="65">
        <v>131.5</v>
      </c>
      <c r="AE104" s="65">
        <v>130.80000000000001</v>
      </c>
      <c r="AF104" s="65">
        <v>129.30000000000001</v>
      </c>
      <c r="AG104" s="104"/>
      <c r="AH104" s="47">
        <f t="shared" si="10"/>
        <v>134.6</v>
      </c>
      <c r="AI104" s="48">
        <f t="shared" si="11"/>
        <v>122.8</v>
      </c>
    </row>
    <row r="105" spans="1:37" x14ac:dyDescent="0.25">
      <c r="A105" s="105" t="s">
        <v>113</v>
      </c>
      <c r="B105" s="65">
        <v>131.9</v>
      </c>
      <c r="C105" s="65">
        <v>132.6</v>
      </c>
      <c r="D105" s="65">
        <v>133.30000000000001</v>
      </c>
      <c r="E105" s="65">
        <v>132.4</v>
      </c>
      <c r="F105" s="65">
        <v>130.9</v>
      </c>
      <c r="G105" s="65">
        <v>129.4</v>
      </c>
      <c r="H105" s="65">
        <v>130</v>
      </c>
      <c r="I105" s="65">
        <v>131.4</v>
      </c>
      <c r="J105" s="65">
        <v>127.3</v>
      </c>
      <c r="K105" s="65">
        <v>128</v>
      </c>
      <c r="L105" s="65">
        <v>130.6</v>
      </c>
      <c r="M105" s="65">
        <v>128.5</v>
      </c>
      <c r="N105" s="65">
        <v>129.4</v>
      </c>
      <c r="O105" s="65">
        <v>129.4</v>
      </c>
      <c r="P105" s="65">
        <v>131.19999999999999</v>
      </c>
      <c r="Q105" s="65">
        <v>135</v>
      </c>
      <c r="R105" s="65">
        <v>130.9</v>
      </c>
      <c r="S105" s="65">
        <v>131.69999999999999</v>
      </c>
      <c r="T105" s="65">
        <v>132.9</v>
      </c>
      <c r="U105" s="65">
        <v>131.4</v>
      </c>
      <c r="V105" s="65">
        <v>131.6</v>
      </c>
      <c r="W105" s="65">
        <v>125.8</v>
      </c>
      <c r="X105" s="65">
        <v>130.4</v>
      </c>
      <c r="Y105" s="65">
        <v>134.6</v>
      </c>
      <c r="Z105" s="65">
        <v>134.30000000000001</v>
      </c>
      <c r="AA105" s="65">
        <v>134.30000000000001</v>
      </c>
      <c r="AB105" s="65">
        <v>135.1</v>
      </c>
      <c r="AC105" s="65">
        <v>135.19999999999999</v>
      </c>
      <c r="AD105" s="65">
        <v>132.9</v>
      </c>
      <c r="AE105" s="65">
        <v>132.80000000000001</v>
      </c>
      <c r="AF105" s="65">
        <v>131.80000000000001</v>
      </c>
      <c r="AG105" s="104"/>
      <c r="AH105" s="47">
        <f t="shared" si="10"/>
        <v>135.19999999999999</v>
      </c>
      <c r="AI105" s="48">
        <f t="shared" si="11"/>
        <v>125.8</v>
      </c>
    </row>
    <row r="106" spans="1:37" x14ac:dyDescent="0.25">
      <c r="A106" s="105" t="s">
        <v>114</v>
      </c>
      <c r="B106" s="106">
        <v>131.30000000000001</v>
      </c>
      <c r="C106" s="106">
        <v>130.9</v>
      </c>
      <c r="D106" s="106">
        <v>131.19999999999999</v>
      </c>
      <c r="E106" s="106">
        <v>131.69999999999999</v>
      </c>
      <c r="F106" s="106">
        <v>131.80000000000001</v>
      </c>
      <c r="G106" s="106">
        <v>130.5</v>
      </c>
      <c r="H106" s="106">
        <v>131.1</v>
      </c>
      <c r="I106" s="106">
        <v>132.80000000000001</v>
      </c>
      <c r="J106" s="106">
        <v>131.30000000000001</v>
      </c>
      <c r="K106" s="106">
        <v>130.80000000000001</v>
      </c>
      <c r="L106" s="106">
        <v>130.9</v>
      </c>
      <c r="M106" s="106">
        <v>130.19999999999999</v>
      </c>
      <c r="N106" s="106">
        <v>133.19999999999999</v>
      </c>
      <c r="O106" s="106">
        <v>133.19999999999999</v>
      </c>
      <c r="P106" s="106">
        <v>133.4</v>
      </c>
      <c r="Q106" s="106">
        <v>134.30000000000001</v>
      </c>
      <c r="R106" s="106">
        <v>132.5</v>
      </c>
      <c r="S106" s="106">
        <v>132.6</v>
      </c>
      <c r="T106" s="106">
        <v>131.19999999999999</v>
      </c>
      <c r="U106" s="106">
        <v>130.6</v>
      </c>
      <c r="V106" s="106">
        <v>135.30000000000001</v>
      </c>
      <c r="W106" s="106">
        <v>133.5</v>
      </c>
      <c r="X106" s="106">
        <v>133.19999999999999</v>
      </c>
      <c r="Y106" s="106">
        <v>134.6</v>
      </c>
      <c r="Z106" s="106">
        <v>135.80000000000001</v>
      </c>
      <c r="AA106" s="106">
        <v>135.80000000000001</v>
      </c>
      <c r="AB106" s="106">
        <v>136.30000000000001</v>
      </c>
      <c r="AC106" s="106">
        <v>136.19999999999999</v>
      </c>
      <c r="AD106" s="106">
        <v>137.30000000000001</v>
      </c>
      <c r="AE106" s="106">
        <v>136.9</v>
      </c>
      <c r="AF106" s="106">
        <v>135.5</v>
      </c>
      <c r="AG106" s="107"/>
      <c r="AH106" s="47">
        <f t="shared" si="10"/>
        <v>137.30000000000001</v>
      </c>
      <c r="AI106" s="48">
        <f t="shared" si="11"/>
        <v>130.19999999999999</v>
      </c>
    </row>
    <row r="107" spans="1:37" x14ac:dyDescent="0.25">
      <c r="A107" s="103" t="s">
        <v>115</v>
      </c>
      <c r="B107" s="65">
        <v>133.1</v>
      </c>
      <c r="C107" s="65">
        <v>132.30000000000001</v>
      </c>
      <c r="D107" s="65">
        <v>131.4</v>
      </c>
      <c r="E107" s="65">
        <v>134.1</v>
      </c>
      <c r="F107" s="65">
        <v>134.9</v>
      </c>
      <c r="G107" s="65">
        <v>132.30000000000001</v>
      </c>
      <c r="H107" s="65">
        <v>131.4</v>
      </c>
      <c r="I107" s="65">
        <v>127.8</v>
      </c>
      <c r="J107" s="65">
        <v>130.80000000000001</v>
      </c>
      <c r="K107" s="65">
        <v>128.5</v>
      </c>
      <c r="L107" s="65">
        <v>129.30000000000001</v>
      </c>
      <c r="M107" s="65">
        <v>125.9</v>
      </c>
      <c r="N107" s="65">
        <v>130.69999999999999</v>
      </c>
      <c r="O107" s="65">
        <v>130.69999999999999</v>
      </c>
      <c r="P107" s="65">
        <v>139</v>
      </c>
      <c r="Q107" s="65">
        <v>132.6</v>
      </c>
      <c r="R107" s="65">
        <v>129.5</v>
      </c>
      <c r="S107" s="65">
        <v>132.6</v>
      </c>
      <c r="T107" s="65">
        <v>134.5</v>
      </c>
      <c r="U107" s="65">
        <v>135.30000000000001</v>
      </c>
      <c r="V107" s="65">
        <v>137.30000000000001</v>
      </c>
      <c r="W107" s="65">
        <v>133.80000000000001</v>
      </c>
      <c r="X107" s="65">
        <v>131.1</v>
      </c>
      <c r="Y107" s="65">
        <v>133.30000000000001</v>
      </c>
      <c r="Z107" s="65">
        <v>135</v>
      </c>
      <c r="AA107" s="65">
        <v>135</v>
      </c>
      <c r="AB107" s="65">
        <v>134.5</v>
      </c>
      <c r="AC107" s="65">
        <v>133.80000000000001</v>
      </c>
      <c r="AD107" s="65">
        <v>137.1</v>
      </c>
      <c r="AE107" s="65">
        <v>137.6</v>
      </c>
      <c r="AF107" s="65">
        <v>134.19999999999999</v>
      </c>
      <c r="AG107" s="104"/>
      <c r="AH107" s="47">
        <f t="shared" si="10"/>
        <v>139</v>
      </c>
      <c r="AI107" s="48">
        <f t="shared" si="11"/>
        <v>125.9</v>
      </c>
    </row>
    <row r="108" spans="1:37" ht="15.75" thickBot="1" x14ac:dyDescent="0.3">
      <c r="A108" s="103" t="s">
        <v>116</v>
      </c>
      <c r="B108" s="92">
        <v>66.7</v>
      </c>
      <c r="C108" s="92">
        <v>66.599999999999994</v>
      </c>
      <c r="D108" s="92">
        <v>66.8</v>
      </c>
      <c r="E108" s="92">
        <v>66.599999999999994</v>
      </c>
      <c r="F108" s="92">
        <v>66.900000000000006</v>
      </c>
      <c r="G108" s="92">
        <v>66.400000000000006</v>
      </c>
      <c r="H108" s="92">
        <v>65.7</v>
      </c>
      <c r="I108" s="92">
        <v>66</v>
      </c>
      <c r="J108" s="92">
        <v>64.099999999999994</v>
      </c>
      <c r="K108" s="92">
        <v>64.2</v>
      </c>
      <c r="L108" s="92">
        <v>64.099999999999994</v>
      </c>
      <c r="M108" s="92">
        <v>63.8</v>
      </c>
      <c r="N108" s="92">
        <v>64</v>
      </c>
      <c r="O108" s="92">
        <v>64</v>
      </c>
      <c r="P108" s="92">
        <v>63.5</v>
      </c>
      <c r="Q108" s="92">
        <v>64.7</v>
      </c>
      <c r="R108" s="92">
        <v>64.5</v>
      </c>
      <c r="S108" s="92">
        <v>65</v>
      </c>
      <c r="T108" s="92">
        <v>64.599999999999994</v>
      </c>
      <c r="U108" s="92">
        <v>64.3</v>
      </c>
      <c r="V108" s="92">
        <v>65</v>
      </c>
      <c r="W108" s="92">
        <v>63.8</v>
      </c>
      <c r="X108" s="92">
        <v>64.2</v>
      </c>
      <c r="Y108" s="92">
        <v>65</v>
      </c>
      <c r="Z108" s="92">
        <v>65.5</v>
      </c>
      <c r="AA108" s="92">
        <v>65.5</v>
      </c>
      <c r="AB108" s="92">
        <v>65.7</v>
      </c>
      <c r="AC108" s="92">
        <v>65.7</v>
      </c>
      <c r="AD108" s="92">
        <v>65.900000000000006</v>
      </c>
      <c r="AE108" s="92">
        <v>66.7</v>
      </c>
      <c r="AF108" s="92">
        <v>67</v>
      </c>
      <c r="AG108" s="108"/>
      <c r="AH108" s="47">
        <f t="shared" si="10"/>
        <v>67</v>
      </c>
      <c r="AI108" s="48">
        <f t="shared" si="11"/>
        <v>63.5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117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0"/>
        <v>0</v>
      </c>
      <c r="AI109" s="48">
        <f t="shared" si="11"/>
        <v>0</v>
      </c>
    </row>
    <row r="110" spans="1:37" ht="15.75" thickBot="1" x14ac:dyDescent="0.3">
      <c r="A110" s="110" t="s">
        <v>118</v>
      </c>
      <c r="B110" s="111">
        <f t="shared" ref="B110:O110" si="18">SUM(B20,B26,B29:B30,B58,B60:B61,B63,B65,B111:B115,B140,B146,B152,B161,B163,B175,B182,B185:B186,B193,B195,B197,B201:B203,B205:B207,B212,B218:B219,B221:B223,B231,B236)</f>
        <v>108.33999999999997</v>
      </c>
      <c r="C110" s="111">
        <f t="shared" si="18"/>
        <v>92.519999999999968</v>
      </c>
      <c r="D110" s="111">
        <f t="shared" si="18"/>
        <v>90.789999999999978</v>
      </c>
      <c r="E110" s="111">
        <f t="shared" si="18"/>
        <v>81.839999999999989</v>
      </c>
      <c r="F110" s="111">
        <f t="shared" si="18"/>
        <v>92.24</v>
      </c>
      <c r="G110" s="111">
        <f t="shared" si="18"/>
        <v>119.04000000000002</v>
      </c>
      <c r="H110" s="111">
        <f t="shared" si="18"/>
        <v>154.74</v>
      </c>
      <c r="I110" s="111">
        <f t="shared" si="18"/>
        <v>190.89</v>
      </c>
      <c r="J110" s="111">
        <f t="shared" si="18"/>
        <v>244.64000000000001</v>
      </c>
      <c r="K110" s="111">
        <f t="shared" si="18"/>
        <v>277.83999999999997</v>
      </c>
      <c r="L110" s="111">
        <f t="shared" si="18"/>
        <v>334.04</v>
      </c>
      <c r="M110" s="111">
        <f t="shared" si="18"/>
        <v>306.54000000000002</v>
      </c>
      <c r="N110" s="111">
        <f t="shared" si="18"/>
        <v>264.54000000000002</v>
      </c>
      <c r="O110" s="111">
        <f t="shared" si="18"/>
        <v>264.54000000000002</v>
      </c>
      <c r="P110" s="111">
        <v>42</v>
      </c>
      <c r="Q110" s="111">
        <f t="shared" ref="Q110:AF110" si="19">SUM(Q20,Q26,Q29:Q30,Q58,Q60:Q61,Q63,Q65,Q111:Q115,Q140,Q146,Q152,Q161,Q163,Q175,Q182,Q185:Q186,Q193,Q195,Q197,Q201:Q203,Q205:Q207,Q212,Q218:Q219,Q221:Q223,Q231,Q236)</f>
        <v>252.54000000000002</v>
      </c>
      <c r="R110" s="111">
        <f t="shared" si="19"/>
        <v>234.94</v>
      </c>
      <c r="S110" s="111">
        <f t="shared" si="19"/>
        <v>272.04000000000002</v>
      </c>
      <c r="T110" s="111">
        <f t="shared" si="19"/>
        <v>90.26</v>
      </c>
      <c r="U110" s="111">
        <f t="shared" si="19"/>
        <v>88.140000000000015</v>
      </c>
      <c r="V110" s="111">
        <f t="shared" si="19"/>
        <v>321.54000000000002</v>
      </c>
      <c r="W110" s="111">
        <f t="shared" si="19"/>
        <v>377.64000000000004</v>
      </c>
      <c r="X110" s="111">
        <f t="shared" si="19"/>
        <v>407.98999999999995</v>
      </c>
      <c r="Y110" s="111">
        <f t="shared" si="19"/>
        <v>403.79</v>
      </c>
      <c r="Z110" s="111">
        <f t="shared" si="19"/>
        <v>389.09</v>
      </c>
      <c r="AA110" s="111">
        <f t="shared" si="19"/>
        <v>389.09</v>
      </c>
      <c r="AB110" s="111">
        <f t="shared" si="19"/>
        <v>304.34000000000003</v>
      </c>
      <c r="AC110" s="111">
        <f t="shared" si="19"/>
        <v>281.29000000000002</v>
      </c>
      <c r="AD110" s="111"/>
      <c r="AE110" s="111">
        <f t="shared" si="19"/>
        <v>197.34</v>
      </c>
      <c r="AF110" s="111">
        <f t="shared" si="19"/>
        <v>136.73999999999998</v>
      </c>
      <c r="AG110" s="112"/>
      <c r="AH110" s="47">
        <f t="shared" si="10"/>
        <v>407.98999999999995</v>
      </c>
      <c r="AI110" s="48">
        <f t="shared" si="11"/>
        <v>42</v>
      </c>
    </row>
    <row r="111" spans="1:37" x14ac:dyDescent="0.25">
      <c r="A111" s="179" t="s">
        <v>119</v>
      </c>
      <c r="B111" s="113">
        <v>17</v>
      </c>
      <c r="C111" s="113">
        <v>12.7</v>
      </c>
      <c r="D111" s="113">
        <v>12.6</v>
      </c>
      <c r="E111" s="113">
        <v>9.4</v>
      </c>
      <c r="F111" s="113">
        <v>2.7</v>
      </c>
      <c r="G111" s="113">
        <v>2.4</v>
      </c>
      <c r="H111" s="113">
        <v>3.3</v>
      </c>
      <c r="I111" s="113">
        <v>17</v>
      </c>
      <c r="J111" s="113">
        <v>24.8</v>
      </c>
      <c r="K111" s="113">
        <v>26.2</v>
      </c>
      <c r="L111" s="113">
        <v>22.3</v>
      </c>
      <c r="M111" s="113">
        <v>27.3</v>
      </c>
      <c r="N111" s="113">
        <v>37</v>
      </c>
      <c r="O111" s="113">
        <v>37</v>
      </c>
      <c r="P111" s="113">
        <v>39</v>
      </c>
      <c r="Q111" s="113">
        <v>35.9</v>
      </c>
      <c r="R111" s="113">
        <v>25.6</v>
      </c>
      <c r="S111" s="113">
        <v>26</v>
      </c>
      <c r="T111" s="113">
        <v>26.4</v>
      </c>
      <c r="U111" s="113">
        <v>27.5</v>
      </c>
      <c r="V111" s="113">
        <v>50</v>
      </c>
      <c r="W111" s="113">
        <v>44.5</v>
      </c>
      <c r="X111" s="113">
        <v>39.700000000000003</v>
      </c>
      <c r="Y111" s="113">
        <v>43.4</v>
      </c>
      <c r="Z111" s="113">
        <v>47.5</v>
      </c>
      <c r="AA111" s="113">
        <v>47.5</v>
      </c>
      <c r="AB111" s="113">
        <v>46.9</v>
      </c>
      <c r="AC111" s="113">
        <v>40.4</v>
      </c>
      <c r="AD111" s="113">
        <v>41.5</v>
      </c>
      <c r="AE111" s="113">
        <v>32.9</v>
      </c>
      <c r="AF111" s="113">
        <v>28.5</v>
      </c>
      <c r="AG111" s="114">
        <v>75</v>
      </c>
      <c r="AH111" s="47">
        <f t="shared" si="10"/>
        <v>50</v>
      </c>
      <c r="AI111" s="48">
        <f t="shared" si="11"/>
        <v>2.4</v>
      </c>
    </row>
    <row r="112" spans="1:37" x14ac:dyDescent="0.25">
      <c r="A112" s="180" t="s">
        <v>120</v>
      </c>
      <c r="B112" s="115">
        <v>19.7</v>
      </c>
      <c r="C112" s="115">
        <v>14.2</v>
      </c>
      <c r="D112" s="115">
        <v>14.2</v>
      </c>
      <c r="E112" s="115">
        <v>8.6</v>
      </c>
      <c r="F112" s="115">
        <v>0</v>
      </c>
      <c r="G112" s="115">
        <v>-1.2</v>
      </c>
      <c r="H112" s="115">
        <v>0</v>
      </c>
      <c r="I112" s="115">
        <v>20</v>
      </c>
      <c r="J112" s="115">
        <v>29.5</v>
      </c>
      <c r="K112" s="115">
        <v>29.5</v>
      </c>
      <c r="L112" s="115">
        <v>22.9</v>
      </c>
      <c r="M112" s="115">
        <v>26.5</v>
      </c>
      <c r="N112" s="115">
        <v>40</v>
      </c>
      <c r="O112" s="115">
        <v>40</v>
      </c>
      <c r="P112" s="115">
        <v>42</v>
      </c>
      <c r="Q112" s="115">
        <v>38.5</v>
      </c>
      <c r="R112" s="115">
        <v>23.1</v>
      </c>
      <c r="S112" s="115">
        <v>26.3</v>
      </c>
      <c r="T112" s="115">
        <v>25.6</v>
      </c>
      <c r="U112" s="115">
        <v>26.9</v>
      </c>
      <c r="V112" s="115">
        <v>61</v>
      </c>
      <c r="W112" s="115">
        <v>49.6</v>
      </c>
      <c r="X112" s="115">
        <v>40.9</v>
      </c>
      <c r="Y112" s="115">
        <v>46</v>
      </c>
      <c r="Z112" s="115">
        <v>53.2</v>
      </c>
      <c r="AA112" s="115">
        <v>53.2</v>
      </c>
      <c r="AB112" s="115">
        <v>52.7</v>
      </c>
      <c r="AC112" s="115">
        <v>43.8</v>
      </c>
      <c r="AD112" s="115">
        <v>46.2</v>
      </c>
      <c r="AE112" s="115">
        <v>35.200000000000003</v>
      </c>
      <c r="AF112" s="115">
        <v>30.2</v>
      </c>
      <c r="AG112" s="114">
        <v>240</v>
      </c>
      <c r="AH112" s="47">
        <f t="shared" si="10"/>
        <v>61</v>
      </c>
      <c r="AI112" s="48">
        <f t="shared" si="11"/>
        <v>-1.2</v>
      </c>
    </row>
    <row r="113" spans="1:37" x14ac:dyDescent="0.25">
      <c r="A113" s="180" t="s">
        <v>121</v>
      </c>
      <c r="B113" s="115">
        <v>-80</v>
      </c>
      <c r="C113" s="115">
        <v>-87</v>
      </c>
      <c r="D113" s="115">
        <v>-86</v>
      </c>
      <c r="E113" s="115">
        <f>-40.5-44.3</f>
        <v>-84.8</v>
      </c>
      <c r="F113" s="115">
        <f>-34.3-37.6</f>
        <v>-71.900000000000006</v>
      </c>
      <c r="G113" s="115">
        <f>-29.8-33.2</f>
        <v>-63</v>
      </c>
      <c r="H113" s="115">
        <f>-24.5-28</f>
        <v>-52.5</v>
      </c>
      <c r="I113" s="115">
        <f>-24.8-27.8</f>
        <v>-52.6</v>
      </c>
      <c r="J113" s="115">
        <f>-23.3-28.2</f>
        <v>-51.5</v>
      </c>
      <c r="K113" s="115">
        <f>-21.9-24.4</f>
        <v>-46.3</v>
      </c>
      <c r="L113" s="115">
        <f>-7.1-13.8</f>
        <v>-20.9</v>
      </c>
      <c r="M113" s="115">
        <v>-7</v>
      </c>
      <c r="N113" s="115">
        <v>-25</v>
      </c>
      <c r="O113" s="115">
        <v>-25</v>
      </c>
      <c r="P113" s="115">
        <v>-39</v>
      </c>
      <c r="Q113" s="115">
        <v>-29.6</v>
      </c>
      <c r="R113" s="115">
        <v>-28</v>
      </c>
      <c r="S113" s="115">
        <v>-26</v>
      </c>
      <c r="T113" s="115">
        <v>-22</v>
      </c>
      <c r="U113" s="115">
        <v>-19</v>
      </c>
      <c r="V113" s="115">
        <v>-25</v>
      </c>
      <c r="W113" s="115">
        <v>-7.1</v>
      </c>
      <c r="X113" s="115">
        <v>14</v>
      </c>
      <c r="Y113" s="115">
        <v>16</v>
      </c>
      <c r="Z113" s="115">
        <v>10</v>
      </c>
      <c r="AA113" s="115">
        <v>10</v>
      </c>
      <c r="AB113" s="115">
        <v>-41</v>
      </c>
      <c r="AC113" s="115">
        <v>-46</v>
      </c>
      <c r="AD113" s="115">
        <v>-44</v>
      </c>
      <c r="AE113" s="115">
        <v>-47</v>
      </c>
      <c r="AF113" s="115">
        <v>-67.8</v>
      </c>
      <c r="AG113" s="114">
        <v>240</v>
      </c>
      <c r="AH113" s="47">
        <f t="shared" si="10"/>
        <v>16</v>
      </c>
      <c r="AI113" s="48">
        <f t="shared" si="11"/>
        <v>-87</v>
      </c>
    </row>
    <row r="114" spans="1:37" x14ac:dyDescent="0.25">
      <c r="A114" s="180" t="s">
        <v>122</v>
      </c>
      <c r="B114" s="115">
        <v>-12</v>
      </c>
      <c r="C114" s="115">
        <v>-13</v>
      </c>
      <c r="D114" s="115">
        <v>-15.3</v>
      </c>
      <c r="E114" s="115">
        <v>-15.6</v>
      </c>
      <c r="F114" s="115">
        <v>-11.5</v>
      </c>
      <c r="G114" s="115">
        <v>-9</v>
      </c>
      <c r="H114" s="115">
        <v>-3.6</v>
      </c>
      <c r="I114" s="115">
        <v>-1.2</v>
      </c>
      <c r="J114" s="115">
        <v>-2.4</v>
      </c>
      <c r="K114" s="115">
        <v>5.2</v>
      </c>
      <c r="L114" s="115">
        <v>29.5</v>
      </c>
      <c r="M114" s="115">
        <v>38.4</v>
      </c>
      <c r="N114" s="115">
        <v>5.6</v>
      </c>
      <c r="O114" s="115">
        <v>5.6</v>
      </c>
      <c r="P114" s="115">
        <v>2.7</v>
      </c>
      <c r="Q114" s="115">
        <v>2.9</v>
      </c>
      <c r="R114" s="115">
        <v>3.3</v>
      </c>
      <c r="S114" s="115">
        <v>8</v>
      </c>
      <c r="T114" s="115">
        <v>12.6</v>
      </c>
      <c r="U114" s="115">
        <v>14.5</v>
      </c>
      <c r="V114" s="115">
        <v>18</v>
      </c>
      <c r="W114" s="115">
        <v>33.5</v>
      </c>
      <c r="X114" s="115">
        <v>40.299999999999997</v>
      </c>
      <c r="Y114" s="115">
        <v>55</v>
      </c>
      <c r="Z114" s="115">
        <v>48.2</v>
      </c>
      <c r="AA114" s="115">
        <v>48.2</v>
      </c>
      <c r="AB114" s="115">
        <v>43.1</v>
      </c>
      <c r="AC114" s="115">
        <v>43</v>
      </c>
      <c r="AD114" s="115">
        <v>8.4</v>
      </c>
      <c r="AE114" s="115">
        <v>2.2000000000000002</v>
      </c>
      <c r="AF114" s="115">
        <v>-5.0999999999999996</v>
      </c>
      <c r="AG114" s="114">
        <v>60</v>
      </c>
      <c r="AH114" s="47">
        <f t="shared" si="10"/>
        <v>55</v>
      </c>
      <c r="AI114" s="48">
        <f t="shared" si="11"/>
        <v>-15.6</v>
      </c>
    </row>
    <row r="115" spans="1:37" x14ac:dyDescent="0.25">
      <c r="A115" s="177" t="s">
        <v>261</v>
      </c>
      <c r="B115" s="117">
        <f>14*1.65</f>
        <v>23.099999999999998</v>
      </c>
      <c r="C115" s="117">
        <f>15.2*1.65</f>
        <v>25.08</v>
      </c>
      <c r="D115" s="117">
        <f>15*1.65</f>
        <v>24.75</v>
      </c>
      <c r="E115" s="117">
        <f>15.4*1.5</f>
        <v>23.1</v>
      </c>
      <c r="F115" s="117">
        <f>22.8*1.5</f>
        <v>34.200000000000003</v>
      </c>
      <c r="G115" s="117">
        <f>34.4*1.5</f>
        <v>51.599999999999994</v>
      </c>
      <c r="H115" s="117">
        <f>46*1.5</f>
        <v>69</v>
      </c>
      <c r="I115" s="117">
        <f>46.3*1.5</f>
        <v>69.449999999999989</v>
      </c>
      <c r="J115" s="117">
        <v>106</v>
      </c>
      <c r="K115" s="117">
        <v>125</v>
      </c>
      <c r="L115" s="117">
        <v>142</v>
      </c>
      <c r="M115" s="117">
        <v>83.1</v>
      </c>
      <c r="N115" s="117">
        <v>68.7</v>
      </c>
      <c r="O115" s="117">
        <v>68.7</v>
      </c>
      <c r="P115" s="117">
        <v>63.5</v>
      </c>
      <c r="Q115" s="117">
        <v>54.3</v>
      </c>
      <c r="R115" s="117">
        <v>60.4</v>
      </c>
      <c r="S115" s="117">
        <f>56*1.65</f>
        <v>92.399999999999991</v>
      </c>
      <c r="T115" s="117">
        <f>-59.2*1.65</f>
        <v>-97.679999999999993</v>
      </c>
      <c r="U115" s="117">
        <f>-60*1.65</f>
        <v>-99</v>
      </c>
      <c r="V115" s="117">
        <f>50*1.65</f>
        <v>82.5</v>
      </c>
      <c r="W115" s="117">
        <f>74*1.65</f>
        <v>122.1</v>
      </c>
      <c r="X115" s="117">
        <v>136.94999999999999</v>
      </c>
      <c r="Y115" s="117">
        <f>65*1.65</f>
        <v>107.25</v>
      </c>
      <c r="Z115" s="117">
        <f>57*1.65</f>
        <v>94.05</v>
      </c>
      <c r="AA115" s="117">
        <f>57*1.65</f>
        <v>94.05</v>
      </c>
      <c r="AB115" s="117">
        <f>40.6*1.5</f>
        <v>60.900000000000006</v>
      </c>
      <c r="AC115" s="117">
        <f>38.9*1.5</f>
        <v>58.349999999999994</v>
      </c>
      <c r="AD115" s="117">
        <f>34.2*1.5</f>
        <v>51.300000000000004</v>
      </c>
      <c r="AE115" s="117">
        <f>21.4*1.5</f>
        <v>32.099999999999994</v>
      </c>
      <c r="AF115" s="117">
        <v>9</v>
      </c>
      <c r="AG115" s="118">
        <v>120</v>
      </c>
      <c r="AH115" s="47">
        <f t="shared" si="10"/>
        <v>142</v>
      </c>
      <c r="AI115" s="48">
        <f t="shared" si="11"/>
        <v>-99</v>
      </c>
    </row>
    <row r="116" spans="1:37" x14ac:dyDescent="0.25">
      <c r="A116" s="177" t="s">
        <v>262</v>
      </c>
      <c r="B116" s="117"/>
      <c r="C116" s="117"/>
      <c r="D116" s="117"/>
      <c r="E116" s="117"/>
      <c r="F116" s="117"/>
      <c r="G116" s="117"/>
      <c r="H116" s="117"/>
      <c r="I116" s="117"/>
      <c r="J116" s="117"/>
      <c r="K116" s="117">
        <v>106</v>
      </c>
      <c r="L116" s="117">
        <v>110</v>
      </c>
      <c r="M116" s="117">
        <v>101.5</v>
      </c>
      <c r="N116" s="117">
        <v>91</v>
      </c>
      <c r="O116" s="117">
        <v>91</v>
      </c>
      <c r="P116" s="117">
        <v>87</v>
      </c>
      <c r="Q116" s="117">
        <v>78.900000000000006</v>
      </c>
      <c r="R116" s="117">
        <v>84</v>
      </c>
      <c r="S116" s="117">
        <v>81</v>
      </c>
      <c r="T116" s="117">
        <v>84</v>
      </c>
      <c r="U116" s="117">
        <v>87</v>
      </c>
      <c r="V116" s="117">
        <v>76</v>
      </c>
      <c r="W116" s="117">
        <v>98</v>
      </c>
      <c r="X116" s="117">
        <v>103</v>
      </c>
      <c r="Y116" s="117">
        <v>89</v>
      </c>
      <c r="Z116" s="117">
        <v>84</v>
      </c>
      <c r="AA116" s="117">
        <v>84</v>
      </c>
      <c r="AB116" s="117">
        <v>72</v>
      </c>
      <c r="AC116" s="117">
        <v>72.3</v>
      </c>
      <c r="AD116" s="117">
        <v>66.7</v>
      </c>
      <c r="AE116" s="117">
        <v>56.1</v>
      </c>
      <c r="AF116" s="117">
        <v>43.2</v>
      </c>
      <c r="AG116" s="118"/>
      <c r="AH116" s="47"/>
      <c r="AI116" s="48"/>
    </row>
    <row r="117" spans="1:37" x14ac:dyDescent="0.25">
      <c r="A117" s="177" t="s">
        <v>263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>
        <v>17.600000000000001</v>
      </c>
      <c r="L117" s="117">
        <v>10.9</v>
      </c>
      <c r="M117" s="117">
        <v>-5.4</v>
      </c>
      <c r="N117" s="117">
        <v>-4</v>
      </c>
      <c r="O117" s="117">
        <v>-4</v>
      </c>
      <c r="P117" s="117">
        <v>-0.8</v>
      </c>
      <c r="Q117" s="117">
        <v>0.5</v>
      </c>
      <c r="R117" s="117">
        <v>-15</v>
      </c>
      <c r="S117" s="117">
        <v>9</v>
      </c>
      <c r="T117" s="117">
        <v>6</v>
      </c>
      <c r="U117" s="117">
        <v>4.3</v>
      </c>
      <c r="V117" s="117">
        <v>-31</v>
      </c>
      <c r="W117" s="117">
        <v>-26.1</v>
      </c>
      <c r="X117" s="117">
        <v>-37</v>
      </c>
      <c r="Y117" s="117">
        <v>-52</v>
      </c>
      <c r="Z117" s="117">
        <v>-55</v>
      </c>
      <c r="AA117" s="117">
        <v>-55</v>
      </c>
      <c r="AB117" s="117">
        <v>-54.3</v>
      </c>
      <c r="AC117" s="117">
        <v>-40</v>
      </c>
      <c r="AD117" s="117">
        <v>-28.2</v>
      </c>
      <c r="AE117" s="117">
        <v>-10.9</v>
      </c>
      <c r="AF117" s="117">
        <v>-2.9</v>
      </c>
      <c r="AG117" s="118"/>
      <c r="AH117" s="47"/>
      <c r="AI117" s="48"/>
    </row>
    <row r="118" spans="1:37" x14ac:dyDescent="0.25">
      <c r="A118" s="177" t="s">
        <v>260</v>
      </c>
      <c r="B118" s="117">
        <v>42</v>
      </c>
      <c r="C118" s="117">
        <v>49</v>
      </c>
      <c r="D118" s="117">
        <v>46</v>
      </c>
      <c r="E118" s="117">
        <v>47.4</v>
      </c>
      <c r="F118" s="117">
        <v>50.6</v>
      </c>
      <c r="G118" s="117">
        <v>62.5</v>
      </c>
      <c r="H118" s="117">
        <v>75.099999999999994</v>
      </c>
      <c r="I118" s="117">
        <v>73.8</v>
      </c>
      <c r="J118" s="117">
        <v>84.7</v>
      </c>
      <c r="K118" s="117">
        <v>97</v>
      </c>
      <c r="L118" s="117">
        <v>92.8</v>
      </c>
      <c r="M118" s="117">
        <v>78.599999999999994</v>
      </c>
      <c r="N118" s="117">
        <v>82</v>
      </c>
      <c r="O118" s="117">
        <v>82</v>
      </c>
      <c r="P118" s="117">
        <v>89</v>
      </c>
      <c r="Q118" s="117">
        <v>74.099999999999994</v>
      </c>
      <c r="R118" s="117">
        <v>85</v>
      </c>
      <c r="S118" s="117">
        <v>73</v>
      </c>
      <c r="T118" s="117">
        <v>78</v>
      </c>
      <c r="U118" s="117">
        <v>83</v>
      </c>
      <c r="V118" s="117">
        <v>52</v>
      </c>
      <c r="W118" s="117">
        <v>71</v>
      </c>
      <c r="X118" s="117">
        <v>73</v>
      </c>
      <c r="Y118" s="117">
        <v>59</v>
      </c>
      <c r="Z118" s="117">
        <v>64</v>
      </c>
      <c r="AA118" s="117">
        <v>64</v>
      </c>
      <c r="AB118" s="117">
        <v>48.7</v>
      </c>
      <c r="AC118" s="117">
        <v>52.1</v>
      </c>
      <c r="AD118" s="117">
        <v>46.3</v>
      </c>
      <c r="AE118" s="117">
        <v>39.4</v>
      </c>
      <c r="AF118" s="117">
        <v>32.6</v>
      </c>
      <c r="AG118" s="118"/>
      <c r="AH118" s="47">
        <f t="shared" si="10"/>
        <v>97</v>
      </c>
      <c r="AI118" s="48">
        <f t="shared" si="11"/>
        <v>32.6</v>
      </c>
    </row>
    <row r="119" spans="1:37" x14ac:dyDescent="0.25">
      <c r="A119" s="177" t="s">
        <v>264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9"/>
      <c r="AH119" s="47">
        <f t="shared" si="10"/>
        <v>0</v>
      </c>
      <c r="AI119" s="48">
        <f t="shared" si="11"/>
        <v>0</v>
      </c>
    </row>
    <row r="120" spans="1:37" x14ac:dyDescent="0.25">
      <c r="A120" s="178" t="s">
        <v>126</v>
      </c>
      <c r="B120" s="106">
        <v>13</v>
      </c>
      <c r="C120" s="106">
        <v>14</v>
      </c>
      <c r="D120" s="106">
        <v>15.2</v>
      </c>
      <c r="E120" s="106">
        <v>14.2</v>
      </c>
      <c r="F120" s="106">
        <v>13.2</v>
      </c>
      <c r="G120" s="106">
        <v>9.6999999999999993</v>
      </c>
      <c r="H120" s="106">
        <v>4.5</v>
      </c>
      <c r="I120" s="106">
        <v>-1.2</v>
      </c>
      <c r="J120" s="106">
        <v>-9.4</v>
      </c>
      <c r="K120" s="106">
        <v>-14.2</v>
      </c>
      <c r="L120" s="106">
        <v>-17.3</v>
      </c>
      <c r="M120" s="106">
        <v>-20</v>
      </c>
      <c r="N120" s="106">
        <v>-12</v>
      </c>
      <c r="O120" s="106">
        <v>-12</v>
      </c>
      <c r="P120" s="106">
        <v>-7</v>
      </c>
      <c r="Q120" s="106">
        <v>-5.3</v>
      </c>
      <c r="R120" s="106">
        <v>-3.3</v>
      </c>
      <c r="S120" s="106">
        <v>-6.5</v>
      </c>
      <c r="T120" s="106">
        <v>-10.3</v>
      </c>
      <c r="U120" s="106">
        <v>-9.1999999999999993</v>
      </c>
      <c r="V120" s="106">
        <v>-23</v>
      </c>
      <c r="W120" s="106">
        <v>-31</v>
      </c>
      <c r="X120" s="106">
        <v>-31</v>
      </c>
      <c r="Y120" s="106">
        <v>-25</v>
      </c>
      <c r="Z120" s="106">
        <v>-19.100000000000001</v>
      </c>
      <c r="AA120" s="106">
        <v>-19.100000000000001</v>
      </c>
      <c r="AB120" s="106">
        <v>-10</v>
      </c>
      <c r="AC120" s="106">
        <v>-7.3</v>
      </c>
      <c r="AD120" s="106">
        <v>-0.8</v>
      </c>
      <c r="AE120" s="106">
        <v>6.8</v>
      </c>
      <c r="AF120" s="106">
        <v>9.8000000000000007</v>
      </c>
      <c r="AG120" s="119"/>
      <c r="AH120" s="47">
        <f t="shared" si="10"/>
        <v>15.2</v>
      </c>
      <c r="AI120" s="48">
        <f t="shared" si="11"/>
        <v>-31</v>
      </c>
    </row>
    <row r="121" spans="1:37" x14ac:dyDescent="0.25">
      <c r="A121" s="178" t="s">
        <v>127</v>
      </c>
      <c r="B121" s="106">
        <v>52</v>
      </c>
      <c r="C121" s="106">
        <v>53</v>
      </c>
      <c r="D121" s="106">
        <v>51.4</v>
      </c>
      <c r="E121" s="106">
        <v>47.8</v>
      </c>
      <c r="F121" s="106">
        <v>37.799999999999997</v>
      </c>
      <c r="G121" s="106">
        <v>28.4</v>
      </c>
      <c r="H121" s="106">
        <v>21.6</v>
      </c>
      <c r="I121" s="106">
        <v>29.5</v>
      </c>
      <c r="J121" s="106">
        <v>33.1</v>
      </c>
      <c r="K121" s="106">
        <v>30.8</v>
      </c>
      <c r="L121" s="106">
        <v>25.4</v>
      </c>
      <c r="M121" s="106">
        <v>28.7</v>
      </c>
      <c r="N121" s="106">
        <v>23.5</v>
      </c>
      <c r="O121" s="106">
        <v>23.5</v>
      </c>
      <c r="P121" s="106">
        <v>33.5</v>
      </c>
      <c r="Q121" s="106">
        <v>22.7</v>
      </c>
      <c r="R121" s="106">
        <v>14</v>
      </c>
      <c r="S121" s="106">
        <v>17</v>
      </c>
      <c r="T121" s="106">
        <v>18</v>
      </c>
      <c r="U121" s="106">
        <v>18.399999999999999</v>
      </c>
      <c r="V121" s="106">
        <v>39</v>
      </c>
      <c r="W121" s="106">
        <v>21.4</v>
      </c>
      <c r="X121" s="106">
        <v>13</v>
      </c>
      <c r="Y121" s="106">
        <v>26</v>
      </c>
      <c r="Z121" s="106">
        <v>31.2</v>
      </c>
      <c r="AA121" s="106">
        <v>31.2</v>
      </c>
      <c r="AB121" s="106">
        <v>41.6</v>
      </c>
      <c r="AC121" s="106">
        <v>43.6</v>
      </c>
      <c r="AD121" s="106">
        <v>43</v>
      </c>
      <c r="AE121" s="106">
        <v>40.4</v>
      </c>
      <c r="AF121" s="106">
        <v>48.5</v>
      </c>
      <c r="AG121" s="119"/>
      <c r="AH121" s="47">
        <f t="shared" si="10"/>
        <v>53</v>
      </c>
      <c r="AI121" s="48">
        <f t="shared" si="11"/>
        <v>13</v>
      </c>
    </row>
    <row r="122" spans="1:37" ht="15.75" thickBot="1" x14ac:dyDescent="0.3">
      <c r="A122" s="178" t="s">
        <v>265</v>
      </c>
      <c r="B122" s="106"/>
      <c r="C122" s="106"/>
      <c r="D122" s="106"/>
      <c r="E122" s="106"/>
      <c r="F122" s="106"/>
      <c r="G122" s="106"/>
      <c r="H122" s="106"/>
      <c r="I122" s="106"/>
      <c r="J122" s="106"/>
      <c r="K122" s="106">
        <v>112.2</v>
      </c>
      <c r="L122" s="106">
        <v>125.9</v>
      </c>
      <c r="M122" s="106">
        <v>115</v>
      </c>
      <c r="N122" s="106">
        <v>112</v>
      </c>
      <c r="O122" s="106">
        <v>112</v>
      </c>
      <c r="P122" s="106">
        <v>96</v>
      </c>
      <c r="Q122" s="106">
        <v>51.4</v>
      </c>
      <c r="R122" s="106">
        <v>74</v>
      </c>
      <c r="S122" s="106">
        <v>85</v>
      </c>
      <c r="T122" s="106">
        <v>74</v>
      </c>
      <c r="U122" s="106">
        <v>86</v>
      </c>
      <c r="V122" s="106">
        <v>94</v>
      </c>
      <c r="W122" s="106">
        <v>113</v>
      </c>
      <c r="X122" s="106">
        <v>112</v>
      </c>
      <c r="Y122" s="106">
        <v>105</v>
      </c>
      <c r="Z122" s="106">
        <v>97.1</v>
      </c>
      <c r="AA122" s="106">
        <v>97.1</v>
      </c>
      <c r="AB122" s="106">
        <v>86</v>
      </c>
      <c r="AC122" s="106">
        <v>58.5</v>
      </c>
      <c r="AD122" s="106">
        <v>53.8</v>
      </c>
      <c r="AE122" s="106">
        <v>69.900000000000006</v>
      </c>
      <c r="AF122" s="106">
        <v>49.3</v>
      </c>
      <c r="AG122" s="119"/>
      <c r="AH122" s="47">
        <f t="shared" si="10"/>
        <v>125.9</v>
      </c>
      <c r="AI122" s="48">
        <f t="shared" si="11"/>
        <v>49.3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76" t="s">
        <v>258</v>
      </c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20">SUM(B124:B228)</f>
        <v>0</v>
      </c>
      <c r="C229" s="137">
        <f t="shared" si="20"/>
        <v>0</v>
      </c>
      <c r="D229" s="137">
        <f t="shared" si="20"/>
        <v>0</v>
      </c>
      <c r="E229" s="137">
        <f t="shared" si="20"/>
        <v>0</v>
      </c>
      <c r="F229" s="137">
        <f t="shared" si="20"/>
        <v>0</v>
      </c>
      <c r="G229" s="137">
        <f t="shared" si="20"/>
        <v>0</v>
      </c>
      <c r="H229" s="137">
        <f t="shared" si="20"/>
        <v>0</v>
      </c>
      <c r="I229" s="137">
        <f t="shared" si="20"/>
        <v>0</v>
      </c>
      <c r="J229" s="137">
        <f t="shared" si="20"/>
        <v>0</v>
      </c>
      <c r="K229" s="137">
        <f t="shared" si="20"/>
        <v>0</v>
      </c>
      <c r="L229" s="137">
        <f t="shared" si="20"/>
        <v>0</v>
      </c>
      <c r="M229" s="137">
        <f t="shared" si="20"/>
        <v>0</v>
      </c>
      <c r="N229" s="137">
        <f t="shared" si="20"/>
        <v>0</v>
      </c>
      <c r="O229" s="137">
        <f t="shared" si="20"/>
        <v>0</v>
      </c>
      <c r="P229" s="137">
        <f t="shared" si="20"/>
        <v>0</v>
      </c>
      <c r="Q229" s="137">
        <f t="shared" si="20"/>
        <v>0</v>
      </c>
      <c r="R229" s="137">
        <f t="shared" si="20"/>
        <v>0</v>
      </c>
      <c r="S229" s="137">
        <f t="shared" si="20"/>
        <v>0</v>
      </c>
      <c r="T229" s="137">
        <f t="shared" si="20"/>
        <v>0</v>
      </c>
      <c r="U229" s="137">
        <f t="shared" si="20"/>
        <v>0</v>
      </c>
      <c r="V229" s="137">
        <f t="shared" si="20"/>
        <v>0</v>
      </c>
      <c r="W229" s="137">
        <f t="shared" si="20"/>
        <v>0</v>
      </c>
      <c r="X229" s="137">
        <f t="shared" si="20"/>
        <v>0</v>
      </c>
      <c r="Y229" s="137">
        <f t="shared" si="20"/>
        <v>0</v>
      </c>
      <c r="Z229" s="137">
        <f t="shared" si="20"/>
        <v>0</v>
      </c>
      <c r="AA229" s="137">
        <f t="shared" si="20"/>
        <v>0</v>
      </c>
      <c r="AB229" s="137">
        <f t="shared" si="20"/>
        <v>0</v>
      </c>
      <c r="AC229" s="137">
        <f t="shared" si="20"/>
        <v>0</v>
      </c>
      <c r="AD229" s="137">
        <f t="shared" si="20"/>
        <v>0</v>
      </c>
      <c r="AE229" s="137">
        <f t="shared" si="20"/>
        <v>0</v>
      </c>
      <c r="AF229" s="138">
        <f t="shared" si="20"/>
        <v>0</v>
      </c>
      <c r="AG229" s="139">
        <f t="shared" si="20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21">AF231</f>
        <v>0.3</v>
      </c>
      <c r="C231" s="141">
        <v>0.3</v>
      </c>
      <c r="D231" s="141">
        <f t="shared" ref="D231:S236" si="22">C231</f>
        <v>0.3</v>
      </c>
      <c r="E231" s="141">
        <f t="shared" si="22"/>
        <v>0.3</v>
      </c>
      <c r="F231" s="141">
        <f t="shared" si="22"/>
        <v>0.3</v>
      </c>
      <c r="G231" s="141">
        <f t="shared" si="22"/>
        <v>0.3</v>
      </c>
      <c r="H231" s="141">
        <f t="shared" si="22"/>
        <v>0.3</v>
      </c>
      <c r="I231" s="141">
        <f t="shared" si="22"/>
        <v>0.3</v>
      </c>
      <c r="J231" s="141">
        <f t="shared" si="22"/>
        <v>0.3</v>
      </c>
      <c r="K231" s="141">
        <f t="shared" si="22"/>
        <v>0.3</v>
      </c>
      <c r="L231" s="141">
        <f t="shared" si="22"/>
        <v>0.3</v>
      </c>
      <c r="M231" s="141">
        <f t="shared" si="22"/>
        <v>0.3</v>
      </c>
      <c r="N231" s="141">
        <f t="shared" si="22"/>
        <v>0.3</v>
      </c>
      <c r="O231" s="141">
        <f t="shared" si="22"/>
        <v>0.3</v>
      </c>
      <c r="P231" s="141">
        <f t="shared" si="22"/>
        <v>0.3</v>
      </c>
      <c r="Q231" s="141">
        <f t="shared" si="22"/>
        <v>0.3</v>
      </c>
      <c r="R231" s="141">
        <f t="shared" si="22"/>
        <v>0.3</v>
      </c>
      <c r="S231" s="141">
        <f t="shared" si="22"/>
        <v>0.3</v>
      </c>
      <c r="T231" s="141">
        <f t="shared" ref="T231:AF236" si="23">S231</f>
        <v>0.3</v>
      </c>
      <c r="U231" s="141">
        <f t="shared" si="23"/>
        <v>0.3</v>
      </c>
      <c r="V231" s="141">
        <f t="shared" si="23"/>
        <v>0.3</v>
      </c>
      <c r="W231" s="141">
        <f t="shared" si="23"/>
        <v>0.3</v>
      </c>
      <c r="X231" s="141">
        <f t="shared" si="23"/>
        <v>0.3</v>
      </c>
      <c r="Y231" s="141">
        <f t="shared" si="23"/>
        <v>0.3</v>
      </c>
      <c r="Z231" s="141">
        <f t="shared" si="23"/>
        <v>0.3</v>
      </c>
      <c r="AA231" s="141">
        <f t="shared" si="23"/>
        <v>0.3</v>
      </c>
      <c r="AB231" s="141">
        <f t="shared" si="23"/>
        <v>0.3</v>
      </c>
      <c r="AC231" s="141">
        <f t="shared" si="23"/>
        <v>0.3</v>
      </c>
      <c r="AD231" s="141">
        <f t="shared" si="23"/>
        <v>0.3</v>
      </c>
      <c r="AE231" s="141">
        <f t="shared" si="23"/>
        <v>0.3</v>
      </c>
      <c r="AF231" s="141">
        <f t="shared" si="23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21"/>
        <v>0.4</v>
      </c>
      <c r="C232" s="129">
        <v>0.4</v>
      </c>
      <c r="D232" s="129">
        <f t="shared" si="22"/>
        <v>0.4</v>
      </c>
      <c r="E232" s="129">
        <f t="shared" si="22"/>
        <v>0.4</v>
      </c>
      <c r="F232" s="129">
        <f t="shared" si="22"/>
        <v>0.4</v>
      </c>
      <c r="G232" s="129">
        <f t="shared" si="22"/>
        <v>0.4</v>
      </c>
      <c r="H232" s="129">
        <f t="shared" si="22"/>
        <v>0.4</v>
      </c>
      <c r="I232" s="129">
        <f t="shared" si="22"/>
        <v>0.4</v>
      </c>
      <c r="J232" s="129">
        <f t="shared" si="22"/>
        <v>0.4</v>
      </c>
      <c r="K232" s="129">
        <f t="shared" si="22"/>
        <v>0.4</v>
      </c>
      <c r="L232" s="129">
        <f t="shared" si="22"/>
        <v>0.4</v>
      </c>
      <c r="M232" s="129">
        <f t="shared" si="22"/>
        <v>0.4</v>
      </c>
      <c r="N232" s="129">
        <f t="shared" si="22"/>
        <v>0.4</v>
      </c>
      <c r="O232" s="129">
        <f t="shared" si="22"/>
        <v>0.4</v>
      </c>
      <c r="P232" s="129">
        <f t="shared" si="22"/>
        <v>0.4</v>
      </c>
      <c r="Q232" s="129">
        <f t="shared" si="22"/>
        <v>0.4</v>
      </c>
      <c r="R232" s="129">
        <f t="shared" si="22"/>
        <v>0.4</v>
      </c>
      <c r="S232" s="129">
        <f t="shared" si="22"/>
        <v>0.4</v>
      </c>
      <c r="T232" s="129">
        <f t="shared" si="23"/>
        <v>0.4</v>
      </c>
      <c r="U232" s="129">
        <f t="shared" si="23"/>
        <v>0.4</v>
      </c>
      <c r="V232" s="129">
        <f t="shared" si="23"/>
        <v>0.4</v>
      </c>
      <c r="W232" s="129">
        <f t="shared" si="23"/>
        <v>0.4</v>
      </c>
      <c r="X232" s="129">
        <f t="shared" si="23"/>
        <v>0.4</v>
      </c>
      <c r="Y232" s="129">
        <f t="shared" si="23"/>
        <v>0.4</v>
      </c>
      <c r="Z232" s="129">
        <f t="shared" si="23"/>
        <v>0.4</v>
      </c>
      <c r="AA232" s="129">
        <f t="shared" si="23"/>
        <v>0.4</v>
      </c>
      <c r="AB232" s="129">
        <f t="shared" si="23"/>
        <v>0.4</v>
      </c>
      <c r="AC232" s="129">
        <f t="shared" si="23"/>
        <v>0.4</v>
      </c>
      <c r="AD232" s="129">
        <f t="shared" si="23"/>
        <v>0.4</v>
      </c>
      <c r="AE232" s="129">
        <f t="shared" si="23"/>
        <v>0.4</v>
      </c>
      <c r="AF232" s="129">
        <f t="shared" si="23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21"/>
        <v>1.5</v>
      </c>
      <c r="C233" s="129">
        <v>1.5</v>
      </c>
      <c r="D233" s="129">
        <f t="shared" si="22"/>
        <v>1.5</v>
      </c>
      <c r="E233" s="129">
        <f t="shared" si="22"/>
        <v>1.5</v>
      </c>
      <c r="F233" s="129">
        <f t="shared" si="22"/>
        <v>1.5</v>
      </c>
      <c r="G233" s="129">
        <f t="shared" si="22"/>
        <v>1.5</v>
      </c>
      <c r="H233" s="129">
        <f t="shared" si="22"/>
        <v>1.5</v>
      </c>
      <c r="I233" s="129">
        <f t="shared" si="22"/>
        <v>1.5</v>
      </c>
      <c r="J233" s="129">
        <f t="shared" si="22"/>
        <v>1.5</v>
      </c>
      <c r="K233" s="129">
        <f t="shared" si="22"/>
        <v>1.5</v>
      </c>
      <c r="L233" s="129">
        <f t="shared" si="22"/>
        <v>1.5</v>
      </c>
      <c r="M233" s="129">
        <f t="shared" si="22"/>
        <v>1.5</v>
      </c>
      <c r="N233" s="129">
        <f t="shared" si="22"/>
        <v>1.5</v>
      </c>
      <c r="O233" s="129">
        <f t="shared" si="22"/>
        <v>1.5</v>
      </c>
      <c r="P233" s="129">
        <f t="shared" si="22"/>
        <v>1.5</v>
      </c>
      <c r="Q233" s="129">
        <f t="shared" si="22"/>
        <v>1.5</v>
      </c>
      <c r="R233" s="129">
        <f t="shared" si="22"/>
        <v>1.5</v>
      </c>
      <c r="S233" s="129">
        <f t="shared" si="22"/>
        <v>1.5</v>
      </c>
      <c r="T233" s="129">
        <f t="shared" si="23"/>
        <v>1.5</v>
      </c>
      <c r="U233" s="129">
        <f t="shared" si="23"/>
        <v>1.5</v>
      </c>
      <c r="V233" s="129">
        <f t="shared" si="23"/>
        <v>1.5</v>
      </c>
      <c r="W233" s="129">
        <f t="shared" si="23"/>
        <v>1.5</v>
      </c>
      <c r="X233" s="129">
        <f t="shared" si="23"/>
        <v>1.5</v>
      </c>
      <c r="Y233" s="129">
        <f t="shared" si="23"/>
        <v>1.5</v>
      </c>
      <c r="Z233" s="129">
        <f t="shared" si="23"/>
        <v>1.5</v>
      </c>
      <c r="AA233" s="129">
        <f t="shared" si="23"/>
        <v>1.5</v>
      </c>
      <c r="AB233" s="129">
        <f t="shared" si="23"/>
        <v>1.5</v>
      </c>
      <c r="AC233" s="129">
        <f t="shared" si="23"/>
        <v>1.5</v>
      </c>
      <c r="AD233" s="129">
        <f t="shared" si="23"/>
        <v>1.5</v>
      </c>
      <c r="AE233" s="129">
        <f t="shared" si="23"/>
        <v>1.5</v>
      </c>
      <c r="AF233" s="129">
        <f t="shared" si="23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21"/>
        <v>0.3</v>
      </c>
      <c r="C234" s="129">
        <v>0.3</v>
      </c>
      <c r="D234" s="129">
        <f t="shared" si="22"/>
        <v>0.3</v>
      </c>
      <c r="E234" s="129">
        <f t="shared" si="22"/>
        <v>0.3</v>
      </c>
      <c r="F234" s="129">
        <f t="shared" si="22"/>
        <v>0.3</v>
      </c>
      <c r="G234" s="129">
        <f t="shared" si="22"/>
        <v>0.3</v>
      </c>
      <c r="H234" s="129">
        <f t="shared" si="22"/>
        <v>0.3</v>
      </c>
      <c r="I234" s="129">
        <f t="shared" si="22"/>
        <v>0.3</v>
      </c>
      <c r="J234" s="129">
        <f t="shared" si="22"/>
        <v>0.3</v>
      </c>
      <c r="K234" s="129">
        <f t="shared" si="22"/>
        <v>0.3</v>
      </c>
      <c r="L234" s="129">
        <f t="shared" si="22"/>
        <v>0.3</v>
      </c>
      <c r="M234" s="129">
        <f t="shared" si="22"/>
        <v>0.3</v>
      </c>
      <c r="N234" s="129">
        <f t="shared" si="22"/>
        <v>0.3</v>
      </c>
      <c r="O234" s="129">
        <f t="shared" si="22"/>
        <v>0.3</v>
      </c>
      <c r="P234" s="129">
        <f t="shared" si="22"/>
        <v>0.3</v>
      </c>
      <c r="Q234" s="129">
        <f t="shared" si="22"/>
        <v>0.3</v>
      </c>
      <c r="R234" s="129">
        <f t="shared" si="22"/>
        <v>0.3</v>
      </c>
      <c r="S234" s="129">
        <f t="shared" si="22"/>
        <v>0.3</v>
      </c>
      <c r="T234" s="129">
        <f t="shared" si="23"/>
        <v>0.3</v>
      </c>
      <c r="U234" s="129">
        <f t="shared" si="23"/>
        <v>0.3</v>
      </c>
      <c r="V234" s="129">
        <f t="shared" si="23"/>
        <v>0.3</v>
      </c>
      <c r="W234" s="129">
        <f t="shared" si="23"/>
        <v>0.3</v>
      </c>
      <c r="X234" s="129">
        <f t="shared" si="23"/>
        <v>0.3</v>
      </c>
      <c r="Y234" s="129">
        <f t="shared" si="23"/>
        <v>0.3</v>
      </c>
      <c r="Z234" s="129">
        <f t="shared" si="23"/>
        <v>0.3</v>
      </c>
      <c r="AA234" s="129">
        <f t="shared" si="23"/>
        <v>0.3</v>
      </c>
      <c r="AB234" s="129">
        <f t="shared" si="23"/>
        <v>0.3</v>
      </c>
      <c r="AC234" s="129">
        <f t="shared" si="23"/>
        <v>0.3</v>
      </c>
      <c r="AD234" s="129">
        <f t="shared" si="23"/>
        <v>0.3</v>
      </c>
      <c r="AE234" s="129">
        <f t="shared" si="23"/>
        <v>0.3</v>
      </c>
      <c r="AF234" s="129">
        <f t="shared" si="23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21"/>
        <v>0.4</v>
      </c>
      <c r="C235" s="129">
        <v>0.4</v>
      </c>
      <c r="D235" s="129">
        <f t="shared" si="22"/>
        <v>0.4</v>
      </c>
      <c r="E235" s="129">
        <f t="shared" si="22"/>
        <v>0.4</v>
      </c>
      <c r="F235" s="129">
        <f t="shared" si="22"/>
        <v>0.4</v>
      </c>
      <c r="G235" s="129">
        <f t="shared" si="22"/>
        <v>0.4</v>
      </c>
      <c r="H235" s="129">
        <f t="shared" si="22"/>
        <v>0.4</v>
      </c>
      <c r="I235" s="129">
        <f t="shared" si="22"/>
        <v>0.4</v>
      </c>
      <c r="J235" s="129">
        <f t="shared" si="22"/>
        <v>0.4</v>
      </c>
      <c r="K235" s="129">
        <f t="shared" si="22"/>
        <v>0.4</v>
      </c>
      <c r="L235" s="129">
        <f t="shared" si="22"/>
        <v>0.4</v>
      </c>
      <c r="M235" s="129">
        <f t="shared" si="22"/>
        <v>0.4</v>
      </c>
      <c r="N235" s="129">
        <f t="shared" si="22"/>
        <v>0.4</v>
      </c>
      <c r="O235" s="129">
        <f t="shared" si="22"/>
        <v>0.4</v>
      </c>
      <c r="P235" s="129">
        <f t="shared" si="22"/>
        <v>0.4</v>
      </c>
      <c r="Q235" s="129">
        <f t="shared" si="22"/>
        <v>0.4</v>
      </c>
      <c r="R235" s="129">
        <f t="shared" si="22"/>
        <v>0.4</v>
      </c>
      <c r="S235" s="129">
        <f t="shared" si="22"/>
        <v>0.4</v>
      </c>
      <c r="T235" s="129">
        <f t="shared" si="23"/>
        <v>0.4</v>
      </c>
      <c r="U235" s="129">
        <f t="shared" si="23"/>
        <v>0.4</v>
      </c>
      <c r="V235" s="129">
        <f t="shared" si="23"/>
        <v>0.4</v>
      </c>
      <c r="W235" s="129">
        <f t="shared" si="23"/>
        <v>0.4</v>
      </c>
      <c r="X235" s="129">
        <f t="shared" si="23"/>
        <v>0.4</v>
      </c>
      <c r="Y235" s="129">
        <f t="shared" si="23"/>
        <v>0.4</v>
      </c>
      <c r="Z235" s="129">
        <f t="shared" si="23"/>
        <v>0.4</v>
      </c>
      <c r="AA235" s="129">
        <f t="shared" si="23"/>
        <v>0.4</v>
      </c>
      <c r="AB235" s="129">
        <f t="shared" si="23"/>
        <v>0.4</v>
      </c>
      <c r="AC235" s="129">
        <f t="shared" si="23"/>
        <v>0.4</v>
      </c>
      <c r="AD235" s="129">
        <f t="shared" si="23"/>
        <v>0.4</v>
      </c>
      <c r="AE235" s="129">
        <f t="shared" si="23"/>
        <v>0.4</v>
      </c>
      <c r="AF235" s="129">
        <f t="shared" si="23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21"/>
        <v>0.64</v>
      </c>
      <c r="C236" s="133">
        <v>0.64</v>
      </c>
      <c r="D236" s="133">
        <f t="shared" si="22"/>
        <v>0.64</v>
      </c>
      <c r="E236" s="133">
        <f t="shared" si="22"/>
        <v>0.64</v>
      </c>
      <c r="F236" s="133">
        <f t="shared" si="22"/>
        <v>0.64</v>
      </c>
      <c r="G236" s="133">
        <f t="shared" si="22"/>
        <v>0.64</v>
      </c>
      <c r="H236" s="133">
        <f t="shared" si="22"/>
        <v>0.64</v>
      </c>
      <c r="I236" s="133">
        <f t="shared" si="22"/>
        <v>0.64</v>
      </c>
      <c r="J236" s="133">
        <f t="shared" si="22"/>
        <v>0.64</v>
      </c>
      <c r="K236" s="133">
        <f t="shared" si="22"/>
        <v>0.64</v>
      </c>
      <c r="L236" s="133">
        <f t="shared" si="22"/>
        <v>0.64</v>
      </c>
      <c r="M236" s="133">
        <f t="shared" si="22"/>
        <v>0.64</v>
      </c>
      <c r="N236" s="133">
        <f t="shared" si="22"/>
        <v>0.64</v>
      </c>
      <c r="O236" s="133">
        <f t="shared" si="22"/>
        <v>0.64</v>
      </c>
      <c r="P236" s="133">
        <f t="shared" si="22"/>
        <v>0.64</v>
      </c>
      <c r="Q236" s="133">
        <f t="shared" si="22"/>
        <v>0.64</v>
      </c>
      <c r="R236" s="133">
        <f t="shared" si="22"/>
        <v>0.64</v>
      </c>
      <c r="S236" s="133">
        <f t="shared" si="22"/>
        <v>0.64</v>
      </c>
      <c r="T236" s="133">
        <f t="shared" si="23"/>
        <v>0.64</v>
      </c>
      <c r="U236" s="133">
        <f t="shared" si="23"/>
        <v>0.64</v>
      </c>
      <c r="V236" s="133">
        <f t="shared" si="23"/>
        <v>0.64</v>
      </c>
      <c r="W236" s="133">
        <f t="shared" si="23"/>
        <v>0.64</v>
      </c>
      <c r="X236" s="133">
        <f t="shared" si="23"/>
        <v>0.64</v>
      </c>
      <c r="Y236" s="133">
        <f t="shared" si="23"/>
        <v>0.64</v>
      </c>
      <c r="Z236" s="133">
        <f t="shared" si="23"/>
        <v>0.64</v>
      </c>
      <c r="AA236" s="133">
        <f t="shared" si="23"/>
        <v>0.64</v>
      </c>
      <c r="AB236" s="133">
        <f t="shared" si="23"/>
        <v>0.64</v>
      </c>
      <c r="AC236" s="133">
        <f t="shared" si="23"/>
        <v>0.64</v>
      </c>
      <c r="AD236" s="133">
        <f t="shared" si="23"/>
        <v>0.64</v>
      </c>
      <c r="AE236" s="133">
        <f t="shared" si="23"/>
        <v>0.64</v>
      </c>
      <c r="AF236" s="133">
        <f t="shared" si="23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24">SUM(B231:B236)</f>
        <v>3.54</v>
      </c>
      <c r="C237" s="137">
        <f t="shared" si="24"/>
        <v>3.54</v>
      </c>
      <c r="D237" s="137">
        <f t="shared" si="24"/>
        <v>3.54</v>
      </c>
      <c r="E237" s="137">
        <f t="shared" si="24"/>
        <v>3.54</v>
      </c>
      <c r="F237" s="137">
        <f t="shared" si="24"/>
        <v>3.54</v>
      </c>
      <c r="G237" s="137">
        <f t="shared" si="24"/>
        <v>3.54</v>
      </c>
      <c r="H237" s="137">
        <f t="shared" si="24"/>
        <v>3.54</v>
      </c>
      <c r="I237" s="137">
        <f t="shared" si="24"/>
        <v>3.54</v>
      </c>
      <c r="J237" s="137">
        <f t="shared" si="24"/>
        <v>3.54</v>
      </c>
      <c r="K237" s="137">
        <f t="shared" si="24"/>
        <v>3.54</v>
      </c>
      <c r="L237" s="137">
        <f t="shared" si="24"/>
        <v>3.54</v>
      </c>
      <c r="M237" s="137">
        <f t="shared" si="24"/>
        <v>3.54</v>
      </c>
      <c r="N237" s="137">
        <f t="shared" si="24"/>
        <v>3.54</v>
      </c>
      <c r="O237" s="137">
        <f t="shared" si="24"/>
        <v>3.54</v>
      </c>
      <c r="P237" s="137">
        <f t="shared" si="24"/>
        <v>3.54</v>
      </c>
      <c r="Q237" s="137">
        <f t="shared" si="24"/>
        <v>3.54</v>
      </c>
      <c r="R237" s="137">
        <f t="shared" si="24"/>
        <v>3.54</v>
      </c>
      <c r="S237" s="137">
        <f t="shared" si="24"/>
        <v>3.54</v>
      </c>
      <c r="T237" s="137">
        <f t="shared" si="24"/>
        <v>3.54</v>
      </c>
      <c r="U237" s="137">
        <f t="shared" si="24"/>
        <v>3.54</v>
      </c>
      <c r="V237" s="137">
        <f t="shared" si="24"/>
        <v>3.54</v>
      </c>
      <c r="W237" s="137">
        <f t="shared" si="24"/>
        <v>3.54</v>
      </c>
      <c r="X237" s="137">
        <f t="shared" si="24"/>
        <v>3.54</v>
      </c>
      <c r="Y237" s="137">
        <f t="shared" si="24"/>
        <v>3.54</v>
      </c>
      <c r="Z237" s="137">
        <f t="shared" si="24"/>
        <v>3.54</v>
      </c>
      <c r="AA237" s="137">
        <f t="shared" si="24"/>
        <v>3.54</v>
      </c>
      <c r="AB237" s="137">
        <f t="shared" si="24"/>
        <v>3.54</v>
      </c>
      <c r="AC237" s="137">
        <f t="shared" si="24"/>
        <v>3.54</v>
      </c>
      <c r="AD237" s="137">
        <f t="shared" si="24"/>
        <v>3.54</v>
      </c>
      <c r="AE237" s="137">
        <f t="shared" si="24"/>
        <v>3.54</v>
      </c>
      <c r="AF237" s="137">
        <f t="shared" si="24"/>
        <v>3.54</v>
      </c>
      <c r="AG237" s="146">
        <f t="shared" si="24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1809.94</v>
      </c>
      <c r="C246" s="162">
        <f>INDEX(G9:N9,1,MATCH(MAX(G91:N91),G91:N91,0))</f>
        <v>0.3125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2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2080/09/2)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2080/09/2)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25">B91</f>
        <v>1138.1400000000001</v>
      </c>
      <c r="U251" s="171">
        <f t="shared" si="25"/>
        <v>1137.04</v>
      </c>
      <c r="V251" s="171">
        <f t="shared" si="25"/>
        <v>1114.3400000000001</v>
      </c>
      <c r="W251" s="171">
        <f t="shared" si="25"/>
        <v>1105.1400000000001</v>
      </c>
      <c r="X251" s="171">
        <f t="shared" si="25"/>
        <v>1121.2400000000002</v>
      </c>
      <c r="Y251" s="171">
        <f t="shared" si="25"/>
        <v>1198.1400000000001</v>
      </c>
      <c r="Z251" s="171">
        <f t="shared" si="25"/>
        <v>1274.54</v>
      </c>
      <c r="AA251" s="171">
        <f t="shared" si="25"/>
        <v>1400.14</v>
      </c>
      <c r="AB251" s="171">
        <f t="shared" si="25"/>
        <v>1559.54</v>
      </c>
      <c r="AC251" s="171">
        <f t="shared" si="25"/>
        <v>1692.44</v>
      </c>
      <c r="AD251" s="171">
        <f t="shared" si="25"/>
        <v>1809.94</v>
      </c>
      <c r="AE251" s="171">
        <f t="shared" si="25"/>
        <v>1763.54</v>
      </c>
      <c r="AF251" s="171">
        <f t="shared" si="25"/>
        <v>1590.44</v>
      </c>
      <c r="AG251" s="171">
        <f t="shared" si="25"/>
        <v>1575.44</v>
      </c>
      <c r="AH251" s="171">
        <f t="shared" si="25"/>
        <v>1539.44</v>
      </c>
      <c r="AI251" s="171">
        <f t="shared" si="25"/>
        <v>1363.86</v>
      </c>
      <c r="AJ251" s="171">
        <f t="shared" si="25"/>
        <v>1292.46</v>
      </c>
      <c r="AK251" s="171">
        <f t="shared" si="25"/>
        <v>1303.56</v>
      </c>
      <c r="AL251" s="171">
        <f t="shared" si="25"/>
        <v>1319.26</v>
      </c>
      <c r="AM251" s="171">
        <f t="shared" si="25"/>
        <v>1360.56</v>
      </c>
      <c r="AN251" s="171">
        <f t="shared" si="25"/>
        <v>1481.5599999999997</v>
      </c>
      <c r="AO251" s="171">
        <f t="shared" si="25"/>
        <v>1567.0599999999997</v>
      </c>
      <c r="AP251" s="171">
        <f t="shared" si="25"/>
        <v>1651.8599999999997</v>
      </c>
      <c r="AQ251" s="171">
        <f t="shared" si="25"/>
        <v>1595.6599999999999</v>
      </c>
      <c r="AR251" s="171">
        <f t="shared" si="25"/>
        <v>1478.26</v>
      </c>
      <c r="AS251" s="171">
        <f t="shared" si="25"/>
        <v>1525.6599999999999</v>
      </c>
      <c r="AT251" s="171">
        <f t="shared" si="25"/>
        <v>1483.9599999999998</v>
      </c>
      <c r="AU251" s="171">
        <f t="shared" si="25"/>
        <v>1377.26</v>
      </c>
      <c r="AV251" s="171">
        <f t="shared" si="25"/>
        <v>1258.6599999999999</v>
      </c>
      <c r="AW251" s="171">
        <f t="shared" si="25"/>
        <v>1096.76</v>
      </c>
      <c r="AX251" s="171">
        <f t="shared" si="25"/>
        <v>1066.76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26">C236</f>
        <v>0.64</v>
      </c>
      <c r="C272" s="174">
        <f t="shared" si="26"/>
        <v>0.64</v>
      </c>
      <c r="D272" s="174">
        <f t="shared" si="26"/>
        <v>0.64</v>
      </c>
      <c r="E272" s="174">
        <f t="shared" si="26"/>
        <v>0.64</v>
      </c>
      <c r="F272" s="174">
        <f t="shared" si="26"/>
        <v>0.64</v>
      </c>
      <c r="G272" s="174">
        <f t="shared" si="26"/>
        <v>0.64</v>
      </c>
      <c r="H272" s="174">
        <f t="shared" si="26"/>
        <v>0.64</v>
      </c>
      <c r="I272" s="174">
        <f t="shared" si="26"/>
        <v>0.64</v>
      </c>
      <c r="J272" s="174">
        <f t="shared" si="26"/>
        <v>0.64</v>
      </c>
      <c r="K272" s="174">
        <f t="shared" si="26"/>
        <v>0.64</v>
      </c>
      <c r="L272" s="174">
        <f t="shared" si="26"/>
        <v>0.64</v>
      </c>
      <c r="M272" s="174">
        <f t="shared" si="26"/>
        <v>0.64</v>
      </c>
      <c r="N272" s="174">
        <f t="shared" si="26"/>
        <v>0.64</v>
      </c>
      <c r="O272" s="174">
        <f t="shared" si="26"/>
        <v>0.64</v>
      </c>
      <c r="P272" s="174">
        <f t="shared" si="26"/>
        <v>0.64</v>
      </c>
      <c r="Q272" s="174">
        <f t="shared" si="26"/>
        <v>0.64</v>
      </c>
      <c r="R272" s="174">
        <f t="shared" si="26"/>
        <v>0.64</v>
      </c>
      <c r="S272" s="174">
        <f t="shared" si="26"/>
        <v>0.64</v>
      </c>
      <c r="T272" s="174">
        <f t="shared" si="26"/>
        <v>0.64</v>
      </c>
      <c r="U272" s="174">
        <f t="shared" si="26"/>
        <v>0.64</v>
      </c>
      <c r="V272" s="174">
        <f t="shared" si="26"/>
        <v>0.64</v>
      </c>
      <c r="W272" s="174">
        <f t="shared" si="26"/>
        <v>0.64</v>
      </c>
      <c r="X272" s="174">
        <f t="shared" si="26"/>
        <v>0.64</v>
      </c>
      <c r="Y272" s="174">
        <f t="shared" si="26"/>
        <v>0.64</v>
      </c>
      <c r="Z272" s="174">
        <f t="shared" si="26"/>
        <v>0.64</v>
      </c>
      <c r="AA272" s="174">
        <f t="shared" si="26"/>
        <v>0.64</v>
      </c>
      <c r="AB272" s="174">
        <f t="shared" si="26"/>
        <v>0.64</v>
      </c>
      <c r="AC272" s="174">
        <f t="shared" si="26"/>
        <v>0.64</v>
      </c>
      <c r="AD272" s="174">
        <f t="shared" si="26"/>
        <v>0.64</v>
      </c>
      <c r="AE272" s="174">
        <f t="shared" si="26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27">IF(B240&lt;100,"",B240-520)</f>
        <v/>
      </c>
      <c r="C273" s="175" t="str">
        <f t="shared" si="27"/>
        <v/>
      </c>
      <c r="D273" s="175" t="str">
        <f t="shared" si="27"/>
        <v/>
      </c>
      <c r="E273" s="175" t="str">
        <f t="shared" si="27"/>
        <v/>
      </c>
      <c r="F273" s="175" t="str">
        <f t="shared" si="27"/>
        <v/>
      </c>
      <c r="G273" s="175" t="str">
        <f t="shared" si="27"/>
        <v/>
      </c>
      <c r="H273" s="175" t="str">
        <f t="shared" si="27"/>
        <v/>
      </c>
      <c r="I273" s="175" t="str">
        <f t="shared" si="27"/>
        <v/>
      </c>
      <c r="J273" s="175" t="str">
        <f t="shared" si="27"/>
        <v/>
      </c>
      <c r="K273" s="175" t="str">
        <f t="shared" si="27"/>
        <v/>
      </c>
      <c r="L273" s="175" t="str">
        <f t="shared" si="27"/>
        <v/>
      </c>
      <c r="M273" s="175" t="str">
        <f t="shared" si="27"/>
        <v/>
      </c>
      <c r="N273" s="175" t="str">
        <f t="shared" si="27"/>
        <v/>
      </c>
      <c r="O273" s="175" t="str">
        <f t="shared" si="27"/>
        <v/>
      </c>
      <c r="P273" s="175" t="str">
        <f t="shared" si="27"/>
        <v/>
      </c>
      <c r="Q273" s="175" t="str">
        <f t="shared" si="27"/>
        <v/>
      </c>
      <c r="R273" s="175" t="str">
        <f t="shared" si="27"/>
        <v/>
      </c>
      <c r="S273" s="175" t="str">
        <f t="shared" si="27"/>
        <v/>
      </c>
      <c r="T273" s="175" t="str">
        <f t="shared" si="27"/>
        <v/>
      </c>
      <c r="U273" s="175" t="str">
        <f t="shared" si="27"/>
        <v/>
      </c>
      <c r="V273" s="175" t="str">
        <f t="shared" si="27"/>
        <v/>
      </c>
      <c r="W273" s="175" t="str">
        <f t="shared" si="27"/>
        <v/>
      </c>
      <c r="X273" s="175" t="str">
        <f t="shared" si="27"/>
        <v/>
      </c>
      <c r="Y273" s="175" t="str">
        <f t="shared" si="27"/>
        <v/>
      </c>
      <c r="Z273" s="175" t="str">
        <f t="shared" si="27"/>
        <v/>
      </c>
      <c r="AA273" s="175" t="str">
        <f t="shared" si="27"/>
        <v/>
      </c>
      <c r="AB273" s="175" t="str">
        <f t="shared" si="27"/>
        <v/>
      </c>
      <c r="AC273" s="175" t="str">
        <f t="shared" si="27"/>
        <v/>
      </c>
      <c r="AD273" s="175" t="str">
        <f t="shared" si="27"/>
        <v/>
      </c>
      <c r="AE273" s="175" t="str">
        <f t="shared" si="27"/>
        <v/>
      </c>
      <c r="AF273" s="175" t="str">
        <f t="shared" si="27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28">IF(B241&lt;100,"",B241-620)</f>
        <v/>
      </c>
      <c r="C274" s="175" t="str">
        <f t="shared" si="28"/>
        <v/>
      </c>
      <c r="D274" s="175" t="str">
        <f t="shared" si="28"/>
        <v/>
      </c>
      <c r="E274" s="175" t="str">
        <f t="shared" si="28"/>
        <v/>
      </c>
      <c r="F274" s="175" t="str">
        <f t="shared" si="28"/>
        <v/>
      </c>
      <c r="G274" s="175" t="str">
        <f t="shared" si="28"/>
        <v/>
      </c>
      <c r="H274" s="175" t="str">
        <f t="shared" si="28"/>
        <v/>
      </c>
      <c r="I274" s="175" t="str">
        <f t="shared" si="28"/>
        <v/>
      </c>
      <c r="J274" s="175" t="str">
        <f t="shared" si="28"/>
        <v/>
      </c>
      <c r="K274" s="175" t="str">
        <f t="shared" si="28"/>
        <v/>
      </c>
      <c r="L274" s="175" t="str">
        <f t="shared" si="28"/>
        <v/>
      </c>
      <c r="M274" s="175" t="str">
        <f t="shared" si="28"/>
        <v/>
      </c>
      <c r="N274" s="175" t="str">
        <f t="shared" si="28"/>
        <v/>
      </c>
      <c r="O274" s="175" t="str">
        <f t="shared" si="28"/>
        <v/>
      </c>
      <c r="P274" s="175" t="str">
        <f t="shared" si="28"/>
        <v/>
      </c>
      <c r="Q274" s="175" t="str">
        <f t="shared" si="28"/>
        <v/>
      </c>
      <c r="R274" s="175" t="str">
        <f t="shared" si="28"/>
        <v/>
      </c>
      <c r="S274" s="175" t="str">
        <f t="shared" si="28"/>
        <v/>
      </c>
      <c r="T274" s="175" t="str">
        <f t="shared" si="28"/>
        <v/>
      </c>
      <c r="U274" s="175" t="str">
        <f t="shared" si="28"/>
        <v/>
      </c>
      <c r="V274" s="175" t="str">
        <f t="shared" si="28"/>
        <v/>
      </c>
      <c r="W274" s="175" t="str">
        <f t="shared" si="28"/>
        <v/>
      </c>
      <c r="X274" s="175" t="str">
        <f t="shared" si="28"/>
        <v/>
      </c>
      <c r="Y274" s="175" t="str">
        <f t="shared" si="28"/>
        <v/>
      </c>
      <c r="Z274" s="175" t="str">
        <f t="shared" si="28"/>
        <v/>
      </c>
      <c r="AA274" s="175" t="str">
        <f t="shared" si="28"/>
        <v/>
      </c>
      <c r="AB274" s="175" t="str">
        <f t="shared" si="28"/>
        <v/>
      </c>
      <c r="AC274" s="175" t="str">
        <f t="shared" si="28"/>
        <v/>
      </c>
      <c r="AD274" s="175" t="str">
        <f t="shared" si="28"/>
        <v/>
      </c>
      <c r="AE274" s="175" t="str">
        <f t="shared" si="28"/>
        <v/>
      </c>
      <c r="AF274" s="175" t="str">
        <f t="shared" si="28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29">IF(B242&lt;100,"",B242-330)</f>
        <v/>
      </c>
      <c r="C275" s="175" t="str">
        <f t="shared" si="29"/>
        <v/>
      </c>
      <c r="D275" s="175" t="str">
        <f t="shared" si="29"/>
        <v/>
      </c>
      <c r="E275" s="175" t="str">
        <f t="shared" si="29"/>
        <v/>
      </c>
      <c r="F275" s="175" t="str">
        <f t="shared" si="29"/>
        <v/>
      </c>
      <c r="G275" s="175" t="str">
        <f t="shared" si="29"/>
        <v/>
      </c>
      <c r="H275" s="175" t="str">
        <f t="shared" si="29"/>
        <v/>
      </c>
      <c r="I275" s="175" t="str">
        <f t="shared" si="29"/>
        <v/>
      </c>
      <c r="J275" s="175" t="str">
        <f t="shared" si="29"/>
        <v/>
      </c>
      <c r="K275" s="175" t="str">
        <f t="shared" si="29"/>
        <v/>
      </c>
      <c r="L275" s="175" t="str">
        <f t="shared" si="29"/>
        <v/>
      </c>
      <c r="M275" s="175" t="str">
        <f t="shared" si="29"/>
        <v/>
      </c>
      <c r="N275" s="175" t="str">
        <f t="shared" si="29"/>
        <v/>
      </c>
      <c r="O275" s="175" t="str">
        <f t="shared" si="29"/>
        <v/>
      </c>
      <c r="P275" s="175" t="str">
        <f t="shared" si="29"/>
        <v/>
      </c>
      <c r="Q275" s="175" t="str">
        <f t="shared" si="29"/>
        <v/>
      </c>
      <c r="R275" s="175" t="str">
        <f t="shared" si="29"/>
        <v/>
      </c>
      <c r="S275" s="175" t="str">
        <f t="shared" si="29"/>
        <v/>
      </c>
      <c r="T275" s="175" t="str">
        <f t="shared" si="29"/>
        <v/>
      </c>
      <c r="U275" s="175" t="str">
        <f t="shared" si="29"/>
        <v/>
      </c>
      <c r="V275" s="175" t="str">
        <f t="shared" si="29"/>
        <v/>
      </c>
      <c r="W275" s="175" t="str">
        <f t="shared" si="29"/>
        <v/>
      </c>
      <c r="X275" s="175" t="str">
        <f t="shared" si="29"/>
        <v/>
      </c>
      <c r="Y275" s="175" t="str">
        <f t="shared" si="29"/>
        <v/>
      </c>
      <c r="Z275" s="175" t="str">
        <f t="shared" si="29"/>
        <v/>
      </c>
      <c r="AA275" s="175" t="str">
        <f t="shared" si="29"/>
        <v/>
      </c>
      <c r="AB275" s="175" t="str">
        <f t="shared" si="29"/>
        <v/>
      </c>
      <c r="AC275" s="175" t="str">
        <f t="shared" si="29"/>
        <v/>
      </c>
      <c r="AD275" s="175" t="str">
        <f t="shared" si="29"/>
        <v/>
      </c>
      <c r="AE275" s="175" t="str">
        <f t="shared" si="29"/>
        <v/>
      </c>
      <c r="AF275" s="175" t="str">
        <f t="shared" si="29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30">IF(B243&lt;100,"",B243-1500)</f>
        <v/>
      </c>
      <c r="C276" s="175" t="str">
        <f t="shared" si="30"/>
        <v/>
      </c>
      <c r="D276" s="175" t="str">
        <f t="shared" si="30"/>
        <v/>
      </c>
      <c r="E276" s="175" t="str">
        <f t="shared" si="30"/>
        <v/>
      </c>
      <c r="F276" s="175" t="str">
        <f t="shared" si="30"/>
        <v/>
      </c>
      <c r="G276" s="175" t="str">
        <f t="shared" si="30"/>
        <v/>
      </c>
      <c r="H276" s="175" t="str">
        <f t="shared" si="30"/>
        <v/>
      </c>
      <c r="I276" s="175" t="str">
        <f t="shared" si="30"/>
        <v/>
      </c>
      <c r="J276" s="175" t="str">
        <f t="shared" si="30"/>
        <v/>
      </c>
      <c r="K276" s="175" t="str">
        <f t="shared" si="30"/>
        <v/>
      </c>
      <c r="L276" s="175" t="str">
        <f t="shared" si="30"/>
        <v/>
      </c>
      <c r="M276" s="175" t="str">
        <f t="shared" si="30"/>
        <v/>
      </c>
      <c r="N276" s="175" t="str">
        <f t="shared" si="30"/>
        <v/>
      </c>
      <c r="O276" s="175" t="str">
        <f t="shared" si="30"/>
        <v/>
      </c>
      <c r="P276" s="175" t="str">
        <f t="shared" si="30"/>
        <v/>
      </c>
      <c r="Q276" s="175" t="str">
        <f t="shared" si="30"/>
        <v/>
      </c>
      <c r="R276" s="175" t="str">
        <f t="shared" si="30"/>
        <v/>
      </c>
      <c r="S276" s="175" t="str">
        <f t="shared" si="30"/>
        <v/>
      </c>
      <c r="T276" s="175" t="str">
        <f t="shared" si="30"/>
        <v/>
      </c>
      <c r="U276" s="175" t="str">
        <f t="shared" si="30"/>
        <v/>
      </c>
      <c r="V276" s="175" t="str">
        <f t="shared" si="30"/>
        <v/>
      </c>
      <c r="W276" s="175" t="str">
        <f t="shared" si="30"/>
        <v/>
      </c>
      <c r="X276" s="175" t="str">
        <f t="shared" si="30"/>
        <v/>
      </c>
      <c r="Y276" s="175" t="str">
        <f t="shared" si="30"/>
        <v/>
      </c>
      <c r="Z276" s="175" t="str">
        <f t="shared" si="30"/>
        <v/>
      </c>
      <c r="AA276" s="175" t="str">
        <f t="shared" si="30"/>
        <v/>
      </c>
      <c r="AB276" s="175" t="str">
        <f t="shared" si="30"/>
        <v/>
      </c>
      <c r="AC276" s="175" t="str">
        <f t="shared" si="30"/>
        <v/>
      </c>
      <c r="AD276" s="175" t="str">
        <f t="shared" si="30"/>
        <v/>
      </c>
      <c r="AE276" s="175" t="str">
        <f t="shared" si="30"/>
        <v/>
      </c>
      <c r="AF276" s="175" t="str">
        <f t="shared" si="30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Y9:Y10"/>
    <mergeCell ref="Z9:Z10"/>
    <mergeCell ref="AA9:AA10"/>
    <mergeCell ref="P9:P10"/>
    <mergeCell ref="Q9:Q10"/>
    <mergeCell ref="AN84:AN85"/>
    <mergeCell ref="AB9:AB10"/>
    <mergeCell ref="AC9:AC10"/>
    <mergeCell ref="AD9:AD10"/>
    <mergeCell ref="AE9:AE10"/>
    <mergeCell ref="AF9:AF10"/>
    <mergeCell ref="AG9:A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V9:V10"/>
    <mergeCell ref="W9:W10"/>
    <mergeCell ref="X9:X10"/>
    <mergeCell ref="C9:C10"/>
    <mergeCell ref="D9:D10"/>
    <mergeCell ref="E9:E10"/>
    <mergeCell ref="F9:F10"/>
    <mergeCell ref="G9:G10"/>
    <mergeCell ref="A248:B248"/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</mergeCells>
  <conditionalFormatting sqref="A11:A114 A123:A238">
    <cfRule type="expression" dxfId="3604" priority="68">
      <formula>$AH11=0</formula>
    </cfRule>
  </conditionalFormatting>
  <conditionalFormatting sqref="B8 M8 S8 AB8">
    <cfRule type="expression" dxfId="3603" priority="120">
      <formula>AND(C$9&gt;=8/24,C$9&lt;14/24)</formula>
    </cfRule>
    <cfRule type="expression" dxfId="3602" priority="119">
      <formula>AND(C$9&gt;=14/24,C$9&lt;20/24)</formula>
    </cfRule>
    <cfRule type="expression" dxfId="3601" priority="121">
      <formula>C$9&lt;8/24</formula>
    </cfRule>
  </conditionalFormatting>
  <conditionalFormatting sqref="B54:C54">
    <cfRule type="expression" dxfId="3600" priority="42">
      <formula>B$9&gt;=20/24</formula>
    </cfRule>
    <cfRule type="expression" dxfId="3599" priority="43">
      <formula>AND(B$9&gt;=14/24,B$9&lt;20/24)</formula>
    </cfRule>
    <cfRule type="expression" dxfId="3598" priority="44">
      <formula>AND(B$9&gt;=8/24,B$9&lt;14/24)</formula>
    </cfRule>
    <cfRule type="expression" dxfId="3597" priority="45">
      <formula>B$9&lt;8/24</formula>
    </cfRule>
  </conditionalFormatting>
  <conditionalFormatting sqref="B54:C66">
    <cfRule type="expression" dxfId="3596" priority="37">
      <formula>B54&gt;$AG54</formula>
    </cfRule>
  </conditionalFormatting>
  <conditionalFormatting sqref="B55:D59 E58:E59">
    <cfRule type="expression" dxfId="3595" priority="67">
      <formula>B$9&lt;8/24</formula>
    </cfRule>
    <cfRule type="expression" dxfId="3594" priority="66">
      <formula>AND(B$9&gt;=8/24,B$9&lt;14/24)</formula>
    </cfRule>
    <cfRule type="expression" dxfId="3593" priority="65">
      <formula>AND(B$9&gt;=14/24,B$9&lt;20/24)</formula>
    </cfRule>
    <cfRule type="expression" dxfId="3592" priority="64">
      <formula>B$9&gt;=20/24</formula>
    </cfRule>
  </conditionalFormatting>
  <conditionalFormatting sqref="B60:W60">
    <cfRule type="expression" dxfId="3591" priority="55">
      <formula>B$9&gt;=20/24</formula>
    </cfRule>
    <cfRule type="expression" dxfId="3590" priority="58">
      <formula>B$9&lt;8/24</formula>
    </cfRule>
    <cfRule type="expression" dxfId="3589" priority="57">
      <formula>AND(B$9&gt;=8/24,B$9&lt;14/24)</formula>
    </cfRule>
    <cfRule type="expression" dxfId="3588" priority="56">
      <formula>AND(B$9&gt;=14/24,B$9&lt;20/24)</formula>
    </cfRule>
  </conditionalFormatting>
  <conditionalFormatting sqref="B9:AF45">
    <cfRule type="expression" dxfId="3587" priority="29">
      <formula>AND(B$9&gt;=8/24,B$9&lt;14/24)</formula>
    </cfRule>
    <cfRule type="expression" dxfId="3586" priority="28">
      <formula>AND(B$9&gt;=14/24,B$9&lt;20/24)</formula>
    </cfRule>
    <cfRule type="expression" dxfId="3585" priority="27">
      <formula>B$9&gt;=20/24</formula>
    </cfRule>
    <cfRule type="expression" dxfId="3584" priority="30">
      <formula>B$9&lt;8/24</formula>
    </cfRule>
  </conditionalFormatting>
  <conditionalFormatting sqref="B11:AF46">
    <cfRule type="expression" dxfId="3583" priority="26">
      <formula>B11&gt;$AG11</formula>
    </cfRule>
  </conditionalFormatting>
  <conditionalFormatting sqref="B46:AF46">
    <cfRule type="expression" dxfId="3582" priority="24">
      <formula>AND(B$9&gt;=8/24,B$9&lt;14/24)</formula>
    </cfRule>
    <cfRule type="expression" dxfId="3581" priority="25">
      <formula>B$9&lt;8/24</formula>
    </cfRule>
    <cfRule type="expression" dxfId="3580" priority="23">
      <formula>AND(B$9&gt;=14/24,B$9&lt;20/24)</formula>
    </cfRule>
    <cfRule type="expression" dxfId="3579" priority="22">
      <formula>B$9&gt;=20/24</formula>
    </cfRule>
  </conditionalFormatting>
  <conditionalFormatting sqref="B47:AF47">
    <cfRule type="expression" dxfId="3578" priority="36">
      <formula>B47&gt;$AG47</formula>
    </cfRule>
  </conditionalFormatting>
  <conditionalFormatting sqref="B47:AF49">
    <cfRule type="expression" dxfId="3577" priority="32">
      <formula>B$9&gt;=20/24</formula>
    </cfRule>
    <cfRule type="expression" dxfId="3576" priority="33">
      <formula>AND(B$9&gt;=14/24,B$9&lt;20/24)</formula>
    </cfRule>
    <cfRule type="expression" dxfId="3575" priority="34">
      <formula>AND(B$9&gt;=8/24,B$9&lt;14/24)</formula>
    </cfRule>
    <cfRule type="expression" dxfId="3574" priority="35">
      <formula>B$9&lt;8/24</formula>
    </cfRule>
  </conditionalFormatting>
  <conditionalFormatting sqref="B48:AF53">
    <cfRule type="expression" dxfId="3573" priority="31">
      <formula>B48&gt;$AG48</formula>
    </cfRule>
  </conditionalFormatting>
  <conditionalFormatting sqref="B51:AF53">
    <cfRule type="expression" dxfId="3572" priority="51">
      <formula>B$9&gt;=20/24</formula>
    </cfRule>
    <cfRule type="expression" dxfId="3571" priority="52">
      <formula>AND(B$9&gt;=14/24,B$9&lt;20/24)</formula>
    </cfRule>
    <cfRule type="expression" dxfId="3570" priority="54">
      <formula>B$9&lt;8/24</formula>
    </cfRule>
    <cfRule type="expression" dxfId="3569" priority="53">
      <formula>AND(B$9&gt;=8/24,B$9&lt;14/24)</formula>
    </cfRule>
  </conditionalFormatting>
  <conditionalFormatting sqref="B61:AF66">
    <cfRule type="expression" dxfId="3568" priority="41">
      <formula>B$9&lt;8/24</formula>
    </cfRule>
    <cfRule type="expression" dxfId="3567" priority="38">
      <formula>B$9&gt;=20/24</formula>
    </cfRule>
    <cfRule type="expression" dxfId="3566" priority="39">
      <formula>AND(B$9&gt;=14/24,B$9&lt;20/24)</formula>
    </cfRule>
    <cfRule type="expression" dxfId="3565" priority="40">
      <formula>AND(B$9&gt;=8/24,B$9&lt;14/24)</formula>
    </cfRule>
  </conditionalFormatting>
  <conditionalFormatting sqref="B69:AF71">
    <cfRule type="expression" dxfId="3564" priority="62">
      <formula>AND(B$9&gt;=8/24,B$9&lt;14/24)</formula>
    </cfRule>
    <cfRule type="expression" dxfId="3563" priority="63">
      <formula>B$9&lt;8/24</formula>
    </cfRule>
    <cfRule type="expression" dxfId="3562" priority="59">
      <formula>B69&gt;$AG69</formula>
    </cfRule>
    <cfRule type="expression" dxfId="3561" priority="60">
      <formula>B$9&gt;=20/24</formula>
    </cfRule>
    <cfRule type="expression" dxfId="3560" priority="61">
      <formula>AND(B$9&gt;=14/24,B$9&lt;20/24)</formula>
    </cfRule>
  </conditionalFormatting>
  <conditionalFormatting sqref="B73:AF91">
    <cfRule type="expression" dxfId="3559" priority="8">
      <formula>B$9&lt;8/24</formula>
    </cfRule>
    <cfRule type="expression" dxfId="3558" priority="5">
      <formula>B$9&gt;=20/24</formula>
    </cfRule>
    <cfRule type="expression" dxfId="3557" priority="6">
      <formula>AND(B$9&gt;=14/24,B$9&lt;20/24)</formula>
    </cfRule>
    <cfRule type="expression" dxfId="3556" priority="7">
      <formula>AND(B$9&gt;=8/24,B$9&lt;14/24)</formula>
    </cfRule>
  </conditionalFormatting>
  <conditionalFormatting sqref="B93:AF109">
    <cfRule type="expression" dxfId="3555" priority="3">
      <formula>AND(B$9&gt;=8/24,B$9&lt;14/24)</formula>
    </cfRule>
    <cfRule type="expression" dxfId="3554" priority="4">
      <formula>B$9&lt;8/24</formula>
    </cfRule>
    <cfRule type="expression" dxfId="3553" priority="2">
      <formula>AND(B$9&gt;=14/24,B$9&lt;20/24)</formula>
    </cfRule>
    <cfRule type="expression" dxfId="3552" priority="1">
      <formula>B$9&gt;=20/24</formula>
    </cfRule>
  </conditionalFormatting>
  <conditionalFormatting sqref="B111:AF122">
    <cfRule type="expression" dxfId="3551" priority="18">
      <formula>B$9&gt;=20/24</formula>
    </cfRule>
    <cfRule type="expression" dxfId="3550" priority="21">
      <formula>B$9&lt;8/24</formula>
    </cfRule>
    <cfRule type="expression" dxfId="3549" priority="20">
      <formula>AND(B$9&gt;=8/24,B$9&lt;14/24)</formula>
    </cfRule>
    <cfRule type="expression" dxfId="3548" priority="19">
      <formula>AND(B$9&gt;=14/24,B$9&lt;20/24)</formula>
    </cfRule>
  </conditionalFormatting>
  <conditionalFormatting sqref="B229:AF229 B231:B237 D231:AF237 U250:AF250">
    <cfRule type="expression" dxfId="3547" priority="113">
      <formula>AND(B$9&gt;=14/24,B$9&lt;20/24)</formula>
    </cfRule>
    <cfRule type="expression" dxfId="3546" priority="112">
      <formula>B$9&gt;=20/24</formula>
    </cfRule>
    <cfRule type="expression" dxfId="3545" priority="114">
      <formula>AND(B$9&gt;=8/24,B$9&lt;14/24)</formula>
    </cfRule>
    <cfRule type="expression" dxfId="3544" priority="115">
      <formula>B$9&lt;8/24</formula>
    </cfRule>
  </conditionalFormatting>
  <conditionalFormatting sqref="B67:AG68 B72:AG72">
    <cfRule type="expression" dxfId="3543" priority="46">
      <formula>B67&gt;$AG67</formula>
    </cfRule>
  </conditionalFormatting>
  <conditionalFormatting sqref="B72:AG72">
    <cfRule type="expression" dxfId="3542" priority="48">
      <formula>AND(B$9&gt;=14/24,B$9&lt;20/24)</formula>
    </cfRule>
    <cfRule type="expression" dxfId="3541" priority="49">
      <formula>AND(B$9&gt;=8/24,B$9&lt;14/24)</formula>
    </cfRule>
    <cfRule type="expression" dxfId="3540" priority="50">
      <formula>B$9&lt;8/24</formula>
    </cfRule>
    <cfRule type="expression" dxfId="3539" priority="47">
      <formula>B$9&gt;=20/24</formula>
    </cfRule>
  </conditionalFormatting>
  <conditionalFormatting sqref="D55:AF66">
    <cfRule type="expression" dxfId="3538" priority="9">
      <formula>D55&gt;$AG55</formula>
    </cfRule>
  </conditionalFormatting>
  <conditionalFormatting sqref="D54:AG54">
    <cfRule type="expression" dxfId="3537" priority="82">
      <formula>AND(D$9&gt;=14/24,D$9&lt;20/24)</formula>
    </cfRule>
    <cfRule type="expression" dxfId="3536" priority="83">
      <formula>AND(D$9&gt;=8/24,D$9&lt;14/24)</formula>
    </cfRule>
    <cfRule type="expression" dxfId="3535" priority="81">
      <formula>D$9&gt;=20/24</formula>
    </cfRule>
    <cfRule type="expression" dxfId="3534" priority="80">
      <formula>D54&gt;$AG54</formula>
    </cfRule>
    <cfRule type="expression" dxfId="3533" priority="84">
      <formula>D$9&lt;8/24</formula>
    </cfRule>
  </conditionalFormatting>
  <conditionalFormatting sqref="E55:P57">
    <cfRule type="expression" dxfId="3532" priority="94">
      <formula>AND(E$9&gt;=14/24,E$9&lt;20/24)</formula>
    </cfRule>
    <cfRule type="expression" dxfId="3531" priority="95">
      <formula>AND(E$9&gt;=8/24,E$9&lt;14/24)</formula>
    </cfRule>
    <cfRule type="expression" dxfId="3530" priority="93">
      <formula>E$9&gt;=20/24</formula>
    </cfRule>
    <cfRule type="expression" dxfId="3529" priority="96">
      <formula>E$9&lt;8/24</formula>
    </cfRule>
  </conditionalFormatting>
  <conditionalFormatting sqref="M55:W59 X57">
    <cfRule type="expression" dxfId="3528" priority="98">
      <formula>AND(M$9&gt;=14/24,M$9&lt;20/24)</formula>
    </cfRule>
    <cfRule type="expression" dxfId="3527" priority="99">
      <formula>AND(M$9&gt;=8/24,M$9&lt;14/24)</formula>
    </cfRule>
    <cfRule type="expression" dxfId="3526" priority="100">
      <formula>M$9&lt;8/24</formula>
    </cfRule>
    <cfRule type="expression" dxfId="3525" priority="97">
      <formula>M$9&gt;=20/24</formula>
    </cfRule>
  </conditionalFormatting>
  <conditionalFormatting sqref="O3:P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524" priority="118">
      <formula>C$9&gt;=20/24</formula>
    </cfRule>
  </conditionalFormatting>
  <conditionalFormatting sqref="S8">
    <cfRule type="expression" dxfId="3523" priority="107">
      <formula>AND(U$9&gt;=8/24,U$9&lt;14/24)</formula>
    </cfRule>
    <cfRule type="expression" dxfId="3522" priority="108">
      <formula>U$9&lt;8/24</formula>
    </cfRule>
    <cfRule type="expression" dxfId="3521" priority="105">
      <formula>U$9&gt;=20/24</formula>
    </cfRule>
    <cfRule type="expression" dxfId="3520" priority="106">
      <formula>AND(U$9&gt;=14/24,U$9&lt;20/24)</formula>
    </cfRule>
  </conditionalFormatting>
  <conditionalFormatting sqref="S55:AF60">
    <cfRule type="expression" dxfId="3519" priority="15">
      <formula>AND(S$9&gt;=14/24,S$9&lt;20/24)</formula>
    </cfRule>
    <cfRule type="expression" dxfId="3518" priority="14">
      <formula>S$9&gt;=20/24</formula>
    </cfRule>
    <cfRule type="expression" dxfId="3517" priority="16">
      <formula>AND(S$9&gt;=8/24,S$9&lt;14/24)</formula>
    </cfRule>
    <cfRule type="expression" dxfId="3516" priority="17">
      <formula>S$9&lt;8/24</formula>
    </cfRule>
  </conditionalFormatting>
  <conditionalFormatting sqref="T250">
    <cfRule type="expression" dxfId="3515" priority="130">
      <formula>AX$9&gt;=20/24</formula>
    </cfRule>
    <cfRule type="expression" dxfId="3514" priority="131">
      <formula>AND(AX$9&gt;=14/24,AX$9&lt;20/24)</formula>
    </cfRule>
    <cfRule type="expression" dxfId="3513" priority="132">
      <formula>AND(AX$9&gt;=8/24,AX$9&lt;14/24)</formula>
    </cfRule>
    <cfRule type="expression" dxfId="3512" priority="133">
      <formula>AX$9&lt;8/24</formula>
    </cfRule>
  </conditionalFormatting>
  <conditionalFormatting sqref="V3 AB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511" priority="102">
      <formula>AND(AD$9&gt;=14/24,AD$9&lt;20/24)</formula>
    </cfRule>
    <cfRule type="expression" dxfId="3510" priority="103">
      <formula>AND(AD$9&gt;=8/24,AD$9&lt;14/24)</formula>
    </cfRule>
    <cfRule type="expression" dxfId="3509" priority="104">
      <formula>AD$9&lt;8/24</formula>
    </cfRule>
    <cfRule type="expression" dxfId="3508" priority="101">
      <formula>AD$9&gt;=20/24</formula>
    </cfRule>
  </conditionalFormatting>
  <conditionalFormatting sqref="AE61:AF66">
    <cfRule type="expression" dxfId="3507" priority="13">
      <formula>AE$9&lt;8/24</formula>
    </cfRule>
    <cfRule type="expression" dxfId="3506" priority="12">
      <formula>AND(AE$9&gt;=8/24,AE$9&lt;14/24)</formula>
    </cfRule>
    <cfRule type="expression" dxfId="3505" priority="11">
      <formula>AND(AE$9&gt;=14/24,AE$9&lt;20/24)</formula>
    </cfRule>
    <cfRule type="expression" dxfId="3504" priority="10">
      <formula>AE$9&gt;=20/24</formula>
    </cfRule>
  </conditionalFormatting>
  <conditionalFormatting sqref="AG50">
    <cfRule type="expression" dxfId="3503" priority="88">
      <formula>AG50&gt;$AG50</formula>
    </cfRule>
  </conditionalFormatting>
  <conditionalFormatting sqref="AG89">
    <cfRule type="expression" dxfId="3502" priority="89">
      <formula>AG$9&gt;=20/24</formula>
    </cfRule>
    <cfRule type="expression" dxfId="3501" priority="90">
      <formula>AND(AG$9&gt;=14/24,AG$9&lt;20/24)</formula>
    </cfRule>
    <cfRule type="expression" dxfId="3500" priority="91">
      <formula>AND(AG$9&gt;=8/24,AG$9&lt;14/24)</formula>
    </cfRule>
    <cfRule type="expression" dxfId="3499" priority="92">
      <formula>AG$9&lt;8/24</formula>
    </cfRule>
  </conditionalFormatting>
  <conditionalFormatting sqref="AG250">
    <cfRule type="expression" dxfId="3498" priority="122">
      <formula>B$9&gt;=20/24</formula>
    </cfRule>
    <cfRule type="expression" dxfId="3497" priority="123">
      <formula>AND(B$9&gt;=14/24,B$9&lt;20/24)</formula>
    </cfRule>
    <cfRule type="expression" dxfId="3496" priority="124">
      <formula>AND(B$9&gt;=8/24,B$9&lt;14/24)</formula>
    </cfRule>
    <cfRule type="expression" dxfId="3495" priority="125">
      <formula>B$9&lt;8/24</formula>
    </cfRule>
  </conditionalFormatting>
  <conditionalFormatting sqref="AH250:AX250">
    <cfRule type="expression" dxfId="3494" priority="126">
      <formula>AG$9&gt;=20/24</formula>
    </cfRule>
    <cfRule type="expression" dxfId="3493" priority="127">
      <formula>AND(AG$9&gt;=14/24,AG$9&lt;20/24)</formula>
    </cfRule>
    <cfRule type="expression" dxfId="3492" priority="128">
      <formula>AND(AG$9&gt;=8/24,AG$9&lt;14/24)</formula>
    </cfRule>
    <cfRule type="expression" dxfId="3491" priority="129">
      <formula>AG$9&lt;8/24</formula>
    </cfRule>
  </conditionalFormatting>
  <conditionalFormatting sqref="AL4:AL6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490" priority="138">
      <formula>AJ$9&lt;8/24</formula>
    </cfRule>
    <cfRule type="expression" dxfId="3489" priority="135">
      <formula>AJ$9&gt;=20/24</formula>
    </cfRule>
    <cfRule type="expression" dxfId="3488" priority="136">
      <formula>AND(AJ$9&gt;=14/24,AJ$9&lt;20/24)</formula>
    </cfRule>
    <cfRule type="expression" dxfId="3487" priority="137">
      <formula>AND(AJ$9&gt;=8/24,AJ$9&lt;14/24)</formula>
    </cfRule>
  </conditionalFormatting>
  <conditionalFormatting sqref="AL80:AN80 AL86:AN86">
    <cfRule type="expression" dxfId="3486" priority="78">
      <formula>AND(AL$9&gt;=8/24,AL$9&lt;14/24)</formula>
    </cfRule>
    <cfRule type="expression" dxfId="3485" priority="79">
      <formula>AL$9&lt;8/24</formula>
    </cfRule>
    <cfRule type="expression" dxfId="3484" priority="76">
      <formula>AL$9&gt;=20/24</formula>
    </cfRule>
    <cfRule type="expression" dxfId="3483" priority="77">
      <formula>AND(AL$9&gt;=14/24,AL$9&lt;20/24)</formula>
    </cfRule>
  </conditionalFormatting>
  <conditionalFormatting sqref="AN81:AN84">
    <cfRule type="expression" dxfId="3482" priority="73">
      <formula>AND(AN$9&gt;=14/24,AN$9&lt;20/24)</formula>
    </cfRule>
    <cfRule type="expression" dxfId="3481" priority="74">
      <formula>AND(AN$9&gt;=8/24,AN$9&lt;14/24)</formula>
    </cfRule>
    <cfRule type="expression" dxfId="3480" priority="75">
      <formula>AN$9&lt;8/24</formula>
    </cfRule>
    <cfRule type="expression" dxfId="3479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E9E4-8363-4569-8426-A64744AC7667}">
  <sheetPr codeName="Sheet3"/>
  <dimension ref="A1:CJ283"/>
  <sheetViews>
    <sheetView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N75" sqref="N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2080/09/3</v>
      </c>
      <c r="C4" s="246"/>
      <c r="D4" s="246"/>
      <c r="E4" s="247" t="str">
        <f ca="1">"2080/"&amp;"09/"&amp;INT(MID(CELL("filename",G6),FIND("]",CELL("filename",G6))+1,200))</f>
        <v>2080/09/3</v>
      </c>
      <c r="F4" s="247"/>
      <c r="G4" s="247"/>
      <c r="H4" s="247" t="str">
        <f ca="1">TEXT(E4,"dddd")</f>
        <v>Tuesday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134.80000000000001</v>
      </c>
      <c r="C5" s="30">
        <f t="shared" si="0"/>
        <v>137</v>
      </c>
      <c r="D5" s="30">
        <f t="shared" si="0"/>
        <v>134.19999999999999</v>
      </c>
      <c r="E5" s="30">
        <f t="shared" si="0"/>
        <v>180</v>
      </c>
      <c r="F5" s="30">
        <f t="shared" si="0"/>
        <v>188.2</v>
      </c>
      <c r="G5" s="30">
        <f t="shared" si="0"/>
        <v>234.3</v>
      </c>
      <c r="H5" s="30">
        <f t="shared" si="0"/>
        <v>251</v>
      </c>
      <c r="I5" s="30">
        <f t="shared" si="0"/>
        <v>257.8</v>
      </c>
      <c r="J5" s="30">
        <f t="shared" si="0"/>
        <v>273.5</v>
      </c>
      <c r="K5" s="30">
        <f t="shared" si="0"/>
        <v>200.9</v>
      </c>
      <c r="L5" s="30">
        <f t="shared" si="0"/>
        <v>49.3</v>
      </c>
      <c r="M5" s="30">
        <f t="shared" si="0"/>
        <v>104</v>
      </c>
      <c r="N5" s="30">
        <f t="shared" si="0"/>
        <v>303</v>
      </c>
      <c r="O5" s="30">
        <f t="shared" si="0"/>
        <v>287</v>
      </c>
      <c r="P5" s="30">
        <f t="shared" si="0"/>
        <v>338.3</v>
      </c>
      <c r="Q5" s="30">
        <f t="shared" si="0"/>
        <v>307.8</v>
      </c>
      <c r="R5" s="30">
        <f t="shared" si="0"/>
        <v>382</v>
      </c>
      <c r="S5" s="30">
        <f t="shared" si="0"/>
        <v>371</v>
      </c>
      <c r="T5" s="30">
        <f t="shared" si="0"/>
        <v>372.7</v>
      </c>
      <c r="U5" s="30">
        <f t="shared" si="0"/>
        <v>86</v>
      </c>
      <c r="V5" s="30">
        <f t="shared" si="0"/>
        <v>30</v>
      </c>
      <c r="W5" s="30">
        <f t="shared" si="0"/>
        <v>38.4</v>
      </c>
      <c r="X5" s="30">
        <f t="shared" si="0"/>
        <v>28.1</v>
      </c>
      <c r="Y5" s="30">
        <f t="shared" si="0"/>
        <v>18</v>
      </c>
      <c r="Z5" s="30">
        <f t="shared" si="0"/>
        <v>109</v>
      </c>
      <c r="AA5" s="30">
        <f t="shared" si="0"/>
        <v>211</v>
      </c>
      <c r="AB5" s="30">
        <f t="shared" si="0"/>
        <v>227</v>
      </c>
      <c r="AC5" s="30">
        <f t="shared" si="0"/>
        <v>183</v>
      </c>
      <c r="AD5" s="30">
        <f t="shared" si="0"/>
        <v>173</v>
      </c>
      <c r="AE5" s="30">
        <f t="shared" si="0"/>
        <v>215</v>
      </c>
      <c r="AF5" s="30">
        <f>B84</f>
        <v>157.6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1782MW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Load=1059</v>
      </c>
      <c r="B7" s="35">
        <f>B92</f>
        <v>1095.29</v>
      </c>
      <c r="C7" s="35">
        <f t="shared" ref="C7:AF7" si="1">C92</f>
        <v>1074.3900000000001</v>
      </c>
      <c r="D7" s="35">
        <f t="shared" si="1"/>
        <v>1061.49</v>
      </c>
      <c r="E7" s="35">
        <f t="shared" si="1"/>
        <v>1058.69</v>
      </c>
      <c r="F7" s="35">
        <f t="shared" si="1"/>
        <v>1068.49</v>
      </c>
      <c r="G7" s="35">
        <f t="shared" si="1"/>
        <v>1122.79</v>
      </c>
      <c r="H7" s="35">
        <f t="shared" si="1"/>
        <v>1226.49</v>
      </c>
      <c r="I7" s="35">
        <f t="shared" si="1"/>
        <v>1335.49</v>
      </c>
      <c r="J7" s="35">
        <f t="shared" si="1"/>
        <v>1463.1899999999998</v>
      </c>
      <c r="K7" s="35">
        <f t="shared" si="1"/>
        <v>1577.6899999999998</v>
      </c>
      <c r="L7" s="35">
        <f t="shared" si="1"/>
        <v>1640.09</v>
      </c>
      <c r="M7" s="35">
        <f t="shared" si="1"/>
        <v>1782.46</v>
      </c>
      <c r="N7" s="35">
        <f t="shared" si="1"/>
        <v>1689.1599999999999</v>
      </c>
      <c r="O7" s="35">
        <f t="shared" si="1"/>
        <v>1521.06</v>
      </c>
      <c r="P7" s="35">
        <f t="shared" si="1"/>
        <v>1431.1599999999999</v>
      </c>
      <c r="Q7" s="35">
        <f t="shared" si="1"/>
        <v>1352.46</v>
      </c>
      <c r="R7" s="35">
        <f t="shared" si="1"/>
        <v>1250.56</v>
      </c>
      <c r="S7" s="35">
        <f t="shared" si="1"/>
        <v>1291.6600000000001</v>
      </c>
      <c r="T7" s="35">
        <f t="shared" si="1"/>
        <v>1276.6600000000001</v>
      </c>
      <c r="U7" s="35">
        <f t="shared" si="1"/>
        <v>1348.16</v>
      </c>
      <c r="V7" s="35">
        <f t="shared" si="1"/>
        <v>1435.1599999999999</v>
      </c>
      <c r="W7" s="35">
        <f t="shared" si="1"/>
        <v>1613.96</v>
      </c>
      <c r="X7" s="35">
        <f t="shared" si="1"/>
        <v>1747.0600000000004</v>
      </c>
      <c r="Y7" s="35">
        <f t="shared" si="1"/>
        <v>1645.56</v>
      </c>
      <c r="Z7" s="35">
        <f t="shared" si="1"/>
        <v>1571.16</v>
      </c>
      <c r="AA7" s="35">
        <f t="shared" si="1"/>
        <v>1482.16</v>
      </c>
      <c r="AB7" s="35">
        <f t="shared" si="1"/>
        <v>1432.66</v>
      </c>
      <c r="AC7" s="35">
        <f t="shared" si="1"/>
        <v>1448.66</v>
      </c>
      <c r="AD7" s="35">
        <f t="shared" si="1"/>
        <v>1266.6600000000001</v>
      </c>
      <c r="AE7" s="35">
        <f t="shared" si="1"/>
        <v>1162.6600000000001</v>
      </c>
      <c r="AF7" s="35">
        <f t="shared" si="1"/>
        <v>1097.6600000000001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42.9</v>
      </c>
      <c r="C11" s="45">
        <v>45.5</v>
      </c>
      <c r="D11" s="45">
        <v>42.9</v>
      </c>
      <c r="E11" s="45">
        <v>42.9</v>
      </c>
      <c r="F11" s="45">
        <v>42.9</v>
      </c>
      <c r="G11" s="45">
        <v>42.9</v>
      </c>
      <c r="H11" s="45">
        <v>42.9</v>
      </c>
      <c r="I11" s="45">
        <v>42.9</v>
      </c>
      <c r="J11" s="45">
        <v>42.9</v>
      </c>
      <c r="K11" s="45">
        <v>42.9</v>
      </c>
      <c r="L11" s="45">
        <v>42.9</v>
      </c>
      <c r="M11" s="45">
        <v>42</v>
      </c>
      <c r="N11" s="45">
        <v>42</v>
      </c>
      <c r="O11" s="45">
        <v>42</v>
      </c>
      <c r="P11" s="45">
        <v>42</v>
      </c>
      <c r="Q11" s="45">
        <v>41.5</v>
      </c>
      <c r="R11" s="45">
        <v>41.5</v>
      </c>
      <c r="S11" s="45">
        <v>41.5</v>
      </c>
      <c r="T11" s="45">
        <v>41.5</v>
      </c>
      <c r="U11" s="45">
        <v>36.6</v>
      </c>
      <c r="V11" s="45">
        <v>36.6</v>
      </c>
      <c r="W11" s="45">
        <v>42</v>
      </c>
      <c r="X11" s="45">
        <v>42</v>
      </c>
      <c r="Y11" s="45">
        <v>42</v>
      </c>
      <c r="Z11" s="45">
        <v>42</v>
      </c>
      <c r="AA11" s="45">
        <v>42</v>
      </c>
      <c r="AB11" s="45">
        <v>42</v>
      </c>
      <c r="AC11" s="45">
        <v>42</v>
      </c>
      <c r="AD11" s="45">
        <v>42</v>
      </c>
      <c r="AE11" s="45">
        <v>42</v>
      </c>
      <c r="AF11" s="45">
        <v>42</v>
      </c>
      <c r="AG11" s="46">
        <v>86</v>
      </c>
      <c r="AH11" s="47">
        <f t="shared" ref="AH11:AH76" si="2">MAX(B11:AF11)</f>
        <v>45.5</v>
      </c>
      <c r="AI11" s="48">
        <f t="shared" ref="AI11:AI76" si="3">MIN(B11:AF11)</f>
        <v>36.6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</v>
      </c>
      <c r="C12" s="45">
        <v>18</v>
      </c>
      <c r="D12" s="45">
        <v>18</v>
      </c>
      <c r="E12" s="45">
        <v>18</v>
      </c>
      <c r="F12" s="45">
        <v>16</v>
      </c>
      <c r="G12" s="45">
        <v>16</v>
      </c>
      <c r="H12" s="45">
        <v>16</v>
      </c>
      <c r="I12" s="45">
        <v>16</v>
      </c>
      <c r="J12" s="45">
        <v>16</v>
      </c>
      <c r="K12" s="45">
        <v>16</v>
      </c>
      <c r="L12" s="45">
        <v>16</v>
      </c>
      <c r="M12" s="45">
        <v>16.5</v>
      </c>
      <c r="N12" s="45">
        <v>16.5</v>
      </c>
      <c r="O12" s="45">
        <v>16.5</v>
      </c>
      <c r="P12" s="45">
        <v>16.5</v>
      </c>
      <c r="Q12" s="45">
        <v>16.5</v>
      </c>
      <c r="R12" s="45">
        <v>16.5</v>
      </c>
      <c r="S12" s="45">
        <v>19</v>
      </c>
      <c r="T12" s="45">
        <v>19</v>
      </c>
      <c r="U12" s="45">
        <v>19</v>
      </c>
      <c r="V12" s="45">
        <v>19</v>
      </c>
      <c r="W12" s="45">
        <v>19</v>
      </c>
      <c r="X12" s="45">
        <v>19</v>
      </c>
      <c r="Y12" s="45">
        <v>19</v>
      </c>
      <c r="Z12" s="45">
        <v>19</v>
      </c>
      <c r="AA12" s="45">
        <v>19</v>
      </c>
      <c r="AB12" s="45">
        <v>19</v>
      </c>
      <c r="AC12" s="45">
        <v>19</v>
      </c>
      <c r="AD12" s="45">
        <v>19</v>
      </c>
      <c r="AE12" s="45">
        <v>19</v>
      </c>
      <c r="AF12" s="45">
        <v>19</v>
      </c>
      <c r="AG12" s="49">
        <v>54</v>
      </c>
      <c r="AH12" s="47">
        <f t="shared" si="2"/>
        <v>19</v>
      </c>
      <c r="AI12" s="48">
        <f t="shared" si="3"/>
        <v>16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23.8</v>
      </c>
      <c r="C13" s="45">
        <v>23.8</v>
      </c>
      <c r="D13" s="45">
        <v>22.8</v>
      </c>
      <c r="E13" s="45">
        <v>22.8</v>
      </c>
      <c r="F13" s="45">
        <v>22.5</v>
      </c>
      <c r="G13" s="45">
        <v>22.5</v>
      </c>
      <c r="H13" s="45">
        <v>22.5</v>
      </c>
      <c r="I13" s="45">
        <v>22.5</v>
      </c>
      <c r="J13" s="45">
        <v>22.5</v>
      </c>
      <c r="K13" s="45">
        <v>22.5</v>
      </c>
      <c r="L13" s="45">
        <v>22.5</v>
      </c>
      <c r="M13" s="45">
        <v>22.3</v>
      </c>
      <c r="N13" s="45">
        <v>22.3</v>
      </c>
      <c r="O13" s="45">
        <v>22.3</v>
      </c>
      <c r="P13" s="45">
        <v>22.3</v>
      </c>
      <c r="Q13" s="45">
        <v>21.1</v>
      </c>
      <c r="R13" s="45">
        <v>21.1</v>
      </c>
      <c r="S13" s="45">
        <v>21.1</v>
      </c>
      <c r="T13" s="45">
        <v>21.1</v>
      </c>
      <c r="U13" s="45">
        <v>21.1</v>
      </c>
      <c r="V13" s="45">
        <v>21.1</v>
      </c>
      <c r="W13" s="45">
        <v>22</v>
      </c>
      <c r="X13" s="45">
        <v>22</v>
      </c>
      <c r="Y13" s="45">
        <v>22</v>
      </c>
      <c r="Z13" s="45">
        <v>22</v>
      </c>
      <c r="AA13" s="45">
        <v>22</v>
      </c>
      <c r="AB13" s="45">
        <v>22</v>
      </c>
      <c r="AC13" s="45">
        <v>22</v>
      </c>
      <c r="AD13" s="45">
        <v>22</v>
      </c>
      <c r="AE13" s="45">
        <v>22</v>
      </c>
      <c r="AF13" s="45">
        <v>22</v>
      </c>
      <c r="AG13" s="46">
        <v>52.4</v>
      </c>
      <c r="AH13" s="47">
        <f t="shared" si="2"/>
        <v>23.8</v>
      </c>
      <c r="AI13" s="48">
        <f t="shared" si="3"/>
        <v>21.1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1">
        <v>46</v>
      </c>
      <c r="C14" s="51">
        <v>46</v>
      </c>
      <c r="D14" s="51">
        <v>46</v>
      </c>
      <c r="E14" s="51">
        <v>46</v>
      </c>
      <c r="F14" s="51">
        <v>45.8</v>
      </c>
      <c r="G14" s="51">
        <v>45.8</v>
      </c>
      <c r="H14" s="51">
        <v>45.8</v>
      </c>
      <c r="I14" s="51">
        <v>45.8</v>
      </c>
      <c r="J14" s="51">
        <v>45.8</v>
      </c>
      <c r="K14" s="51">
        <v>45.8</v>
      </c>
      <c r="L14" s="51">
        <v>45.8</v>
      </c>
      <c r="M14" s="51">
        <v>45.8</v>
      </c>
      <c r="N14" s="51">
        <v>45.8</v>
      </c>
      <c r="O14" s="51">
        <v>45.8</v>
      </c>
      <c r="P14" s="51">
        <v>45.8</v>
      </c>
      <c r="Q14" s="51">
        <v>45.2</v>
      </c>
      <c r="R14" s="51">
        <v>45.2</v>
      </c>
      <c r="S14" s="51">
        <v>45.2</v>
      </c>
      <c r="T14" s="51">
        <v>45.2</v>
      </c>
      <c r="U14" s="51">
        <v>45.2</v>
      </c>
      <c r="V14" s="51">
        <v>45.2</v>
      </c>
      <c r="W14" s="51">
        <v>45.3</v>
      </c>
      <c r="X14" s="51">
        <v>45.3</v>
      </c>
      <c r="Y14" s="51">
        <v>45.3</v>
      </c>
      <c r="Z14" s="51">
        <v>45.3</v>
      </c>
      <c r="AA14" s="51">
        <v>45.3</v>
      </c>
      <c r="AB14" s="51">
        <v>45.3</v>
      </c>
      <c r="AC14" s="51">
        <v>45.3</v>
      </c>
      <c r="AD14" s="51">
        <v>45.3</v>
      </c>
      <c r="AE14" s="51">
        <v>45.3</v>
      </c>
      <c r="AF14" s="51">
        <v>45.3</v>
      </c>
      <c r="AG14" s="49">
        <v>50</v>
      </c>
      <c r="AH14" s="47">
        <f t="shared" si="2"/>
        <v>46</v>
      </c>
      <c r="AI14" s="48">
        <f t="shared" si="3"/>
        <v>45.2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24.5</v>
      </c>
      <c r="C15" s="45">
        <v>24.5</v>
      </c>
      <c r="D15" s="45">
        <v>22.1</v>
      </c>
      <c r="E15" s="45">
        <v>22.1</v>
      </c>
      <c r="F15" s="45">
        <v>22.5</v>
      </c>
      <c r="G15" s="45">
        <v>22.5</v>
      </c>
      <c r="H15" s="45">
        <v>22.5</v>
      </c>
      <c r="I15" s="45">
        <v>22.5</v>
      </c>
      <c r="J15" s="45">
        <v>22.5</v>
      </c>
      <c r="K15" s="45">
        <v>22.5</v>
      </c>
      <c r="L15" s="45">
        <v>22.5</v>
      </c>
      <c r="M15" s="45">
        <v>21.1</v>
      </c>
      <c r="N15" s="45">
        <v>21.1</v>
      </c>
      <c r="O15" s="45">
        <v>21.1</v>
      </c>
      <c r="P15" s="45">
        <v>21.1</v>
      </c>
      <c r="Q15" s="45">
        <v>21.1</v>
      </c>
      <c r="R15" s="45">
        <v>21.1</v>
      </c>
      <c r="S15" s="45">
        <v>21.1</v>
      </c>
      <c r="T15" s="45">
        <v>21.1</v>
      </c>
      <c r="U15" s="45">
        <v>21.1</v>
      </c>
      <c r="V15" s="45">
        <v>21.1</v>
      </c>
      <c r="W15" s="45">
        <v>24.4</v>
      </c>
      <c r="X15" s="45">
        <v>24.4</v>
      </c>
      <c r="Y15" s="45">
        <v>24.4</v>
      </c>
      <c r="Z15" s="45">
        <v>24.4</v>
      </c>
      <c r="AA15" s="45">
        <v>24.4</v>
      </c>
      <c r="AB15" s="45">
        <v>24.4</v>
      </c>
      <c r="AC15" s="45">
        <v>24.4</v>
      </c>
      <c r="AD15" s="45">
        <v>24.4</v>
      </c>
      <c r="AE15" s="45">
        <v>24.4</v>
      </c>
      <c r="AF15" s="45">
        <v>24.4</v>
      </c>
      <c r="AG15" s="49">
        <v>45</v>
      </c>
      <c r="AH15" s="47">
        <f t="shared" si="2"/>
        <v>24.5</v>
      </c>
      <c r="AI15" s="48">
        <f t="shared" si="3"/>
        <v>21.1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15.3</v>
      </c>
      <c r="C16" s="45">
        <v>15.3</v>
      </c>
      <c r="D16" s="45">
        <v>15.3</v>
      </c>
      <c r="E16" s="45">
        <v>15.3</v>
      </c>
      <c r="F16" s="45">
        <v>15.3</v>
      </c>
      <c r="G16" s="45">
        <v>15.3</v>
      </c>
      <c r="H16" s="45">
        <v>15.3</v>
      </c>
      <c r="I16" s="45">
        <v>15.3</v>
      </c>
      <c r="J16" s="45">
        <v>15.3</v>
      </c>
      <c r="K16" s="45">
        <v>15.3</v>
      </c>
      <c r="L16" s="45">
        <v>15.3</v>
      </c>
      <c r="M16" s="45">
        <v>15.3</v>
      </c>
      <c r="N16" s="45">
        <v>15.3</v>
      </c>
      <c r="O16" s="45">
        <v>15.3</v>
      </c>
      <c r="P16" s="45">
        <v>15.3</v>
      </c>
      <c r="Q16" s="45">
        <v>15.3</v>
      </c>
      <c r="R16" s="45">
        <v>15.3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49">
        <v>44</v>
      </c>
      <c r="AH16" s="47">
        <f>MAX(B16:AF16)</f>
        <v>17</v>
      </c>
      <c r="AI16" s="48">
        <f>MIN(B16:AG16)</f>
        <v>15.3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12.5</v>
      </c>
      <c r="C17" s="45">
        <v>12.5</v>
      </c>
      <c r="D17" s="45">
        <v>12.5</v>
      </c>
      <c r="E17" s="45">
        <v>12.5</v>
      </c>
      <c r="F17" s="45">
        <v>12</v>
      </c>
      <c r="G17" s="45">
        <v>12</v>
      </c>
      <c r="H17" s="45">
        <v>12</v>
      </c>
      <c r="I17" s="45">
        <v>12</v>
      </c>
      <c r="J17" s="45">
        <v>12</v>
      </c>
      <c r="K17" s="45">
        <v>12</v>
      </c>
      <c r="L17" s="45">
        <v>12</v>
      </c>
      <c r="M17" s="45">
        <v>11.5</v>
      </c>
      <c r="N17" s="45">
        <v>11.5</v>
      </c>
      <c r="O17" s="45">
        <v>11.5</v>
      </c>
      <c r="P17" s="45">
        <v>11.5</v>
      </c>
      <c r="Q17" s="45">
        <v>11.5</v>
      </c>
      <c r="R17" s="45">
        <v>11.5</v>
      </c>
      <c r="S17" s="45">
        <v>11.5</v>
      </c>
      <c r="T17" s="45">
        <v>11.5</v>
      </c>
      <c r="U17" s="45">
        <v>11.5</v>
      </c>
      <c r="V17" s="45">
        <v>11.5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49">
        <v>42</v>
      </c>
      <c r="AH17" s="47">
        <f t="shared" si="2"/>
        <v>12.5</v>
      </c>
      <c r="AI17" s="48">
        <f t="shared" si="3"/>
        <v>11.5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13.7</v>
      </c>
      <c r="C18" s="45">
        <v>13.7</v>
      </c>
      <c r="D18" s="45">
        <v>13.7</v>
      </c>
      <c r="E18" s="45">
        <v>13.7</v>
      </c>
      <c r="F18" s="45">
        <v>13.7</v>
      </c>
      <c r="G18" s="45">
        <v>13.7</v>
      </c>
      <c r="H18" s="45">
        <v>13.7</v>
      </c>
      <c r="I18" s="45">
        <v>13.7</v>
      </c>
      <c r="J18" s="45">
        <v>13.7</v>
      </c>
      <c r="K18" s="45">
        <v>13.7</v>
      </c>
      <c r="L18" s="45">
        <v>13.7</v>
      </c>
      <c r="M18" s="45">
        <v>13.7</v>
      </c>
      <c r="N18" s="45">
        <v>13.7</v>
      </c>
      <c r="O18" s="45">
        <v>13.7</v>
      </c>
      <c r="P18" s="45">
        <v>13.7</v>
      </c>
      <c r="Q18" s="45">
        <v>13.7</v>
      </c>
      <c r="R18" s="45">
        <v>13.7</v>
      </c>
      <c r="S18" s="45">
        <v>13.7</v>
      </c>
      <c r="T18" s="45">
        <v>13.7</v>
      </c>
      <c r="U18" s="45">
        <v>13.7</v>
      </c>
      <c r="V18" s="45">
        <v>13.7</v>
      </c>
      <c r="W18" s="45">
        <v>13.7</v>
      </c>
      <c r="X18" s="45">
        <v>13.7</v>
      </c>
      <c r="Y18" s="45">
        <v>13.7</v>
      </c>
      <c r="Z18" s="45">
        <v>13.7</v>
      </c>
      <c r="AA18" s="45">
        <v>13.7</v>
      </c>
      <c r="AB18" s="45">
        <v>13.7</v>
      </c>
      <c r="AC18" s="45">
        <v>13.7</v>
      </c>
      <c r="AD18" s="45">
        <v>13.7</v>
      </c>
      <c r="AE18" s="45">
        <v>13.7</v>
      </c>
      <c r="AF18" s="45">
        <v>13.7</v>
      </c>
      <c r="AG18" s="49">
        <v>38.46</v>
      </c>
      <c r="AH18" s="47">
        <f t="shared" si="2"/>
        <v>13.7</v>
      </c>
      <c r="AI18" s="48">
        <f t="shared" si="3"/>
        <v>13.7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17.5</v>
      </c>
      <c r="AC19" s="45">
        <v>17.5</v>
      </c>
      <c r="AD19" s="45">
        <v>17.5</v>
      </c>
      <c r="AE19" s="45">
        <v>17.5</v>
      </c>
      <c r="AF19" s="45">
        <v>17.5</v>
      </c>
      <c r="AG19" s="49">
        <v>36</v>
      </c>
      <c r="AH19" s="47">
        <f t="shared" si="2"/>
        <v>18</v>
      </c>
      <c r="AI19" s="48">
        <f t="shared" si="3"/>
        <v>17.5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11.8</v>
      </c>
      <c r="G20" s="45">
        <v>11.8</v>
      </c>
      <c r="H20" s="45">
        <v>11.8</v>
      </c>
      <c r="I20" s="45">
        <v>11.8</v>
      </c>
      <c r="J20" s="45">
        <v>11.8</v>
      </c>
      <c r="K20" s="45">
        <v>11.8</v>
      </c>
      <c r="L20" s="45">
        <v>11.8</v>
      </c>
      <c r="M20" s="45">
        <v>12.4</v>
      </c>
      <c r="N20" s="45">
        <v>12.4</v>
      </c>
      <c r="O20" s="45">
        <v>12.4</v>
      </c>
      <c r="P20" s="45">
        <v>12.4</v>
      </c>
      <c r="Q20" s="45">
        <v>12.4</v>
      </c>
      <c r="R20" s="45">
        <v>12.4</v>
      </c>
      <c r="S20" s="45">
        <v>12.4</v>
      </c>
      <c r="T20" s="45">
        <v>12.4</v>
      </c>
      <c r="U20" s="45">
        <v>12.4</v>
      </c>
      <c r="V20" s="45">
        <v>12.4</v>
      </c>
      <c r="W20" s="45">
        <v>12.4</v>
      </c>
      <c r="X20" s="45">
        <v>12.4</v>
      </c>
      <c r="Y20" s="45">
        <v>12.4</v>
      </c>
      <c r="Z20" s="45">
        <v>12.4</v>
      </c>
      <c r="AA20" s="45">
        <v>12.4</v>
      </c>
      <c r="AB20" s="45">
        <v>12.4</v>
      </c>
      <c r="AC20" s="45">
        <v>12.4</v>
      </c>
      <c r="AD20" s="45">
        <v>12.4</v>
      </c>
      <c r="AE20" s="45">
        <v>12.4</v>
      </c>
      <c r="AF20" s="45">
        <v>12.4</v>
      </c>
      <c r="AG20" s="52">
        <v>30</v>
      </c>
      <c r="AH20" s="47">
        <f t="shared" si="2"/>
        <v>12.4</v>
      </c>
      <c r="AI20" s="48">
        <f t="shared" si="3"/>
        <v>11.8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11</v>
      </c>
      <c r="C21" s="45">
        <v>11</v>
      </c>
      <c r="D21" s="45">
        <v>11</v>
      </c>
      <c r="E21" s="45">
        <v>11</v>
      </c>
      <c r="F21" s="45">
        <v>11.9</v>
      </c>
      <c r="G21" s="45">
        <v>11.9</v>
      </c>
      <c r="H21" s="45">
        <v>11.9</v>
      </c>
      <c r="I21" s="45">
        <v>11.9</v>
      </c>
      <c r="J21" s="45">
        <v>11.9</v>
      </c>
      <c r="K21" s="45">
        <v>11.9</v>
      </c>
      <c r="L21" s="45">
        <v>11.9</v>
      </c>
      <c r="M21" s="45">
        <v>24.2</v>
      </c>
      <c r="N21" s="45">
        <v>24.2</v>
      </c>
      <c r="O21" s="45">
        <v>24.2</v>
      </c>
      <c r="P21" s="45">
        <v>24.2</v>
      </c>
      <c r="Q21" s="45">
        <v>24.2</v>
      </c>
      <c r="R21" s="45">
        <v>24.2</v>
      </c>
      <c r="S21" s="45">
        <v>24.2</v>
      </c>
      <c r="T21" s="45">
        <v>24.2</v>
      </c>
      <c r="U21" s="45">
        <v>24.2</v>
      </c>
      <c r="V21" s="45">
        <v>24.2</v>
      </c>
      <c r="W21" s="45">
        <v>24.2</v>
      </c>
      <c r="X21" s="45">
        <v>24.2</v>
      </c>
      <c r="Y21" s="45">
        <v>24.2</v>
      </c>
      <c r="Z21" s="45">
        <v>24.2</v>
      </c>
      <c r="AA21" s="45">
        <v>24.2</v>
      </c>
      <c r="AB21" s="45">
        <v>24.2</v>
      </c>
      <c r="AC21" s="45">
        <v>24.2</v>
      </c>
      <c r="AD21" s="45">
        <v>24.2</v>
      </c>
      <c r="AE21" s="45">
        <v>24.2</v>
      </c>
      <c r="AF21" s="45">
        <v>24.2</v>
      </c>
      <c r="AG21" s="49">
        <v>24.2</v>
      </c>
      <c r="AH21" s="47">
        <f t="shared" si="2"/>
        <v>24.2</v>
      </c>
      <c r="AI21" s="48">
        <f t="shared" si="3"/>
        <v>11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13.7</v>
      </c>
      <c r="C22" s="45">
        <v>13.7</v>
      </c>
      <c r="D22" s="45">
        <v>13.7</v>
      </c>
      <c r="E22" s="45">
        <v>13.7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13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49">
        <v>28</v>
      </c>
      <c r="AH22" s="47">
        <f t="shared" si="2"/>
        <v>13.7</v>
      </c>
      <c r="AI22" s="48">
        <f t="shared" si="3"/>
        <v>13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10.199999999999999</v>
      </c>
      <c r="C23" s="45">
        <v>10.199999999999999</v>
      </c>
      <c r="D23" s="45">
        <v>10.199999999999999</v>
      </c>
      <c r="E23" s="45">
        <v>10.199999999999999</v>
      </c>
      <c r="F23" s="45">
        <v>10.7</v>
      </c>
      <c r="G23" s="45">
        <v>10.7</v>
      </c>
      <c r="H23" s="45">
        <v>10.7</v>
      </c>
      <c r="I23" s="45">
        <v>10.7</v>
      </c>
      <c r="J23" s="45">
        <v>10.7</v>
      </c>
      <c r="K23" s="45">
        <v>10.7</v>
      </c>
      <c r="L23" s="45">
        <v>10.7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52">
        <v>30</v>
      </c>
      <c r="AH23" s="47">
        <f t="shared" si="2"/>
        <v>10.7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12.7</v>
      </c>
      <c r="C24" s="45">
        <v>12.7</v>
      </c>
      <c r="D24" s="45">
        <v>12.7</v>
      </c>
      <c r="E24" s="45">
        <v>12.7</v>
      </c>
      <c r="F24" s="45">
        <v>12.4</v>
      </c>
      <c r="G24" s="45">
        <v>12.4</v>
      </c>
      <c r="H24" s="45">
        <v>12.4</v>
      </c>
      <c r="I24" s="45">
        <v>12.4</v>
      </c>
      <c r="J24" s="45">
        <v>12.4</v>
      </c>
      <c r="K24" s="45">
        <v>12.4</v>
      </c>
      <c r="L24" s="45">
        <v>12.4</v>
      </c>
      <c r="M24" s="45">
        <v>12.8</v>
      </c>
      <c r="N24" s="45">
        <v>12.8</v>
      </c>
      <c r="O24" s="45">
        <v>12.8</v>
      </c>
      <c r="P24" s="45">
        <v>12.8</v>
      </c>
      <c r="Q24" s="45">
        <v>12.8</v>
      </c>
      <c r="R24" s="45">
        <v>12.8</v>
      </c>
      <c r="S24" s="45">
        <v>12.8</v>
      </c>
      <c r="T24" s="45">
        <v>12.8</v>
      </c>
      <c r="U24" s="45">
        <v>12.8</v>
      </c>
      <c r="V24" s="45">
        <v>12.8</v>
      </c>
      <c r="W24" s="45">
        <v>13.5</v>
      </c>
      <c r="X24" s="45">
        <v>13.5</v>
      </c>
      <c r="Y24" s="45">
        <v>13.5</v>
      </c>
      <c r="Z24" s="45">
        <v>13.5</v>
      </c>
      <c r="AA24" s="45">
        <v>13.5</v>
      </c>
      <c r="AB24" s="45">
        <v>13.5</v>
      </c>
      <c r="AC24" s="45">
        <v>13.5</v>
      </c>
      <c r="AD24" s="45">
        <v>13.5</v>
      </c>
      <c r="AE24" s="45">
        <v>13.5</v>
      </c>
      <c r="AF24" s="45">
        <v>13.5</v>
      </c>
      <c r="AG24" s="49">
        <v>25</v>
      </c>
      <c r="AH24" s="47">
        <f t="shared" si="2"/>
        <v>13.5</v>
      </c>
      <c r="AI24" s="48">
        <f t="shared" si="3"/>
        <v>12.4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9.5</v>
      </c>
      <c r="C26" s="45">
        <v>9.5</v>
      </c>
      <c r="D26" s="45">
        <v>9.5</v>
      </c>
      <c r="E26" s="45">
        <v>9.5</v>
      </c>
      <c r="F26" s="45">
        <v>9.5</v>
      </c>
      <c r="G26" s="45">
        <v>9.5</v>
      </c>
      <c r="H26" s="45">
        <v>9.5</v>
      </c>
      <c r="I26" s="45">
        <v>9.5</v>
      </c>
      <c r="J26" s="45">
        <v>9.5</v>
      </c>
      <c r="K26" s="45">
        <v>9.5</v>
      </c>
      <c r="L26" s="45">
        <v>9.5</v>
      </c>
      <c r="M26" s="45">
        <v>9.5</v>
      </c>
      <c r="N26" s="45">
        <v>9.5</v>
      </c>
      <c r="O26" s="45">
        <v>9.5</v>
      </c>
      <c r="P26" s="45">
        <v>9.5</v>
      </c>
      <c r="Q26" s="45">
        <v>9.5</v>
      </c>
      <c r="R26" s="45">
        <v>9.5</v>
      </c>
      <c r="S26" s="45">
        <v>9.5</v>
      </c>
      <c r="T26" s="45">
        <v>9.5</v>
      </c>
      <c r="U26" s="45">
        <v>9.5</v>
      </c>
      <c r="V26" s="45">
        <v>9.5</v>
      </c>
      <c r="W26" s="45">
        <v>9.5</v>
      </c>
      <c r="X26" s="45">
        <v>9.5</v>
      </c>
      <c r="Y26" s="45">
        <v>9.5</v>
      </c>
      <c r="Z26" s="45">
        <v>9.5</v>
      </c>
      <c r="AA26" s="45">
        <v>9.5</v>
      </c>
      <c r="AB26" s="45">
        <v>9.5</v>
      </c>
      <c r="AC26" s="45">
        <v>9.5</v>
      </c>
      <c r="AD26" s="45">
        <v>9.5</v>
      </c>
      <c r="AE26" s="45">
        <v>9.5</v>
      </c>
      <c r="AF26" s="45">
        <v>9.5</v>
      </c>
      <c r="AG26" s="49">
        <v>25</v>
      </c>
      <c r="AH26" s="47">
        <f t="shared" si="2"/>
        <v>9.5</v>
      </c>
      <c r="AI26" s="48">
        <f t="shared" si="3"/>
        <v>9.5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11.73</v>
      </c>
      <c r="C27" s="45">
        <v>11.73</v>
      </c>
      <c r="D27" s="45">
        <v>11.73</v>
      </c>
      <c r="E27" s="45">
        <v>11.73</v>
      </c>
      <c r="F27" s="45">
        <v>11.73</v>
      </c>
      <c r="G27" s="45">
        <v>11.73</v>
      </c>
      <c r="H27" s="45">
        <v>11.73</v>
      </c>
      <c r="I27" s="45">
        <v>11.73</v>
      </c>
      <c r="J27" s="45">
        <v>11.73</v>
      </c>
      <c r="K27" s="45">
        <v>11.73</v>
      </c>
      <c r="L27" s="45">
        <v>11.73</v>
      </c>
      <c r="M27" s="45">
        <v>11.6</v>
      </c>
      <c r="N27" s="45">
        <v>11.6</v>
      </c>
      <c r="O27" s="45">
        <v>11.6</v>
      </c>
      <c r="P27" s="45">
        <v>11.6</v>
      </c>
      <c r="Q27" s="45">
        <v>11.6</v>
      </c>
      <c r="R27" s="45">
        <v>11.6</v>
      </c>
      <c r="S27" s="45">
        <v>11.6</v>
      </c>
      <c r="T27" s="45">
        <v>11.6</v>
      </c>
      <c r="U27" s="45">
        <v>11.6</v>
      </c>
      <c r="V27" s="45">
        <v>11.6</v>
      </c>
      <c r="W27" s="45">
        <v>11.6</v>
      </c>
      <c r="X27" s="45">
        <v>11.6</v>
      </c>
      <c r="Y27" s="45">
        <v>11.6</v>
      </c>
      <c r="Z27" s="45">
        <v>11.6</v>
      </c>
      <c r="AA27" s="45">
        <v>11.6</v>
      </c>
      <c r="AB27" s="45">
        <v>11.6</v>
      </c>
      <c r="AC27" s="45">
        <v>11.6</v>
      </c>
      <c r="AD27" s="45">
        <v>11.6</v>
      </c>
      <c r="AE27" s="45">
        <v>11.6</v>
      </c>
      <c r="AF27" s="45">
        <v>11.6</v>
      </c>
      <c r="AG27" s="49">
        <v>25</v>
      </c>
      <c r="AH27" s="47">
        <f t="shared" si="2"/>
        <v>11.73</v>
      </c>
      <c r="AI27" s="48">
        <f t="shared" si="3"/>
        <v>11.6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9.9</v>
      </c>
      <c r="C28" s="45">
        <v>9.9</v>
      </c>
      <c r="D28" s="45">
        <v>9.9</v>
      </c>
      <c r="E28" s="45">
        <v>9.9</v>
      </c>
      <c r="F28" s="45">
        <v>11.9</v>
      </c>
      <c r="G28" s="45">
        <v>11.9</v>
      </c>
      <c r="H28" s="45">
        <v>11.9</v>
      </c>
      <c r="I28" s="45">
        <v>11.9</v>
      </c>
      <c r="J28" s="45">
        <v>11.9</v>
      </c>
      <c r="K28" s="45">
        <v>11.9</v>
      </c>
      <c r="L28" s="45">
        <v>11.9</v>
      </c>
      <c r="M28" s="45">
        <v>11.4</v>
      </c>
      <c r="N28" s="45">
        <v>11.4</v>
      </c>
      <c r="O28" s="45">
        <v>11.4</v>
      </c>
      <c r="P28" s="45">
        <v>11.4</v>
      </c>
      <c r="Q28" s="45">
        <v>11.4</v>
      </c>
      <c r="R28" s="45">
        <v>11.4</v>
      </c>
      <c r="S28" s="45">
        <v>11.4</v>
      </c>
      <c r="T28" s="45">
        <v>11.4</v>
      </c>
      <c r="U28" s="45">
        <v>11.4</v>
      </c>
      <c r="V28" s="45">
        <v>11.4</v>
      </c>
      <c r="W28" s="45">
        <v>11.4</v>
      </c>
      <c r="X28" s="45">
        <v>11.4</v>
      </c>
      <c r="Y28" s="45">
        <v>11.4</v>
      </c>
      <c r="Z28" s="45">
        <v>11.4</v>
      </c>
      <c r="AA28" s="45">
        <v>11.4</v>
      </c>
      <c r="AB28" s="45">
        <v>11.4</v>
      </c>
      <c r="AC28" s="45">
        <v>11.4</v>
      </c>
      <c r="AD28" s="45">
        <v>11.4</v>
      </c>
      <c r="AE28" s="45">
        <v>11.4</v>
      </c>
      <c r="AF28" s="45">
        <v>11.4</v>
      </c>
      <c r="AG28" s="49">
        <v>23.5</v>
      </c>
      <c r="AH28" s="47">
        <f t="shared" si="2"/>
        <v>11.9</v>
      </c>
      <c r="AI28" s="48">
        <f t="shared" si="3"/>
        <v>9.9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49">
        <v>22.2</v>
      </c>
      <c r="AH29" s="47">
        <f t="shared" si="2"/>
        <v>6</v>
      </c>
      <c r="AI29" s="48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10</v>
      </c>
      <c r="C32" s="45">
        <v>10</v>
      </c>
      <c r="D32" s="45">
        <v>10</v>
      </c>
      <c r="E32" s="45">
        <v>10</v>
      </c>
      <c r="F32" s="45">
        <v>11.7</v>
      </c>
      <c r="G32" s="45">
        <v>11.7</v>
      </c>
      <c r="H32" s="45">
        <v>11.7</v>
      </c>
      <c r="I32" s="45">
        <v>11.7</v>
      </c>
      <c r="J32" s="45">
        <v>11.7</v>
      </c>
      <c r="K32" s="45">
        <v>11.7</v>
      </c>
      <c r="L32" s="45">
        <v>11.7</v>
      </c>
      <c r="M32" s="45">
        <v>11.7</v>
      </c>
      <c r="N32" s="45">
        <v>11.7</v>
      </c>
      <c r="O32" s="45">
        <v>11.7</v>
      </c>
      <c r="P32" s="45">
        <v>11.7</v>
      </c>
      <c r="Q32" s="45">
        <v>11.7</v>
      </c>
      <c r="R32" s="45">
        <v>11.7</v>
      </c>
      <c r="S32" s="45">
        <v>11.7</v>
      </c>
      <c r="T32" s="45">
        <v>11.7</v>
      </c>
      <c r="U32" s="45">
        <v>11.7</v>
      </c>
      <c r="V32" s="45">
        <v>11.7</v>
      </c>
      <c r="W32" s="45">
        <v>11.7</v>
      </c>
      <c r="X32" s="45">
        <v>11.7</v>
      </c>
      <c r="Y32" s="45">
        <v>11.7</v>
      </c>
      <c r="Z32" s="45">
        <v>11.7</v>
      </c>
      <c r="AA32" s="45">
        <v>11.7</v>
      </c>
      <c r="AB32" s="45">
        <v>11.7</v>
      </c>
      <c r="AC32" s="45">
        <v>11.7</v>
      </c>
      <c r="AD32" s="45">
        <v>11.7</v>
      </c>
      <c r="AE32" s="45">
        <v>11.7</v>
      </c>
      <c r="AF32" s="45">
        <v>11.7</v>
      </c>
      <c r="AG32" s="49">
        <v>22</v>
      </c>
      <c r="AH32" s="47">
        <f t="shared" si="2"/>
        <v>11.7</v>
      </c>
      <c r="AI32" s="48">
        <f t="shared" si="3"/>
        <v>10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8.6999999999999993</v>
      </c>
      <c r="C33" s="45">
        <v>8.6999999999999993</v>
      </c>
      <c r="D33" s="45">
        <v>8.6999999999999993</v>
      </c>
      <c r="E33" s="45">
        <v>8.6999999999999993</v>
      </c>
      <c r="F33" s="45">
        <v>8.6999999999999993</v>
      </c>
      <c r="G33" s="45">
        <v>8.6999999999999993</v>
      </c>
      <c r="H33" s="45">
        <v>8.6999999999999993</v>
      </c>
      <c r="I33" s="45">
        <v>8.6999999999999993</v>
      </c>
      <c r="J33" s="45">
        <v>8.6999999999999993</v>
      </c>
      <c r="K33" s="45">
        <v>8.6999999999999993</v>
      </c>
      <c r="L33" s="45">
        <v>8.6999999999999993</v>
      </c>
      <c r="M33" s="45">
        <v>8.6999999999999993</v>
      </c>
      <c r="N33" s="45">
        <v>8.6999999999999993</v>
      </c>
      <c r="O33" s="45">
        <v>8.6999999999999993</v>
      </c>
      <c r="P33" s="45">
        <v>8.6999999999999993</v>
      </c>
      <c r="Q33" s="45">
        <v>8.6999999999999993</v>
      </c>
      <c r="R33" s="45">
        <v>8.6999999999999993</v>
      </c>
      <c r="S33" s="45">
        <v>8.6999999999999993</v>
      </c>
      <c r="T33" s="45">
        <v>8.6999999999999993</v>
      </c>
      <c r="U33" s="45">
        <v>8.6999999999999993</v>
      </c>
      <c r="V33" s="45">
        <v>8.6999999999999993</v>
      </c>
      <c r="W33" s="45">
        <v>8.6999999999999993</v>
      </c>
      <c r="X33" s="45">
        <v>8.6999999999999993</v>
      </c>
      <c r="Y33" s="45">
        <v>8.6999999999999993</v>
      </c>
      <c r="Z33" s="45">
        <v>8.6999999999999993</v>
      </c>
      <c r="AA33" s="45">
        <v>8.6999999999999993</v>
      </c>
      <c r="AB33" s="45">
        <v>8.6999999999999993</v>
      </c>
      <c r="AC33" s="45">
        <v>8.6999999999999993</v>
      </c>
      <c r="AD33" s="45">
        <v>8.6999999999999993</v>
      </c>
      <c r="AE33" s="45">
        <v>8.6999999999999993</v>
      </c>
      <c r="AF33" s="45">
        <v>8.6999999999999993</v>
      </c>
      <c r="AG33" s="49">
        <v>20</v>
      </c>
      <c r="AH33" s="47">
        <f t="shared" si="2"/>
        <v>8.6999999999999993</v>
      </c>
      <c r="AI33" s="48">
        <f t="shared" si="3"/>
        <v>8.6999999999999993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49">
        <v>18</v>
      </c>
      <c r="AH34" s="47">
        <f t="shared" si="2"/>
        <v>6</v>
      </c>
      <c r="AI34" s="48">
        <f t="shared" si="3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8.1999999999999993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5.8</v>
      </c>
      <c r="Q45" s="45">
        <v>5.8</v>
      </c>
      <c r="R45" s="45">
        <v>5.8</v>
      </c>
      <c r="S45" s="45">
        <v>5.8</v>
      </c>
      <c r="T45" s="45">
        <v>5.8</v>
      </c>
      <c r="U45" s="45">
        <v>5.8</v>
      </c>
      <c r="V45" s="45">
        <v>5.8</v>
      </c>
      <c r="W45" s="45">
        <v>5.8</v>
      </c>
      <c r="X45" s="45">
        <v>5.8</v>
      </c>
      <c r="Y45" s="45">
        <v>5.8</v>
      </c>
      <c r="Z45" s="45">
        <v>5.8</v>
      </c>
      <c r="AA45" s="45">
        <v>5.8</v>
      </c>
      <c r="AB45" s="45">
        <v>5.8</v>
      </c>
      <c r="AC45" s="45">
        <v>5.8</v>
      </c>
      <c r="AD45" s="45">
        <v>5.8</v>
      </c>
      <c r="AE45" s="45">
        <v>5.8</v>
      </c>
      <c r="AF45" s="45">
        <v>5.8</v>
      </c>
      <c r="AG45" s="55">
        <v>10</v>
      </c>
      <c r="AH45" s="47">
        <f t="shared" si="2"/>
        <v>5.8</v>
      </c>
      <c r="AI45" s="48">
        <f t="shared" si="3"/>
        <v>5.8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6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225</v>
      </c>
      <c r="C48" s="57">
        <v>225</v>
      </c>
      <c r="D48" s="57">
        <v>225</v>
      </c>
      <c r="E48" s="57">
        <v>225</v>
      </c>
      <c r="F48" s="57">
        <v>225</v>
      </c>
      <c r="G48" s="57">
        <v>225</v>
      </c>
      <c r="H48" s="57">
        <v>225</v>
      </c>
      <c r="I48" s="57">
        <v>225</v>
      </c>
      <c r="J48" s="57">
        <v>225</v>
      </c>
      <c r="K48" s="57">
        <v>225</v>
      </c>
      <c r="L48" s="57">
        <v>225</v>
      </c>
      <c r="M48" s="57">
        <v>225</v>
      </c>
      <c r="N48" s="57">
        <v>225</v>
      </c>
      <c r="O48" s="57">
        <v>225</v>
      </c>
      <c r="P48" s="57">
        <v>225</v>
      </c>
      <c r="Q48" s="57">
        <v>225</v>
      </c>
      <c r="R48" s="57">
        <v>225</v>
      </c>
      <c r="S48" s="57">
        <v>225</v>
      </c>
      <c r="T48" s="57">
        <v>225</v>
      </c>
      <c r="U48" s="57">
        <v>225</v>
      </c>
      <c r="V48" s="57">
        <v>225</v>
      </c>
      <c r="W48" s="57">
        <v>225</v>
      </c>
      <c r="X48" s="57">
        <v>225</v>
      </c>
      <c r="Y48" s="57">
        <v>225</v>
      </c>
      <c r="Z48" s="57">
        <v>225</v>
      </c>
      <c r="AA48" s="57">
        <v>225</v>
      </c>
      <c r="AB48" s="57">
        <v>225</v>
      </c>
      <c r="AC48" s="57">
        <v>225</v>
      </c>
      <c r="AD48" s="57">
        <v>225</v>
      </c>
      <c r="AE48" s="57">
        <v>225</v>
      </c>
      <c r="AF48" s="57">
        <v>225</v>
      </c>
      <c r="AG48" s="55">
        <v>85</v>
      </c>
      <c r="AH48" s="47">
        <f t="shared" si="2"/>
        <v>225</v>
      </c>
      <c r="AI48" s="48">
        <f t="shared" si="3"/>
        <v>225</v>
      </c>
      <c r="AK48" s="50"/>
    </row>
    <row r="49" spans="1:41" ht="15.75" thickBot="1" x14ac:dyDescent="0.3">
      <c r="A49" s="58" t="s">
        <v>57</v>
      </c>
      <c r="B49" s="57">
        <v>40</v>
      </c>
      <c r="C49" s="57">
        <f>10.5+29.8</f>
        <v>40.299999999999997</v>
      </c>
      <c r="D49" s="57">
        <f>10.2+29.1</f>
        <v>39.299999999999997</v>
      </c>
      <c r="E49" s="57">
        <f>10.2+29.1</f>
        <v>39.299999999999997</v>
      </c>
      <c r="F49" s="57">
        <v>40.200000000000003</v>
      </c>
      <c r="G49" s="57">
        <v>40.200000000000003</v>
      </c>
      <c r="H49" s="57">
        <v>39.799999999999997</v>
      </c>
      <c r="I49" s="57">
        <v>39.799999999999997</v>
      </c>
      <c r="J49" s="57">
        <v>37.700000000000003</v>
      </c>
      <c r="K49" s="57">
        <v>37.799999999999997</v>
      </c>
      <c r="L49" s="57">
        <v>36.6</v>
      </c>
      <c r="M49" s="51">
        <f>27.3+9.5</f>
        <v>36.799999999999997</v>
      </c>
      <c r="N49" s="51">
        <f>25.5+6.5</f>
        <v>32</v>
      </c>
      <c r="O49" s="51">
        <v>32</v>
      </c>
      <c r="P49" s="51">
        <f>29.3+10.1</f>
        <v>39.4</v>
      </c>
      <c r="Q49" s="51">
        <v>38.5</v>
      </c>
      <c r="R49" s="51">
        <v>38.5</v>
      </c>
      <c r="S49" s="51">
        <v>38.5</v>
      </c>
      <c r="T49" s="51">
        <v>38.5</v>
      </c>
      <c r="U49" s="51">
        <v>38.5</v>
      </c>
      <c r="V49" s="51">
        <v>38.5</v>
      </c>
      <c r="W49" s="51">
        <v>38.5</v>
      </c>
      <c r="X49" s="51">
        <v>38.5</v>
      </c>
      <c r="Y49" s="51">
        <v>38.5</v>
      </c>
      <c r="Z49" s="51">
        <v>38.5</v>
      </c>
      <c r="AA49" s="51">
        <v>38.5</v>
      </c>
      <c r="AB49" s="51">
        <v>38.5</v>
      </c>
      <c r="AC49" s="51">
        <v>38.5</v>
      </c>
      <c r="AD49" s="51">
        <v>38.5</v>
      </c>
      <c r="AE49" s="51">
        <v>38.5</v>
      </c>
      <c r="AF49" s="51">
        <v>38.5</v>
      </c>
      <c r="AG49" s="55">
        <v>240</v>
      </c>
      <c r="AH49" s="47">
        <f t="shared" si="2"/>
        <v>40.299999999999997</v>
      </c>
      <c r="AI49" s="48">
        <f t="shared" si="3"/>
        <v>32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647.92999999999995</v>
      </c>
      <c r="C50" s="60">
        <f t="shared" si="4"/>
        <v>650.53</v>
      </c>
      <c r="D50" s="60">
        <f t="shared" si="4"/>
        <v>644.53</v>
      </c>
      <c r="E50" s="60">
        <f t="shared" si="4"/>
        <v>644.53</v>
      </c>
      <c r="F50" s="60">
        <f t="shared" si="4"/>
        <v>645.32999999999993</v>
      </c>
      <c r="G50" s="60">
        <f t="shared" si="4"/>
        <v>645.32999999999993</v>
      </c>
      <c r="H50" s="60">
        <f t="shared" si="4"/>
        <v>645.32999999999993</v>
      </c>
      <c r="I50" s="60">
        <f t="shared" si="4"/>
        <v>645.32999999999993</v>
      </c>
      <c r="J50" s="60">
        <f t="shared" si="4"/>
        <v>645.32999999999993</v>
      </c>
      <c r="K50" s="60">
        <f t="shared" si="4"/>
        <v>645.32999999999993</v>
      </c>
      <c r="L50" s="60">
        <f t="shared" si="4"/>
        <v>645.32999999999993</v>
      </c>
      <c r="M50" s="60">
        <f t="shared" si="4"/>
        <v>654.79999999999995</v>
      </c>
      <c r="N50" s="60">
        <f t="shared" si="4"/>
        <v>654.79999999999995</v>
      </c>
      <c r="O50" s="60">
        <f t="shared" si="4"/>
        <v>654.79999999999995</v>
      </c>
      <c r="P50" s="60">
        <f t="shared" si="4"/>
        <v>654.79999999999995</v>
      </c>
      <c r="Q50" s="60">
        <f t="shared" si="4"/>
        <v>652.5</v>
      </c>
      <c r="R50" s="60">
        <f t="shared" si="4"/>
        <v>652.5</v>
      </c>
      <c r="S50" s="60">
        <f t="shared" si="4"/>
        <v>656.7</v>
      </c>
      <c r="T50" s="60">
        <f t="shared" ref="T50" si="5">SUM(T11:T48)</f>
        <v>656.7</v>
      </c>
      <c r="U50" s="60">
        <f t="shared" si="4"/>
        <v>651.79999999999995</v>
      </c>
      <c r="V50" s="60">
        <f t="shared" ref="V50" si="6">SUM(V11:V48)</f>
        <v>651.79999999999995</v>
      </c>
      <c r="W50" s="60">
        <f t="shared" si="4"/>
        <v>663.2</v>
      </c>
      <c r="X50" s="60">
        <f t="shared" si="4"/>
        <v>663.2</v>
      </c>
      <c r="Y50" s="60">
        <f t="shared" si="4"/>
        <v>663.2</v>
      </c>
      <c r="Z50" s="60">
        <f t="shared" ref="Z50:AA50" si="7">SUM(Z11:Z48)</f>
        <v>663.2</v>
      </c>
      <c r="AA50" s="60">
        <f t="shared" si="7"/>
        <v>663.2</v>
      </c>
      <c r="AB50" s="60">
        <f t="shared" si="4"/>
        <v>663.2</v>
      </c>
      <c r="AC50" s="60">
        <f t="shared" si="4"/>
        <v>663.2</v>
      </c>
      <c r="AD50" s="60">
        <f t="shared" si="4"/>
        <v>663.2</v>
      </c>
      <c r="AE50" s="60">
        <f t="shared" si="4"/>
        <v>663.2</v>
      </c>
      <c r="AF50" s="60">
        <f t="shared" si="4"/>
        <v>663.2</v>
      </c>
      <c r="AG50" s="61">
        <f>SUM(AG13:AG48)</f>
        <v>922.14</v>
      </c>
      <c r="AH50" s="47">
        <f t="shared" si="2"/>
        <v>663.2</v>
      </c>
      <c r="AI50" s="48">
        <f t="shared" si="3"/>
        <v>644.53</v>
      </c>
      <c r="AK50" s="50"/>
    </row>
    <row r="51" spans="1:41" x14ac:dyDescent="0.25">
      <c r="A51" s="62" t="s">
        <v>59</v>
      </c>
      <c r="B51" s="45">
        <v>0</v>
      </c>
      <c r="C51" s="45">
        <v>0</v>
      </c>
      <c r="D51" s="45">
        <v>0</v>
      </c>
      <c r="E51" s="45">
        <v>0</v>
      </c>
      <c r="F51" s="45">
        <v>0</v>
      </c>
      <c r="G51" s="45">
        <v>15</v>
      </c>
      <c r="H51" s="45">
        <v>30</v>
      </c>
      <c r="I51" s="45">
        <v>30</v>
      </c>
      <c r="J51" s="45">
        <v>90</v>
      </c>
      <c r="K51" s="45">
        <v>185</v>
      </c>
      <c r="L51" s="45">
        <v>320</v>
      </c>
      <c r="M51" s="45">
        <v>456</v>
      </c>
      <c r="N51" s="63">
        <v>400</v>
      </c>
      <c r="O51" s="63">
        <v>150</v>
      </c>
      <c r="P51" s="63">
        <v>90</v>
      </c>
      <c r="Q51" s="63">
        <v>50</v>
      </c>
      <c r="R51" s="63">
        <v>30</v>
      </c>
      <c r="S51" s="45">
        <v>12</v>
      </c>
      <c r="T51" s="45">
        <v>12</v>
      </c>
      <c r="U51" s="45">
        <v>30</v>
      </c>
      <c r="V51" s="45">
        <v>230</v>
      </c>
      <c r="W51" s="45">
        <v>430</v>
      </c>
      <c r="X51" s="45">
        <v>430</v>
      </c>
      <c r="Y51" s="45">
        <v>400</v>
      </c>
      <c r="Z51" s="45">
        <v>390</v>
      </c>
      <c r="AA51" s="45">
        <v>250</v>
      </c>
      <c r="AB51" s="45">
        <v>120</v>
      </c>
      <c r="AC51" s="45">
        <v>120</v>
      </c>
      <c r="AD51" s="45">
        <v>30</v>
      </c>
      <c r="AE51" s="45">
        <v>15</v>
      </c>
      <c r="AF51" s="45">
        <v>15</v>
      </c>
      <c r="AG51" s="52">
        <v>456</v>
      </c>
      <c r="AH51" s="47">
        <f t="shared" si="2"/>
        <v>456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46</v>
      </c>
      <c r="C52" s="65">
        <v>46</v>
      </c>
      <c r="D52" s="65">
        <v>46</v>
      </c>
      <c r="E52" s="65">
        <v>46</v>
      </c>
      <c r="F52" s="65">
        <v>40</v>
      </c>
      <c r="G52" s="65">
        <v>40</v>
      </c>
      <c r="H52" s="65">
        <v>40</v>
      </c>
      <c r="I52" s="65">
        <v>40</v>
      </c>
      <c r="J52" s="65">
        <v>40</v>
      </c>
      <c r="K52" s="65">
        <v>40</v>
      </c>
      <c r="L52" s="65">
        <v>40</v>
      </c>
      <c r="M52" s="65">
        <v>40</v>
      </c>
      <c r="N52" s="65">
        <v>40</v>
      </c>
      <c r="O52" s="65">
        <v>40</v>
      </c>
      <c r="P52" s="65">
        <v>40</v>
      </c>
      <c r="Q52" s="65">
        <v>40</v>
      </c>
      <c r="R52" s="65">
        <v>40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5">
        <v>60</v>
      </c>
      <c r="AH52" s="47">
        <f t="shared" si="2"/>
        <v>46</v>
      </c>
      <c r="AI52" s="48">
        <f t="shared" si="3"/>
        <v>40</v>
      </c>
      <c r="AK52" s="50"/>
    </row>
    <row r="53" spans="1:41" ht="15.75" thickBot="1" x14ac:dyDescent="0.3">
      <c r="A53" s="66" t="s">
        <v>61</v>
      </c>
      <c r="B53" s="67">
        <v>14.2</v>
      </c>
      <c r="C53" s="67">
        <v>14.2</v>
      </c>
      <c r="D53" s="67">
        <v>14.2</v>
      </c>
      <c r="E53" s="67">
        <v>14.2</v>
      </c>
      <c r="F53" s="67">
        <v>13.2</v>
      </c>
      <c r="G53" s="67">
        <v>13.2</v>
      </c>
      <c r="H53" s="67">
        <v>13.2</v>
      </c>
      <c r="I53" s="67">
        <v>13.2</v>
      </c>
      <c r="J53" s="67">
        <v>13.2</v>
      </c>
      <c r="K53" s="67">
        <v>17</v>
      </c>
      <c r="L53" s="67">
        <v>17</v>
      </c>
      <c r="M53" s="67">
        <v>17.100000000000001</v>
      </c>
      <c r="N53" s="67">
        <v>12.1</v>
      </c>
      <c r="O53" s="67">
        <v>12.2</v>
      </c>
      <c r="P53" s="67">
        <v>12.2</v>
      </c>
      <c r="Q53" s="67">
        <v>12.1</v>
      </c>
      <c r="R53" s="67">
        <v>12.1</v>
      </c>
      <c r="S53" s="67">
        <v>12</v>
      </c>
      <c r="T53" s="67">
        <v>12</v>
      </c>
      <c r="U53" s="67">
        <v>15.2</v>
      </c>
      <c r="V53" s="67">
        <v>15.2</v>
      </c>
      <c r="W53" s="67">
        <v>20.100000000000001</v>
      </c>
      <c r="X53" s="67">
        <v>20.100000000000001</v>
      </c>
      <c r="Y53" s="67">
        <v>20.100000000000001</v>
      </c>
      <c r="Z53" s="67">
        <v>20.100000000000001</v>
      </c>
      <c r="AA53" s="67">
        <v>20.100000000000001</v>
      </c>
      <c r="AB53" s="67">
        <v>20</v>
      </c>
      <c r="AC53" s="67">
        <v>20</v>
      </c>
      <c r="AD53" s="67">
        <v>20</v>
      </c>
      <c r="AE53" s="67">
        <v>20</v>
      </c>
      <c r="AF53" s="67">
        <v>20</v>
      </c>
      <c r="AG53" s="68">
        <v>22.1</v>
      </c>
      <c r="AH53" s="47">
        <f t="shared" si="2"/>
        <v>20.100000000000001</v>
      </c>
      <c r="AI53" s="48">
        <f t="shared" si="3"/>
        <v>12</v>
      </c>
      <c r="AK53" s="50"/>
    </row>
    <row r="54" spans="1:41" ht="15.75" thickBot="1" x14ac:dyDescent="0.3">
      <c r="A54" s="69" t="s">
        <v>62</v>
      </c>
      <c r="B54" s="60">
        <f t="shared" ref="B54:AG54" si="8">SUM(B51:B53)</f>
        <v>60.2</v>
      </c>
      <c r="C54" s="60">
        <f t="shared" si="8"/>
        <v>60.2</v>
      </c>
      <c r="D54" s="60">
        <f t="shared" si="8"/>
        <v>60.2</v>
      </c>
      <c r="E54" s="60">
        <f t="shared" si="8"/>
        <v>60.2</v>
      </c>
      <c r="F54" s="60">
        <f t="shared" si="8"/>
        <v>53.2</v>
      </c>
      <c r="G54" s="60">
        <f t="shared" si="8"/>
        <v>68.2</v>
      </c>
      <c r="H54" s="60">
        <f t="shared" si="8"/>
        <v>83.2</v>
      </c>
      <c r="I54" s="60">
        <f t="shared" si="8"/>
        <v>83.2</v>
      </c>
      <c r="J54" s="60">
        <f t="shared" si="8"/>
        <v>143.19999999999999</v>
      </c>
      <c r="K54" s="60">
        <f t="shared" si="8"/>
        <v>242</v>
      </c>
      <c r="L54" s="60">
        <f t="shared" si="8"/>
        <v>377</v>
      </c>
      <c r="M54" s="60">
        <f t="shared" si="8"/>
        <v>513.1</v>
      </c>
      <c r="N54" s="60">
        <f t="shared" si="8"/>
        <v>452.1</v>
      </c>
      <c r="O54" s="60">
        <f t="shared" si="8"/>
        <v>202.2</v>
      </c>
      <c r="P54" s="60">
        <f t="shared" si="8"/>
        <v>142.19999999999999</v>
      </c>
      <c r="Q54" s="60">
        <f t="shared" si="8"/>
        <v>102.1</v>
      </c>
      <c r="R54" s="60">
        <f t="shared" si="8"/>
        <v>82.1</v>
      </c>
      <c r="S54" s="60">
        <f t="shared" si="8"/>
        <v>66</v>
      </c>
      <c r="T54" s="60">
        <f t="shared" ref="T54" si="9">SUM(T51:T53)</f>
        <v>66</v>
      </c>
      <c r="U54" s="60">
        <f t="shared" si="8"/>
        <v>87.2</v>
      </c>
      <c r="V54" s="60">
        <f t="shared" ref="V54" si="10">SUM(V51:V53)</f>
        <v>287.2</v>
      </c>
      <c r="W54" s="60">
        <f t="shared" si="8"/>
        <v>492.1</v>
      </c>
      <c r="X54" s="60">
        <f t="shared" si="8"/>
        <v>492.1</v>
      </c>
      <c r="Y54" s="60">
        <f t="shared" si="8"/>
        <v>462.1</v>
      </c>
      <c r="Z54" s="60">
        <f t="shared" ref="Z54:AA54" si="11">SUM(Z51:Z53)</f>
        <v>452.1</v>
      </c>
      <c r="AA54" s="60">
        <f t="shared" si="11"/>
        <v>312.10000000000002</v>
      </c>
      <c r="AB54" s="60">
        <f t="shared" si="8"/>
        <v>182</v>
      </c>
      <c r="AC54" s="60">
        <f t="shared" si="8"/>
        <v>182</v>
      </c>
      <c r="AD54" s="60">
        <f t="shared" si="8"/>
        <v>92</v>
      </c>
      <c r="AE54" s="60">
        <f t="shared" si="8"/>
        <v>77</v>
      </c>
      <c r="AF54" s="60">
        <f t="shared" si="8"/>
        <v>77</v>
      </c>
      <c r="AG54" s="61">
        <f t="shared" si="8"/>
        <v>538.1</v>
      </c>
      <c r="AH54" s="47">
        <f t="shared" si="2"/>
        <v>513.1</v>
      </c>
      <c r="AI54" s="48">
        <f t="shared" si="3"/>
        <v>53.2</v>
      </c>
      <c r="AK54" s="50"/>
    </row>
    <row r="55" spans="1:41" x14ac:dyDescent="0.25">
      <c r="A55" s="44" t="s">
        <v>63</v>
      </c>
      <c r="B55" s="45">
        <v>48.5</v>
      </c>
      <c r="C55" s="45">
        <v>48.4</v>
      </c>
      <c r="D55" s="45">
        <v>48.4</v>
      </c>
      <c r="E55" s="45">
        <v>48.4</v>
      </c>
      <c r="F55" s="45">
        <v>31</v>
      </c>
      <c r="G55" s="45">
        <v>45.4</v>
      </c>
      <c r="H55" s="45">
        <v>45.8</v>
      </c>
      <c r="I55" s="45">
        <v>112.5</v>
      </c>
      <c r="J55" s="45">
        <v>144</v>
      </c>
      <c r="K55" s="45">
        <v>144</v>
      </c>
      <c r="L55" s="45">
        <v>144</v>
      </c>
      <c r="M55" s="45">
        <v>143</v>
      </c>
      <c r="N55" s="45">
        <v>143</v>
      </c>
      <c r="O55" s="45">
        <v>98</v>
      </c>
      <c r="P55" s="45">
        <v>94</v>
      </c>
      <c r="Q55" s="45">
        <v>56.7</v>
      </c>
      <c r="R55" s="45">
        <v>56.7</v>
      </c>
      <c r="S55" s="45">
        <v>36</v>
      </c>
      <c r="T55" s="45">
        <v>36</v>
      </c>
      <c r="U55" s="45">
        <v>61</v>
      </c>
      <c r="V55" s="45">
        <v>143</v>
      </c>
      <c r="W55" s="45">
        <v>143</v>
      </c>
      <c r="X55" s="45">
        <v>143</v>
      </c>
      <c r="Y55" s="45">
        <v>143</v>
      </c>
      <c r="Z55" s="45">
        <v>140.69999999999999</v>
      </c>
      <c r="AA55" s="45">
        <v>140.69999999999999</v>
      </c>
      <c r="AB55" s="45">
        <v>120</v>
      </c>
      <c r="AC55" s="45">
        <v>120</v>
      </c>
      <c r="AD55" s="45">
        <v>81</v>
      </c>
      <c r="AE55" s="45">
        <v>57</v>
      </c>
      <c r="AF55" s="45">
        <v>0</v>
      </c>
      <c r="AG55" s="52">
        <v>144</v>
      </c>
      <c r="AH55" s="47">
        <f t="shared" si="2"/>
        <v>144</v>
      </c>
      <c r="AI55" s="48">
        <f t="shared" si="3"/>
        <v>0</v>
      </c>
      <c r="AK55" s="50"/>
    </row>
    <row r="56" spans="1:41" x14ac:dyDescent="0.25">
      <c r="A56" s="54" t="s">
        <v>64</v>
      </c>
      <c r="B56" s="45">
        <v>35</v>
      </c>
      <c r="C56" s="45">
        <v>34.299999999999997</v>
      </c>
      <c r="D56" s="45">
        <v>25</v>
      </c>
      <c r="E56" s="45">
        <v>25</v>
      </c>
      <c r="F56" s="65">
        <v>0</v>
      </c>
      <c r="G56" s="65">
        <v>0</v>
      </c>
      <c r="H56" s="65">
        <v>29.6</v>
      </c>
      <c r="I56" s="65">
        <v>52.3</v>
      </c>
      <c r="J56" s="65">
        <v>69.5</v>
      </c>
      <c r="K56" s="65">
        <v>69.5</v>
      </c>
      <c r="L56" s="65">
        <v>69.5</v>
      </c>
      <c r="M56" s="65">
        <v>70</v>
      </c>
      <c r="N56" s="65">
        <v>70</v>
      </c>
      <c r="O56" s="65">
        <v>70</v>
      </c>
      <c r="P56" s="65">
        <v>60</v>
      </c>
      <c r="Q56" s="65">
        <v>34.1</v>
      </c>
      <c r="R56" s="65">
        <v>0</v>
      </c>
      <c r="S56" s="45">
        <v>0</v>
      </c>
      <c r="T56" s="45">
        <v>0</v>
      </c>
      <c r="U56" s="45">
        <v>23</v>
      </c>
      <c r="V56" s="45">
        <v>69</v>
      </c>
      <c r="W56" s="45">
        <v>69</v>
      </c>
      <c r="X56" s="45">
        <v>69</v>
      </c>
      <c r="Y56" s="45">
        <v>69</v>
      </c>
      <c r="Z56" s="45">
        <v>59.1</v>
      </c>
      <c r="AA56" s="45">
        <v>59.1</v>
      </c>
      <c r="AB56" s="45">
        <v>59</v>
      </c>
      <c r="AC56" s="45">
        <v>59</v>
      </c>
      <c r="AD56" s="65">
        <v>59</v>
      </c>
      <c r="AE56" s="65">
        <v>50</v>
      </c>
      <c r="AF56" s="65">
        <v>0</v>
      </c>
      <c r="AG56" s="55">
        <v>70</v>
      </c>
      <c r="AH56" s="47">
        <f t="shared" si="2"/>
        <v>70</v>
      </c>
      <c r="AI56" s="48">
        <f t="shared" si="3"/>
        <v>0</v>
      </c>
      <c r="AK56" s="50"/>
    </row>
    <row r="57" spans="1:41" x14ac:dyDescent="0.25">
      <c r="A57" s="54" t="s">
        <v>65</v>
      </c>
      <c r="B57" s="45">
        <v>36.1</v>
      </c>
      <c r="C57" s="45">
        <v>36.4</v>
      </c>
      <c r="D57" s="45">
        <v>36.4</v>
      </c>
      <c r="E57" s="45">
        <v>36.4</v>
      </c>
      <c r="F57" s="65">
        <v>36.799999999999997</v>
      </c>
      <c r="G57" s="65">
        <v>53.5</v>
      </c>
      <c r="H57" s="65">
        <v>66.099999999999994</v>
      </c>
      <c r="I57" s="65">
        <v>69</v>
      </c>
      <c r="J57" s="65">
        <v>67</v>
      </c>
      <c r="K57" s="65">
        <v>67</v>
      </c>
      <c r="L57" s="65">
        <v>67</v>
      </c>
      <c r="M57" s="65">
        <v>67.7</v>
      </c>
      <c r="N57" s="65">
        <v>67.7</v>
      </c>
      <c r="O57" s="65">
        <v>67.7</v>
      </c>
      <c r="P57" s="65">
        <v>57.6</v>
      </c>
      <c r="Q57" s="65">
        <v>33.1</v>
      </c>
      <c r="R57" s="65">
        <v>33.1</v>
      </c>
      <c r="S57" s="45">
        <v>36</v>
      </c>
      <c r="T57" s="45">
        <v>36</v>
      </c>
      <c r="U57" s="45">
        <v>45</v>
      </c>
      <c r="V57" s="45">
        <v>65</v>
      </c>
      <c r="W57" s="45">
        <v>65</v>
      </c>
      <c r="X57" s="45">
        <v>65</v>
      </c>
      <c r="Y57" s="45">
        <v>65</v>
      </c>
      <c r="Z57" s="45">
        <v>60.6</v>
      </c>
      <c r="AA57" s="45">
        <v>60.6</v>
      </c>
      <c r="AB57" s="45">
        <v>60</v>
      </c>
      <c r="AC57" s="45">
        <v>60</v>
      </c>
      <c r="AD57" s="65">
        <v>51</v>
      </c>
      <c r="AE57" s="65">
        <v>34</v>
      </c>
      <c r="AF57" s="65">
        <v>34</v>
      </c>
      <c r="AG57" s="55">
        <v>69</v>
      </c>
      <c r="AH57" s="47">
        <f t="shared" si="2"/>
        <v>69</v>
      </c>
      <c r="AI57" s="48">
        <f t="shared" si="3"/>
        <v>33.1</v>
      </c>
      <c r="AK57" s="50"/>
    </row>
    <row r="58" spans="1:41" x14ac:dyDescent="0.25">
      <c r="A58" s="54" t="s">
        <v>66</v>
      </c>
      <c r="B58" s="45">
        <v>60</v>
      </c>
      <c r="C58" s="45">
        <v>60</v>
      </c>
      <c r="D58" s="45">
        <v>60</v>
      </c>
      <c r="E58" s="45">
        <v>60</v>
      </c>
      <c r="F58" s="57">
        <v>57.2</v>
      </c>
      <c r="G58" s="57">
        <v>57.2</v>
      </c>
      <c r="H58" s="57">
        <v>57.2</v>
      </c>
      <c r="I58" s="57">
        <v>57.2</v>
      </c>
      <c r="J58" s="57">
        <v>57.4</v>
      </c>
      <c r="K58" s="57">
        <v>57.4</v>
      </c>
      <c r="L58" s="57">
        <v>57.4</v>
      </c>
      <c r="M58" s="65">
        <v>58.2</v>
      </c>
      <c r="N58" s="65">
        <v>58.2</v>
      </c>
      <c r="O58" s="65">
        <v>58.2</v>
      </c>
      <c r="P58" s="65">
        <v>58.2</v>
      </c>
      <c r="Q58" s="65">
        <v>56.4</v>
      </c>
      <c r="R58" s="65">
        <v>54.4</v>
      </c>
      <c r="S58" s="45">
        <v>55</v>
      </c>
      <c r="T58" s="45">
        <v>55</v>
      </c>
      <c r="U58" s="45">
        <v>55.2</v>
      </c>
      <c r="V58" s="45">
        <v>55.2</v>
      </c>
      <c r="W58" s="45">
        <v>55.2</v>
      </c>
      <c r="X58" s="45">
        <v>55.2</v>
      </c>
      <c r="Y58" s="45">
        <v>55.2</v>
      </c>
      <c r="Z58" s="45">
        <v>58.5</v>
      </c>
      <c r="AA58" s="45">
        <v>58.5</v>
      </c>
      <c r="AB58" s="45">
        <v>58.5</v>
      </c>
      <c r="AC58" s="45">
        <v>58.5</v>
      </c>
      <c r="AD58" s="45">
        <v>58.5</v>
      </c>
      <c r="AE58" s="45">
        <v>58.5</v>
      </c>
      <c r="AF58" s="45">
        <v>58.5</v>
      </c>
      <c r="AG58" s="55">
        <v>60</v>
      </c>
      <c r="AH58" s="47">
        <f t="shared" si="2"/>
        <v>60</v>
      </c>
      <c r="AI58" s="48">
        <f t="shared" si="3"/>
        <v>54.4</v>
      </c>
      <c r="AK58" s="50"/>
    </row>
    <row r="59" spans="1:41" x14ac:dyDescent="0.25">
      <c r="A59" s="54" t="s">
        <v>67</v>
      </c>
      <c r="B59" s="45">
        <v>0</v>
      </c>
      <c r="C59" s="45">
        <v>0</v>
      </c>
      <c r="D59" s="45">
        <v>0</v>
      </c>
      <c r="E59" s="45">
        <v>0</v>
      </c>
      <c r="F59" s="57">
        <v>15</v>
      </c>
      <c r="G59" s="57">
        <v>15</v>
      </c>
      <c r="H59" s="57">
        <v>15</v>
      </c>
      <c r="I59" s="57">
        <v>15</v>
      </c>
      <c r="J59" s="57">
        <v>29</v>
      </c>
      <c r="K59" s="57">
        <v>29</v>
      </c>
      <c r="L59" s="57">
        <v>29</v>
      </c>
      <c r="M59" s="65">
        <v>27</v>
      </c>
      <c r="N59" s="65">
        <v>23</v>
      </c>
      <c r="O59" s="65">
        <v>0</v>
      </c>
      <c r="P59" s="65">
        <v>0</v>
      </c>
      <c r="Q59" s="65">
        <v>0</v>
      </c>
      <c r="R59" s="65">
        <v>0</v>
      </c>
      <c r="S59" s="45">
        <v>0</v>
      </c>
      <c r="T59" s="45">
        <v>0</v>
      </c>
      <c r="U59" s="45">
        <v>0</v>
      </c>
      <c r="V59" s="45">
        <v>28</v>
      </c>
      <c r="W59" s="45">
        <v>25</v>
      </c>
      <c r="X59" s="45">
        <v>29</v>
      </c>
      <c r="Y59" s="45">
        <v>29</v>
      </c>
      <c r="Z59" s="45">
        <v>29</v>
      </c>
      <c r="AA59" s="45">
        <v>29</v>
      </c>
      <c r="AB59" s="45">
        <v>29</v>
      </c>
      <c r="AC59" s="45">
        <v>29</v>
      </c>
      <c r="AD59" s="45">
        <v>29</v>
      </c>
      <c r="AE59" s="45">
        <v>0</v>
      </c>
      <c r="AF59" s="45">
        <v>0</v>
      </c>
      <c r="AG59" s="55">
        <v>30</v>
      </c>
      <c r="AH59" s="47">
        <f t="shared" si="2"/>
        <v>29</v>
      </c>
      <c r="AI59" s="48">
        <f t="shared" si="3"/>
        <v>0</v>
      </c>
      <c r="AK59" s="50"/>
    </row>
    <row r="60" spans="1:41" x14ac:dyDescent="0.25">
      <c r="A60" s="54" t="s">
        <v>68</v>
      </c>
      <c r="B60" s="45">
        <v>0</v>
      </c>
      <c r="C60" s="45">
        <v>0</v>
      </c>
      <c r="D60" s="45">
        <v>0</v>
      </c>
      <c r="E60" s="4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1.7</v>
      </c>
      <c r="N60" s="65">
        <v>2.8</v>
      </c>
      <c r="O60" s="65">
        <v>2.8</v>
      </c>
      <c r="P60" s="65">
        <v>13</v>
      </c>
      <c r="Q60" s="65">
        <v>14.9</v>
      </c>
      <c r="R60" s="65">
        <v>14</v>
      </c>
      <c r="S60" s="65">
        <v>10</v>
      </c>
      <c r="T60" s="65">
        <v>6</v>
      </c>
      <c r="U60" s="45">
        <v>2.2999999999999998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5">
        <v>25</v>
      </c>
      <c r="AH60" s="47">
        <f t="shared" si="2"/>
        <v>14.9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4" t="s">
        <v>70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5">
        <v>15</v>
      </c>
      <c r="AH62" s="47">
        <f t="shared" si="2"/>
        <v>0</v>
      </c>
      <c r="AI62" s="48">
        <f t="shared" si="3"/>
        <v>0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13.7</v>
      </c>
      <c r="C63" s="65">
        <v>13.7</v>
      </c>
      <c r="D63" s="65">
        <v>13.7</v>
      </c>
      <c r="E63" s="65">
        <v>13.7</v>
      </c>
      <c r="F63" s="65">
        <v>13.7</v>
      </c>
      <c r="G63" s="65">
        <v>13.7</v>
      </c>
      <c r="H63" s="65">
        <v>13.7</v>
      </c>
      <c r="I63" s="65">
        <v>13.7</v>
      </c>
      <c r="J63" s="65">
        <v>13.7</v>
      </c>
      <c r="K63" s="65">
        <v>13.7</v>
      </c>
      <c r="L63" s="65">
        <v>13.7</v>
      </c>
      <c r="M63" s="65">
        <v>13.7</v>
      </c>
      <c r="N63" s="65">
        <v>13.7</v>
      </c>
      <c r="O63" s="65">
        <v>13.7</v>
      </c>
      <c r="P63" s="65">
        <v>13.7</v>
      </c>
      <c r="Q63" s="65">
        <v>13.7</v>
      </c>
      <c r="R63" s="65">
        <v>13.7</v>
      </c>
      <c r="S63" s="65">
        <v>13.7</v>
      </c>
      <c r="T63" s="65">
        <v>13.7</v>
      </c>
      <c r="U63" s="65">
        <v>13.7</v>
      </c>
      <c r="V63" s="65">
        <v>13.7</v>
      </c>
      <c r="W63" s="65">
        <v>13.7</v>
      </c>
      <c r="X63" s="65">
        <v>13.7</v>
      </c>
      <c r="Y63" s="65">
        <v>13.7</v>
      </c>
      <c r="Z63" s="65">
        <v>13.7</v>
      </c>
      <c r="AA63" s="65">
        <v>13.7</v>
      </c>
      <c r="AB63" s="65">
        <v>13.7</v>
      </c>
      <c r="AC63" s="65">
        <v>13.7</v>
      </c>
      <c r="AD63" s="65">
        <v>13.7</v>
      </c>
      <c r="AE63" s="65">
        <v>13.7</v>
      </c>
      <c r="AF63" s="65">
        <v>13.7</v>
      </c>
      <c r="AG63" s="55">
        <v>14.1</v>
      </c>
      <c r="AH63" s="47">
        <f t="shared" si="2"/>
        <v>13.7</v>
      </c>
      <c r="AI63" s="48">
        <f t="shared" si="3"/>
        <v>13.7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6.7</v>
      </c>
      <c r="C64" s="65">
        <v>6.5</v>
      </c>
      <c r="D64" s="65">
        <v>6.7</v>
      </c>
      <c r="E64" s="65">
        <v>6.7</v>
      </c>
      <c r="F64" s="65">
        <v>6.7</v>
      </c>
      <c r="G64" s="65">
        <v>6.7</v>
      </c>
      <c r="H64" s="65">
        <v>6.7</v>
      </c>
      <c r="I64" s="65">
        <v>6.7</v>
      </c>
      <c r="J64" s="65">
        <v>6.7</v>
      </c>
      <c r="K64" s="65">
        <v>6.7</v>
      </c>
      <c r="L64" s="65">
        <v>6.7</v>
      </c>
      <c r="M64" s="65">
        <v>6.7</v>
      </c>
      <c r="N64" s="65">
        <v>6.7</v>
      </c>
      <c r="O64" s="65">
        <v>6.7</v>
      </c>
      <c r="P64" s="65">
        <v>6.7</v>
      </c>
      <c r="Q64" s="65">
        <v>6.7</v>
      </c>
      <c r="R64" s="65">
        <v>6.7</v>
      </c>
      <c r="S64" s="65">
        <v>6.7</v>
      </c>
      <c r="T64" s="65">
        <v>6.7</v>
      </c>
      <c r="U64" s="65">
        <v>6.7</v>
      </c>
      <c r="V64" s="65">
        <v>6.7</v>
      </c>
      <c r="W64" s="65">
        <v>6.7</v>
      </c>
      <c r="X64" s="65">
        <v>6.7</v>
      </c>
      <c r="Y64" s="65">
        <v>6.7</v>
      </c>
      <c r="Z64" s="65">
        <v>6.7</v>
      </c>
      <c r="AA64" s="65">
        <v>6.7</v>
      </c>
      <c r="AB64" s="65">
        <v>6.7</v>
      </c>
      <c r="AC64" s="65">
        <v>6.7</v>
      </c>
      <c r="AD64" s="65">
        <v>6.7</v>
      </c>
      <c r="AE64" s="65">
        <v>6.7</v>
      </c>
      <c r="AF64" s="65">
        <v>6.7</v>
      </c>
      <c r="AG64" s="55">
        <v>14</v>
      </c>
      <c r="AH64" s="47">
        <f t="shared" si="2"/>
        <v>6.7</v>
      </c>
      <c r="AI64" s="48">
        <f t="shared" si="3"/>
        <v>6.5</v>
      </c>
      <c r="AK64" s="50"/>
    </row>
    <row r="65" spans="1:40" x14ac:dyDescent="0.25">
      <c r="A65" s="54" t="s">
        <v>73</v>
      </c>
      <c r="B65" s="65">
        <v>6.5</v>
      </c>
      <c r="C65" s="65">
        <v>6.5</v>
      </c>
      <c r="D65" s="65">
        <v>6.5</v>
      </c>
      <c r="E65" s="65">
        <v>6.5</v>
      </c>
      <c r="F65" s="65">
        <v>6.5</v>
      </c>
      <c r="G65" s="65">
        <v>6.5</v>
      </c>
      <c r="H65" s="65">
        <v>6.5</v>
      </c>
      <c r="I65" s="65">
        <v>6.5</v>
      </c>
      <c r="J65" s="65">
        <v>6.5</v>
      </c>
      <c r="K65" s="65">
        <v>6.5</v>
      </c>
      <c r="L65" s="65">
        <v>6.5</v>
      </c>
      <c r="M65" s="65">
        <v>6.5</v>
      </c>
      <c r="N65" s="65">
        <v>6.5</v>
      </c>
      <c r="O65" s="65">
        <v>6.5</v>
      </c>
      <c r="P65" s="65">
        <v>6.5</v>
      </c>
      <c r="Q65" s="65">
        <v>6.5</v>
      </c>
      <c r="R65" s="65">
        <v>6.5</v>
      </c>
      <c r="S65" s="65">
        <v>6.5</v>
      </c>
      <c r="T65" s="65">
        <v>6.5</v>
      </c>
      <c r="U65" s="65">
        <v>6.5</v>
      </c>
      <c r="V65" s="65">
        <v>6.5</v>
      </c>
      <c r="W65" s="65">
        <v>6.5</v>
      </c>
      <c r="X65" s="65">
        <v>6.5</v>
      </c>
      <c r="Y65" s="65">
        <v>6.5</v>
      </c>
      <c r="Z65" s="65">
        <v>6.5</v>
      </c>
      <c r="AA65" s="65">
        <v>6.5</v>
      </c>
      <c r="AB65" s="65">
        <v>6.5</v>
      </c>
      <c r="AC65" s="65">
        <v>6.5</v>
      </c>
      <c r="AD65" s="65">
        <v>6.5</v>
      </c>
      <c r="AE65" s="65">
        <v>6.5</v>
      </c>
      <c r="AF65" s="65">
        <v>6.5</v>
      </c>
      <c r="AG65" s="55">
        <v>10.050000000000001</v>
      </c>
      <c r="AH65" s="47">
        <f t="shared" si="2"/>
        <v>6.5</v>
      </c>
      <c r="AI65" s="48">
        <f t="shared" si="3"/>
        <v>6.5</v>
      </c>
      <c r="AK65" s="50"/>
    </row>
    <row r="66" spans="1:40" x14ac:dyDescent="0.25">
      <c r="A66" s="54" t="s">
        <v>74</v>
      </c>
      <c r="B66" s="65">
        <v>3.52</v>
      </c>
      <c r="C66" s="65">
        <v>3.52</v>
      </c>
      <c r="D66" s="65">
        <v>3.52</v>
      </c>
      <c r="E66" s="65">
        <v>3.52</v>
      </c>
      <c r="F66" s="65">
        <v>3.52</v>
      </c>
      <c r="G66" s="65">
        <v>3.52</v>
      </c>
      <c r="H66" s="65">
        <v>3.52</v>
      </c>
      <c r="I66" s="65">
        <v>3.52</v>
      </c>
      <c r="J66" s="65">
        <v>3.52</v>
      </c>
      <c r="K66" s="65">
        <v>3.52</v>
      </c>
      <c r="L66" s="65">
        <v>3.52</v>
      </c>
      <c r="M66" s="65">
        <v>3.52</v>
      </c>
      <c r="N66" s="65">
        <v>3.52</v>
      </c>
      <c r="O66" s="65">
        <v>3.52</v>
      </c>
      <c r="P66" s="65">
        <v>3.52</v>
      </c>
      <c r="Q66" s="65">
        <v>3.52</v>
      </c>
      <c r="R66" s="65">
        <v>3.52</v>
      </c>
      <c r="S66" s="65">
        <v>3.52</v>
      </c>
      <c r="T66" s="65">
        <v>3.52</v>
      </c>
      <c r="U66" s="65">
        <v>3.52</v>
      </c>
      <c r="V66" s="65">
        <v>3.52</v>
      </c>
      <c r="W66" s="65">
        <v>3.52</v>
      </c>
      <c r="X66" s="65">
        <v>3.52</v>
      </c>
      <c r="Y66" s="65">
        <v>3.52</v>
      </c>
      <c r="Z66" s="65">
        <v>3.52</v>
      </c>
      <c r="AA66" s="65">
        <v>3.52</v>
      </c>
      <c r="AB66" s="65">
        <v>3.52</v>
      </c>
      <c r="AC66" s="65">
        <v>3.52</v>
      </c>
      <c r="AD66" s="65">
        <v>3.52</v>
      </c>
      <c r="AE66" s="65">
        <v>3.52</v>
      </c>
      <c r="AF66" s="65">
        <v>3.52</v>
      </c>
      <c r="AG66" s="55">
        <v>6.2</v>
      </c>
      <c r="AH66" s="47">
        <f t="shared" si="2"/>
        <v>3.52</v>
      </c>
      <c r="AI66" s="48">
        <f t="shared" si="3"/>
        <v>3.52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4" t="s">
        <v>76</v>
      </c>
      <c r="B68" s="60">
        <f t="shared" ref="B68:AG68" si="12">SUM(B55:B67)</f>
        <v>229.55999999999997</v>
      </c>
      <c r="C68" s="60">
        <f t="shared" si="12"/>
        <v>228.85999999999999</v>
      </c>
      <c r="D68" s="60">
        <f t="shared" si="12"/>
        <v>219.76</v>
      </c>
      <c r="E68" s="60">
        <f t="shared" si="12"/>
        <v>219.76</v>
      </c>
      <c r="F68" s="60">
        <f t="shared" si="12"/>
        <v>189.95999999999998</v>
      </c>
      <c r="G68" s="60">
        <f t="shared" si="12"/>
        <v>221.06</v>
      </c>
      <c r="H68" s="60">
        <f t="shared" si="12"/>
        <v>263.65999999999997</v>
      </c>
      <c r="I68" s="60">
        <f t="shared" si="12"/>
        <v>355.96</v>
      </c>
      <c r="J68" s="60">
        <f t="shared" si="12"/>
        <v>416.85999999999996</v>
      </c>
      <c r="K68" s="60">
        <f t="shared" si="12"/>
        <v>416.85999999999996</v>
      </c>
      <c r="L68" s="60">
        <f t="shared" si="12"/>
        <v>416.85999999999996</v>
      </c>
      <c r="M68" s="60">
        <f t="shared" si="12"/>
        <v>417.55999999999995</v>
      </c>
      <c r="N68" s="60">
        <f t="shared" si="12"/>
        <v>414.65999999999997</v>
      </c>
      <c r="O68" s="60">
        <f t="shared" si="12"/>
        <v>346.65999999999997</v>
      </c>
      <c r="P68" s="60">
        <f t="shared" si="12"/>
        <v>332.76</v>
      </c>
      <c r="Q68" s="60">
        <f t="shared" si="12"/>
        <v>245.16</v>
      </c>
      <c r="R68" s="60">
        <f t="shared" si="12"/>
        <v>208.16</v>
      </c>
      <c r="S68" s="60">
        <f t="shared" si="12"/>
        <v>186.95999999999998</v>
      </c>
      <c r="T68" s="60">
        <f t="shared" ref="T68" si="13">SUM(T55:T67)</f>
        <v>182.95999999999998</v>
      </c>
      <c r="U68" s="60">
        <f t="shared" si="12"/>
        <v>236.45999999999998</v>
      </c>
      <c r="V68" s="60">
        <f t="shared" ref="V68" si="14">SUM(V55:V67)</f>
        <v>410.15999999999997</v>
      </c>
      <c r="W68" s="60">
        <f t="shared" si="12"/>
        <v>407.15999999999997</v>
      </c>
      <c r="X68" s="60">
        <f t="shared" si="12"/>
        <v>411.15999999999997</v>
      </c>
      <c r="Y68" s="60">
        <f t="shared" si="12"/>
        <v>411.15999999999997</v>
      </c>
      <c r="Z68" s="60">
        <f t="shared" ref="Z68:AA68" si="15">SUM(Z55:Z67)</f>
        <v>397.85999999999996</v>
      </c>
      <c r="AA68" s="60">
        <f t="shared" si="15"/>
        <v>397.85999999999996</v>
      </c>
      <c r="AB68" s="60">
        <f t="shared" si="12"/>
        <v>376.46</v>
      </c>
      <c r="AC68" s="60">
        <f t="shared" si="12"/>
        <v>376.46</v>
      </c>
      <c r="AD68" s="60">
        <f t="shared" si="12"/>
        <v>328.46</v>
      </c>
      <c r="AE68" s="60">
        <f t="shared" si="12"/>
        <v>249.45999999999998</v>
      </c>
      <c r="AF68" s="60">
        <f t="shared" si="12"/>
        <v>142.46</v>
      </c>
      <c r="AG68" s="61">
        <f t="shared" si="12"/>
        <v>489.91</v>
      </c>
      <c r="AH68" s="47">
        <f t="shared" si="2"/>
        <v>417.55999999999995</v>
      </c>
      <c r="AI68" s="48">
        <f t="shared" si="3"/>
        <v>142.46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60</v>
      </c>
      <c r="N69" s="45">
        <v>20</v>
      </c>
      <c r="O69" s="45">
        <v>10</v>
      </c>
      <c r="P69" s="45">
        <v>10</v>
      </c>
      <c r="Q69" s="45">
        <v>10</v>
      </c>
      <c r="R69" s="45"/>
      <c r="S69" s="45">
        <v>0</v>
      </c>
      <c r="T69" s="45">
        <v>0</v>
      </c>
      <c r="U69" s="45">
        <v>0</v>
      </c>
      <c r="V69" s="45">
        <v>0</v>
      </c>
      <c r="W69" s="45">
        <v>14</v>
      </c>
      <c r="X69" s="45">
        <v>34.6</v>
      </c>
      <c r="Y69" s="45">
        <v>14.3</v>
      </c>
      <c r="Z69" s="45">
        <v>0</v>
      </c>
      <c r="AA69" s="45">
        <v>0</v>
      </c>
      <c r="AB69" s="45"/>
      <c r="AC69" s="45"/>
      <c r="AD69" s="45"/>
      <c r="AE69" s="45"/>
      <c r="AF69" s="45"/>
      <c r="AG69" s="52">
        <v>60</v>
      </c>
      <c r="AH69" s="47">
        <f t="shared" si="2"/>
        <v>60</v>
      </c>
      <c r="AI69" s="48">
        <f t="shared" si="3"/>
        <v>0</v>
      </c>
      <c r="AK69" s="50"/>
    </row>
    <row r="70" spans="1:40" x14ac:dyDescent="0.25">
      <c r="A70" s="54" t="s">
        <v>78</v>
      </c>
      <c r="B70" s="45"/>
      <c r="C70" s="45"/>
      <c r="D70" s="45"/>
      <c r="E70" s="45"/>
      <c r="F70" s="45"/>
      <c r="G70" s="45"/>
      <c r="H70" s="65"/>
      <c r="I70" s="65"/>
      <c r="J70" s="65"/>
      <c r="K70" s="65"/>
      <c r="L70" s="65"/>
      <c r="M70" s="65">
        <v>27.6</v>
      </c>
      <c r="N70" s="65">
        <v>10</v>
      </c>
      <c r="O70" s="65">
        <v>3.2</v>
      </c>
      <c r="P70" s="65">
        <v>3.2</v>
      </c>
      <c r="Q70" s="65">
        <v>3.2</v>
      </c>
      <c r="R70" s="65"/>
      <c r="S70" s="65">
        <v>0</v>
      </c>
      <c r="T70" s="65">
        <v>0</v>
      </c>
      <c r="U70" s="65">
        <v>0</v>
      </c>
      <c r="V70" s="65">
        <v>0</v>
      </c>
      <c r="W70" s="65">
        <v>5.5</v>
      </c>
      <c r="X70" s="65">
        <v>20.3</v>
      </c>
      <c r="Y70" s="65">
        <v>4.9000000000000004</v>
      </c>
      <c r="Z70" s="65">
        <v>0</v>
      </c>
      <c r="AA70" s="65">
        <v>0</v>
      </c>
      <c r="AB70" s="65"/>
      <c r="AC70" s="65"/>
      <c r="AD70" s="65"/>
      <c r="AE70" s="65"/>
      <c r="AF70" s="65"/>
      <c r="AG70" s="55">
        <v>32</v>
      </c>
      <c r="AH70" s="47">
        <f t="shared" si="2"/>
        <v>27.6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45"/>
      <c r="C71" s="45"/>
      <c r="D71" s="45"/>
      <c r="E71" s="45"/>
      <c r="F71" s="45"/>
      <c r="G71" s="45"/>
      <c r="H71" s="67"/>
      <c r="I71" s="67"/>
      <c r="J71" s="67"/>
      <c r="K71" s="67"/>
      <c r="L71" s="67"/>
      <c r="M71" s="67">
        <v>10.1</v>
      </c>
      <c r="N71" s="67">
        <v>3.6</v>
      </c>
      <c r="O71" s="67">
        <v>1.2</v>
      </c>
      <c r="P71" s="67">
        <v>1.2</v>
      </c>
      <c r="Q71" s="67">
        <v>1.2</v>
      </c>
      <c r="R71" s="67"/>
      <c r="S71" s="67">
        <v>0</v>
      </c>
      <c r="T71" s="67">
        <v>0</v>
      </c>
      <c r="U71" s="67">
        <v>0</v>
      </c>
      <c r="V71" s="67">
        <v>0</v>
      </c>
      <c r="W71" s="67">
        <v>2</v>
      </c>
      <c r="X71" s="67">
        <v>7.3</v>
      </c>
      <c r="Y71" s="67">
        <v>1.8</v>
      </c>
      <c r="Z71" s="67">
        <v>0</v>
      </c>
      <c r="AA71" s="67">
        <v>0</v>
      </c>
      <c r="AB71" s="67"/>
      <c r="AC71" s="67"/>
      <c r="AD71" s="67"/>
      <c r="AE71" s="67"/>
      <c r="AF71" s="67"/>
      <c r="AG71" s="68">
        <v>14</v>
      </c>
      <c r="AH71" s="47">
        <f t="shared" si="2"/>
        <v>10.1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 t="shared" ref="B72:AF72" si="16">B69+B70+B71</f>
        <v>0</v>
      </c>
      <c r="C72" s="60">
        <f t="shared" si="16"/>
        <v>0</v>
      </c>
      <c r="D72" s="60">
        <f t="shared" si="16"/>
        <v>0</v>
      </c>
      <c r="E72" s="60">
        <f t="shared" si="16"/>
        <v>0</v>
      </c>
      <c r="F72" s="60">
        <f t="shared" si="16"/>
        <v>0</v>
      </c>
      <c r="G72" s="60">
        <f t="shared" si="16"/>
        <v>0</v>
      </c>
      <c r="H72" s="60">
        <f t="shared" si="16"/>
        <v>0</v>
      </c>
      <c r="I72" s="60">
        <f t="shared" si="16"/>
        <v>0</v>
      </c>
      <c r="J72" s="60">
        <f t="shared" si="16"/>
        <v>0</v>
      </c>
      <c r="K72" s="60">
        <f t="shared" si="16"/>
        <v>0</v>
      </c>
      <c r="L72" s="60">
        <f t="shared" si="16"/>
        <v>0</v>
      </c>
      <c r="M72" s="60">
        <f t="shared" si="16"/>
        <v>97.699999999999989</v>
      </c>
      <c r="N72" s="60">
        <f t="shared" si="16"/>
        <v>33.6</v>
      </c>
      <c r="O72" s="60">
        <f t="shared" si="16"/>
        <v>14.399999999999999</v>
      </c>
      <c r="P72" s="60">
        <f t="shared" si="16"/>
        <v>14.399999999999999</v>
      </c>
      <c r="Q72" s="60">
        <f t="shared" si="16"/>
        <v>14.399999999999999</v>
      </c>
      <c r="R72" s="60">
        <f t="shared" si="16"/>
        <v>0</v>
      </c>
      <c r="S72" s="60">
        <f t="shared" si="16"/>
        <v>0</v>
      </c>
      <c r="T72" s="60">
        <f t="shared" si="16"/>
        <v>0</v>
      </c>
      <c r="U72" s="60">
        <f t="shared" si="16"/>
        <v>0</v>
      </c>
      <c r="V72" s="60">
        <f t="shared" ref="V72" si="17">V69+V70+V71</f>
        <v>0</v>
      </c>
      <c r="W72" s="60">
        <f t="shared" si="16"/>
        <v>21.5</v>
      </c>
      <c r="X72" s="60">
        <f t="shared" si="16"/>
        <v>62.2</v>
      </c>
      <c r="Y72" s="60">
        <f t="shared" si="16"/>
        <v>21.000000000000004</v>
      </c>
      <c r="Z72" s="60">
        <f t="shared" ref="Z72:AA72" si="18">Z69+Z70+Z71</f>
        <v>0</v>
      </c>
      <c r="AA72" s="60">
        <f t="shared" si="18"/>
        <v>0</v>
      </c>
      <c r="AB72" s="60">
        <f t="shared" si="16"/>
        <v>0</v>
      </c>
      <c r="AC72" s="60">
        <f t="shared" si="16"/>
        <v>0</v>
      </c>
      <c r="AD72" s="60">
        <f t="shared" si="16"/>
        <v>0</v>
      </c>
      <c r="AE72" s="60">
        <f t="shared" si="16"/>
        <v>0</v>
      </c>
      <c r="AF72" s="60">
        <f t="shared" si="16"/>
        <v>0</v>
      </c>
      <c r="AG72" s="61">
        <f>SUM(AG69:AG71)</f>
        <v>106</v>
      </c>
      <c r="AH72" s="47">
        <f t="shared" si="2"/>
        <v>97.699999999999989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29.4</v>
      </c>
      <c r="C73" s="45">
        <v>21.8</v>
      </c>
      <c r="D73" s="45">
        <v>28</v>
      </c>
      <c r="E73" s="45">
        <v>27.2</v>
      </c>
      <c r="F73" s="45">
        <v>30</v>
      </c>
      <c r="G73" s="45">
        <v>26.2</v>
      </c>
      <c r="H73" s="45">
        <v>38</v>
      </c>
      <c r="I73" s="45">
        <v>51</v>
      </c>
      <c r="J73" s="45">
        <v>50.8</v>
      </c>
      <c r="K73" s="45">
        <v>56.5</v>
      </c>
      <c r="L73" s="45">
        <v>61.9</v>
      </c>
      <c r="M73" s="45">
        <v>44.3</v>
      </c>
      <c r="N73" s="45">
        <v>44</v>
      </c>
      <c r="O73" s="45">
        <v>48</v>
      </c>
      <c r="P73" s="45">
        <v>47</v>
      </c>
      <c r="Q73" s="45">
        <v>48.3</v>
      </c>
      <c r="R73" s="45">
        <v>44.5</v>
      </c>
      <c r="S73" s="45">
        <v>56</v>
      </c>
      <c r="T73" s="45">
        <v>61</v>
      </c>
      <c r="U73" s="45">
        <v>71.7</v>
      </c>
      <c r="V73" s="45">
        <v>23</v>
      </c>
      <c r="W73" s="45">
        <v>29</v>
      </c>
      <c r="X73" s="45">
        <v>32.6</v>
      </c>
      <c r="Y73" s="45">
        <v>28.1</v>
      </c>
      <c r="Z73" s="45">
        <v>18</v>
      </c>
      <c r="AA73" s="45">
        <v>19</v>
      </c>
      <c r="AB73" s="45">
        <v>21</v>
      </c>
      <c r="AC73" s="45">
        <v>26</v>
      </c>
      <c r="AD73" s="45">
        <v>27</v>
      </c>
      <c r="AE73" s="45">
        <v>36</v>
      </c>
      <c r="AF73" s="45">
        <v>33</v>
      </c>
      <c r="AG73" s="52"/>
      <c r="AH73" s="47">
        <f t="shared" si="2"/>
        <v>71.7</v>
      </c>
      <c r="AI73" s="48">
        <f t="shared" si="3"/>
        <v>18</v>
      </c>
      <c r="AK73" s="50"/>
    </row>
    <row r="74" spans="1:40" x14ac:dyDescent="0.25">
      <c r="A74" s="54" t="s">
        <v>82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/>
      <c r="O74" s="65"/>
      <c r="P74" s="65"/>
      <c r="Q74" s="65"/>
      <c r="R74" s="65"/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/>
      <c r="AC74" s="65"/>
      <c r="AD74" s="65"/>
      <c r="AE74" s="65"/>
      <c r="AF74" s="65"/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128.19999999999999</v>
      </c>
      <c r="C75" s="65">
        <v>113</v>
      </c>
      <c r="D75" s="65">
        <v>109</v>
      </c>
      <c r="E75" s="65">
        <v>107</v>
      </c>
      <c r="F75" s="65">
        <v>150</v>
      </c>
      <c r="G75" s="65">
        <v>162</v>
      </c>
      <c r="H75" s="65">
        <v>196.3</v>
      </c>
      <c r="I75" s="65">
        <v>200</v>
      </c>
      <c r="J75" s="65">
        <v>207</v>
      </c>
      <c r="K75" s="65">
        <v>217</v>
      </c>
      <c r="L75" s="65">
        <v>139</v>
      </c>
      <c r="M75" s="65">
        <v>5</v>
      </c>
      <c r="N75" s="65">
        <v>60</v>
      </c>
      <c r="O75" s="65">
        <v>255</v>
      </c>
      <c r="P75" s="65">
        <v>240</v>
      </c>
      <c r="Q75" s="65">
        <v>290</v>
      </c>
      <c r="R75" s="65">
        <v>263.3</v>
      </c>
      <c r="S75" s="65">
        <v>326</v>
      </c>
      <c r="T75" s="65">
        <v>310</v>
      </c>
      <c r="U75" s="65">
        <v>301</v>
      </c>
      <c r="V75" s="65">
        <v>63</v>
      </c>
      <c r="W75" s="65">
        <v>1</v>
      </c>
      <c r="X75" s="65">
        <v>5.8</v>
      </c>
      <c r="Y75" s="65">
        <v>0</v>
      </c>
      <c r="Z75" s="65">
        <v>0</v>
      </c>
      <c r="AA75" s="65">
        <v>90</v>
      </c>
      <c r="AB75" s="65">
        <v>190</v>
      </c>
      <c r="AC75" s="65">
        <v>201</v>
      </c>
      <c r="AD75" s="65">
        <v>156</v>
      </c>
      <c r="AE75" s="65">
        <v>137</v>
      </c>
      <c r="AF75" s="65">
        <v>182</v>
      </c>
      <c r="AG75" s="75"/>
      <c r="AH75" s="47">
        <f t="shared" si="2"/>
        <v>326</v>
      </c>
      <c r="AI75" s="48">
        <f t="shared" si="3"/>
        <v>0</v>
      </c>
      <c r="AK75" s="50"/>
    </row>
    <row r="76" spans="1:40" x14ac:dyDescent="0.25">
      <c r="A76" s="54" t="s">
        <v>84</v>
      </c>
      <c r="B76" s="65">
        <v>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76"/>
      <c r="N76" s="76"/>
      <c r="O76" s="76"/>
      <c r="P76" s="76"/>
      <c r="Q76" s="76"/>
      <c r="R76" s="76"/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/>
      <c r="AC76" s="76"/>
      <c r="AD76" s="65"/>
      <c r="AE76" s="76"/>
      <c r="AF76" s="76"/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/>
      <c r="N77" s="45"/>
      <c r="O77" s="45"/>
      <c r="P77" s="45"/>
      <c r="Q77" s="45"/>
      <c r="R77" s="45"/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/>
      <c r="AC77" s="45"/>
      <c r="AD77" s="45"/>
      <c r="AE77" s="45"/>
      <c r="AF77" s="45"/>
      <c r="AG77" s="75"/>
      <c r="AH77" s="47">
        <f t="shared" ref="AH77:AH122" si="19">MAX(B77:AF77)</f>
        <v>0</v>
      </c>
      <c r="AI77" s="48">
        <f t="shared" ref="AI77:AI122" si="20">MIN(B77:AF77)</f>
        <v>0</v>
      </c>
      <c r="AK77" s="50"/>
    </row>
    <row r="78" spans="1:40" x14ac:dyDescent="0.25">
      <c r="A78" s="54" t="s">
        <v>86</v>
      </c>
      <c r="B78" s="45">
        <v>0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77"/>
      <c r="N78" s="77"/>
      <c r="O78" s="77"/>
      <c r="P78" s="77"/>
      <c r="Q78" s="77"/>
      <c r="R78" s="77"/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/>
      <c r="AC78" s="77"/>
      <c r="AD78" s="77"/>
      <c r="AE78" s="77"/>
      <c r="AF78" s="77"/>
      <c r="AG78" s="75"/>
      <c r="AH78" s="47">
        <f t="shared" si="19"/>
        <v>0</v>
      </c>
      <c r="AI78" s="48">
        <f t="shared" si="20"/>
        <v>0</v>
      </c>
      <c r="AK78" s="50"/>
    </row>
    <row r="79" spans="1:40" ht="15.75" thickBot="1" x14ac:dyDescent="0.3">
      <c r="A79" s="54" t="s">
        <v>87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77"/>
      <c r="N79" s="77"/>
      <c r="O79" s="77"/>
      <c r="P79" s="77"/>
      <c r="Q79" s="77"/>
      <c r="R79" s="77"/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/>
      <c r="AC79" s="77"/>
      <c r="AD79" s="77"/>
      <c r="AE79" s="77"/>
      <c r="AF79" s="77"/>
      <c r="AG79" s="75"/>
      <c r="AH79" s="47">
        <f t="shared" si="19"/>
        <v>0</v>
      </c>
      <c r="AI79" s="48">
        <f t="shared" si="20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77"/>
      <c r="N80" s="77"/>
      <c r="O80" s="77"/>
      <c r="P80" s="77"/>
      <c r="Q80" s="77"/>
      <c r="R80" s="77"/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/>
      <c r="AC80" s="77"/>
      <c r="AD80" s="77"/>
      <c r="AE80" s="77"/>
      <c r="AF80" s="77"/>
      <c r="AG80" s="75"/>
      <c r="AH80" s="47">
        <f t="shared" si="19"/>
        <v>0</v>
      </c>
      <c r="AI80" s="48">
        <f t="shared" si="20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77"/>
      <c r="N81" s="77"/>
      <c r="O81" s="77"/>
      <c r="P81" s="77"/>
      <c r="Q81" s="77"/>
      <c r="R81" s="77"/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/>
      <c r="AC81" s="77"/>
      <c r="AD81" s="77"/>
      <c r="AE81" s="77"/>
      <c r="AF81" s="77"/>
      <c r="AG81" s="75"/>
      <c r="AH81" s="47">
        <f t="shared" si="19"/>
        <v>0</v>
      </c>
      <c r="AI81" s="48">
        <f t="shared" si="20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77"/>
      <c r="N82" s="77"/>
      <c r="O82" s="77"/>
      <c r="P82" s="77"/>
      <c r="Q82" s="77"/>
      <c r="R82" s="77"/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/>
      <c r="AC82" s="77"/>
      <c r="AD82" s="77"/>
      <c r="AE82" s="77"/>
      <c r="AF82" s="77"/>
      <c r="AG82" s="85"/>
      <c r="AH82" s="47">
        <f t="shared" si="19"/>
        <v>0</v>
      </c>
      <c r="AI82" s="48">
        <f t="shared" si="20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77"/>
      <c r="N83" s="77"/>
      <c r="O83" s="77"/>
      <c r="P83" s="77"/>
      <c r="Q83" s="77"/>
      <c r="R83" s="77"/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/>
      <c r="AC83" s="77"/>
      <c r="AD83" s="77"/>
      <c r="AE83" s="77"/>
      <c r="AF83" s="77"/>
      <c r="AG83" s="85"/>
      <c r="AH83" s="47">
        <f t="shared" si="19"/>
        <v>0</v>
      </c>
      <c r="AI83" s="48">
        <f t="shared" si="20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AF84" si="21">SUMIF(B73:B83,"&gt;0")</f>
        <v>157.6</v>
      </c>
      <c r="C84" s="60">
        <f t="shared" si="21"/>
        <v>134.80000000000001</v>
      </c>
      <c r="D84" s="60">
        <f t="shared" si="21"/>
        <v>137</v>
      </c>
      <c r="E84" s="60">
        <f t="shared" si="21"/>
        <v>134.19999999999999</v>
      </c>
      <c r="F84" s="60">
        <f t="shared" si="21"/>
        <v>180</v>
      </c>
      <c r="G84" s="60">
        <f t="shared" si="21"/>
        <v>188.2</v>
      </c>
      <c r="H84" s="60">
        <f t="shared" si="21"/>
        <v>234.3</v>
      </c>
      <c r="I84" s="60">
        <f t="shared" si="21"/>
        <v>251</v>
      </c>
      <c r="J84" s="60">
        <f t="shared" si="21"/>
        <v>257.8</v>
      </c>
      <c r="K84" s="60">
        <f t="shared" si="21"/>
        <v>273.5</v>
      </c>
      <c r="L84" s="60">
        <f t="shared" si="21"/>
        <v>200.9</v>
      </c>
      <c r="M84" s="60">
        <f t="shared" si="21"/>
        <v>49.3</v>
      </c>
      <c r="N84" s="60">
        <f t="shared" si="21"/>
        <v>104</v>
      </c>
      <c r="O84" s="60">
        <f t="shared" si="21"/>
        <v>303</v>
      </c>
      <c r="P84" s="60">
        <f t="shared" si="21"/>
        <v>287</v>
      </c>
      <c r="Q84" s="60">
        <f t="shared" si="21"/>
        <v>338.3</v>
      </c>
      <c r="R84" s="60">
        <f t="shared" si="21"/>
        <v>307.8</v>
      </c>
      <c r="S84" s="60">
        <f t="shared" si="21"/>
        <v>382</v>
      </c>
      <c r="T84" s="60">
        <f t="shared" si="21"/>
        <v>371</v>
      </c>
      <c r="U84" s="60">
        <f t="shared" si="21"/>
        <v>372.7</v>
      </c>
      <c r="V84" s="60">
        <f t="shared" ref="V84" si="22">SUMIF(V73:V83,"&gt;0")</f>
        <v>86</v>
      </c>
      <c r="W84" s="60">
        <f t="shared" si="21"/>
        <v>30</v>
      </c>
      <c r="X84" s="60">
        <f t="shared" si="21"/>
        <v>38.4</v>
      </c>
      <c r="Y84" s="60">
        <f t="shared" si="21"/>
        <v>28.1</v>
      </c>
      <c r="Z84" s="60">
        <f t="shared" ref="Z84:AA84" si="23">SUMIF(Z73:Z83,"&gt;0")</f>
        <v>18</v>
      </c>
      <c r="AA84" s="60">
        <f t="shared" si="23"/>
        <v>109</v>
      </c>
      <c r="AB84" s="60">
        <f t="shared" si="21"/>
        <v>211</v>
      </c>
      <c r="AC84" s="60">
        <f t="shared" si="21"/>
        <v>227</v>
      </c>
      <c r="AD84" s="60">
        <f t="shared" si="21"/>
        <v>183</v>
      </c>
      <c r="AE84" s="60">
        <f t="shared" si="21"/>
        <v>173</v>
      </c>
      <c r="AF84" s="60">
        <f t="shared" si="21"/>
        <v>215</v>
      </c>
      <c r="AG84" s="88">
        <f>SUM(AG73:AG83)</f>
        <v>0</v>
      </c>
      <c r="AH84" s="47">
        <f t="shared" si="19"/>
        <v>382</v>
      </c>
      <c r="AI84" s="48">
        <f t="shared" si="20"/>
        <v>18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9"/>
        <v>0</v>
      </c>
      <c r="AI85" s="48">
        <f t="shared" si="20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9"/>
        <v>0</v>
      </c>
      <c r="AI86" s="48">
        <f t="shared" si="20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9"/>
        <v>0</v>
      </c>
      <c r="AI87" s="48">
        <f t="shared" si="20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19"/>
        <v>0</v>
      </c>
      <c r="AI88" s="48">
        <f t="shared" si="20"/>
        <v>0</v>
      </c>
    </row>
    <row r="89" spans="1:40" ht="15.75" thickBot="1" x14ac:dyDescent="0.3">
      <c r="A89" s="74" t="s">
        <v>100</v>
      </c>
      <c r="B89" s="95">
        <f t="shared" ref="B89:AG89" si="24">B50+B54+B72+B68+B84+B88</f>
        <v>1095.29</v>
      </c>
      <c r="C89" s="95">
        <f t="shared" si="24"/>
        <v>1074.3900000000001</v>
      </c>
      <c r="D89" s="95">
        <f t="shared" si="24"/>
        <v>1061.49</v>
      </c>
      <c r="E89" s="95">
        <f t="shared" si="24"/>
        <v>1058.69</v>
      </c>
      <c r="F89" s="95">
        <f t="shared" si="24"/>
        <v>1068.49</v>
      </c>
      <c r="G89" s="95">
        <f t="shared" si="24"/>
        <v>1122.79</v>
      </c>
      <c r="H89" s="95">
        <f t="shared" si="24"/>
        <v>1226.49</v>
      </c>
      <c r="I89" s="95">
        <f t="shared" si="24"/>
        <v>1335.49</v>
      </c>
      <c r="J89" s="95">
        <f t="shared" si="24"/>
        <v>1463.1899999999998</v>
      </c>
      <c r="K89" s="95">
        <f t="shared" si="24"/>
        <v>1577.6899999999998</v>
      </c>
      <c r="L89" s="95">
        <f t="shared" si="24"/>
        <v>1640.09</v>
      </c>
      <c r="M89" s="95">
        <f t="shared" si="24"/>
        <v>1732.46</v>
      </c>
      <c r="N89" s="95">
        <f t="shared" si="24"/>
        <v>1659.1599999999999</v>
      </c>
      <c r="O89" s="95">
        <f t="shared" si="24"/>
        <v>1521.06</v>
      </c>
      <c r="P89" s="95">
        <f t="shared" si="24"/>
        <v>1431.1599999999999</v>
      </c>
      <c r="Q89" s="95">
        <f t="shared" si="24"/>
        <v>1352.46</v>
      </c>
      <c r="R89" s="95">
        <f t="shared" si="24"/>
        <v>1250.56</v>
      </c>
      <c r="S89" s="95">
        <f t="shared" si="24"/>
        <v>1291.6600000000001</v>
      </c>
      <c r="T89" s="95">
        <f t="shared" si="24"/>
        <v>1276.6600000000001</v>
      </c>
      <c r="U89" s="95">
        <f t="shared" si="24"/>
        <v>1348.16</v>
      </c>
      <c r="V89" s="95">
        <f t="shared" ref="V89" si="25">V50+V54+V72+V68+V84+V88</f>
        <v>1435.1599999999999</v>
      </c>
      <c r="W89" s="95">
        <f t="shared" si="24"/>
        <v>1613.96</v>
      </c>
      <c r="X89" s="95">
        <f t="shared" si="24"/>
        <v>1667.0600000000004</v>
      </c>
      <c r="Y89" s="95">
        <f t="shared" si="24"/>
        <v>1585.56</v>
      </c>
      <c r="Z89" s="95">
        <f t="shared" ref="Z89:AA89" si="26">Z50+Z54+Z72+Z68+Z84+Z88</f>
        <v>1531.16</v>
      </c>
      <c r="AA89" s="95">
        <f t="shared" si="26"/>
        <v>1482.16</v>
      </c>
      <c r="AB89" s="95">
        <f t="shared" si="24"/>
        <v>1432.66</v>
      </c>
      <c r="AC89" s="95">
        <f t="shared" si="24"/>
        <v>1448.66</v>
      </c>
      <c r="AD89" s="95">
        <f t="shared" si="24"/>
        <v>1266.6600000000001</v>
      </c>
      <c r="AE89" s="95">
        <f t="shared" si="24"/>
        <v>1162.6600000000001</v>
      </c>
      <c r="AF89" s="95">
        <f t="shared" si="24"/>
        <v>1097.6600000000001</v>
      </c>
      <c r="AG89" s="61">
        <f t="shared" si="24"/>
        <v>2111.5500000000002</v>
      </c>
      <c r="AH89" s="47">
        <f t="shared" si="19"/>
        <v>1732.46</v>
      </c>
      <c r="AI89" s="48">
        <f t="shared" si="20"/>
        <v>1058.69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>
        <v>50</v>
      </c>
      <c r="N90" s="97">
        <v>30</v>
      </c>
      <c r="O90" s="97"/>
      <c r="P90" s="97"/>
      <c r="Q90" s="97"/>
      <c r="R90" s="97"/>
      <c r="S90" s="97"/>
      <c r="T90" s="97"/>
      <c r="U90" s="97"/>
      <c r="V90" s="97"/>
      <c r="W90" s="97"/>
      <c r="X90" s="97">
        <v>80</v>
      </c>
      <c r="Y90" s="97">
        <v>60</v>
      </c>
      <c r="Z90" s="97">
        <v>40</v>
      </c>
      <c r="AA90" s="97">
        <v>0</v>
      </c>
      <c r="AB90" s="97"/>
      <c r="AC90" s="97"/>
      <c r="AD90" s="97"/>
      <c r="AE90" s="97"/>
      <c r="AF90" s="97"/>
      <c r="AG90" s="88"/>
      <c r="AH90" s="47">
        <f t="shared" si="19"/>
        <v>80</v>
      </c>
      <c r="AI90" s="48">
        <f t="shared" si="20"/>
        <v>0</v>
      </c>
    </row>
    <row r="91" spans="1:40" ht="15.75" thickBot="1" x14ac:dyDescent="0.3">
      <c r="A91" s="74" t="s">
        <v>102</v>
      </c>
      <c r="B91" s="95">
        <f t="shared" ref="B91:AF91" si="27">B89+B90</f>
        <v>1095.29</v>
      </c>
      <c r="C91" s="95">
        <f t="shared" si="27"/>
        <v>1074.3900000000001</v>
      </c>
      <c r="D91" s="95">
        <f t="shared" si="27"/>
        <v>1061.49</v>
      </c>
      <c r="E91" s="95">
        <f t="shared" si="27"/>
        <v>1058.69</v>
      </c>
      <c r="F91" s="95">
        <f t="shared" si="27"/>
        <v>1068.49</v>
      </c>
      <c r="G91" s="95">
        <f t="shared" si="27"/>
        <v>1122.79</v>
      </c>
      <c r="H91" s="95">
        <f t="shared" si="27"/>
        <v>1226.49</v>
      </c>
      <c r="I91" s="95">
        <f t="shared" si="27"/>
        <v>1335.49</v>
      </c>
      <c r="J91" s="95">
        <f t="shared" si="27"/>
        <v>1463.1899999999998</v>
      </c>
      <c r="K91" s="95">
        <f t="shared" si="27"/>
        <v>1577.6899999999998</v>
      </c>
      <c r="L91" s="95">
        <f t="shared" si="27"/>
        <v>1640.09</v>
      </c>
      <c r="M91" s="95">
        <f t="shared" si="27"/>
        <v>1782.46</v>
      </c>
      <c r="N91" s="95">
        <f t="shared" si="27"/>
        <v>1689.1599999999999</v>
      </c>
      <c r="O91" s="95">
        <f t="shared" si="27"/>
        <v>1521.06</v>
      </c>
      <c r="P91" s="95">
        <f t="shared" si="27"/>
        <v>1431.1599999999999</v>
      </c>
      <c r="Q91" s="95">
        <f t="shared" si="27"/>
        <v>1352.46</v>
      </c>
      <c r="R91" s="95">
        <f t="shared" si="27"/>
        <v>1250.56</v>
      </c>
      <c r="S91" s="95">
        <f t="shared" si="27"/>
        <v>1291.6600000000001</v>
      </c>
      <c r="T91" s="95">
        <f t="shared" si="27"/>
        <v>1276.6600000000001</v>
      </c>
      <c r="U91" s="95">
        <f t="shared" si="27"/>
        <v>1348.16</v>
      </c>
      <c r="V91" s="95">
        <f t="shared" ref="V91" si="28">V89+V90</f>
        <v>1435.1599999999999</v>
      </c>
      <c r="W91" s="95">
        <f t="shared" si="27"/>
        <v>1613.96</v>
      </c>
      <c r="X91" s="95">
        <f t="shared" si="27"/>
        <v>1747.0600000000004</v>
      </c>
      <c r="Y91" s="95">
        <f t="shared" si="27"/>
        <v>1645.56</v>
      </c>
      <c r="Z91" s="95">
        <f t="shared" ref="Z91:AA91" si="29">Z89+Z90</f>
        <v>1571.16</v>
      </c>
      <c r="AA91" s="95">
        <f t="shared" si="29"/>
        <v>1482.16</v>
      </c>
      <c r="AB91" s="95">
        <f t="shared" si="27"/>
        <v>1432.66</v>
      </c>
      <c r="AC91" s="95">
        <f t="shared" si="27"/>
        <v>1448.66</v>
      </c>
      <c r="AD91" s="95">
        <f t="shared" si="27"/>
        <v>1266.6600000000001</v>
      </c>
      <c r="AE91" s="95">
        <f t="shared" si="27"/>
        <v>1162.6600000000001</v>
      </c>
      <c r="AF91" s="95">
        <f t="shared" si="27"/>
        <v>1097.6600000000001</v>
      </c>
      <c r="AG91" s="88">
        <f>AG88+AG84+AG72+AG68+AG50+AG90</f>
        <v>1573.45</v>
      </c>
      <c r="AH91" s="47">
        <f t="shared" si="19"/>
        <v>1782.46</v>
      </c>
      <c r="AI91" s="48">
        <f t="shared" si="20"/>
        <v>1058.69</v>
      </c>
    </row>
    <row r="92" spans="1:40" ht="15.75" thickBot="1" x14ac:dyDescent="0.3">
      <c r="A92" s="74" t="s">
        <v>103</v>
      </c>
      <c r="B92" s="95">
        <f>B91-(-B99)</f>
        <v>1095.29</v>
      </c>
      <c r="C92" s="95">
        <f t="shared" ref="C92:AF92" si="30">C91-(-C99)</f>
        <v>1074.3900000000001</v>
      </c>
      <c r="D92" s="95">
        <f t="shared" si="30"/>
        <v>1061.49</v>
      </c>
      <c r="E92" s="95">
        <f t="shared" si="30"/>
        <v>1058.69</v>
      </c>
      <c r="F92" s="95">
        <f t="shared" si="30"/>
        <v>1068.49</v>
      </c>
      <c r="G92" s="95">
        <f t="shared" si="30"/>
        <v>1122.79</v>
      </c>
      <c r="H92" s="95">
        <f t="shared" si="30"/>
        <v>1226.49</v>
      </c>
      <c r="I92" s="95">
        <f t="shared" si="30"/>
        <v>1335.49</v>
      </c>
      <c r="J92" s="95">
        <f t="shared" si="30"/>
        <v>1463.1899999999998</v>
      </c>
      <c r="K92" s="95">
        <f t="shared" si="30"/>
        <v>1577.6899999999998</v>
      </c>
      <c r="L92" s="95">
        <f t="shared" si="30"/>
        <v>1640.09</v>
      </c>
      <c r="M92" s="95">
        <f t="shared" si="30"/>
        <v>1782.46</v>
      </c>
      <c r="N92" s="95">
        <f t="shared" si="30"/>
        <v>1689.1599999999999</v>
      </c>
      <c r="O92" s="95">
        <f t="shared" si="30"/>
        <v>1521.06</v>
      </c>
      <c r="P92" s="95">
        <f t="shared" si="30"/>
        <v>1431.1599999999999</v>
      </c>
      <c r="Q92" s="95">
        <f t="shared" si="30"/>
        <v>1352.46</v>
      </c>
      <c r="R92" s="95">
        <f t="shared" si="30"/>
        <v>1250.56</v>
      </c>
      <c r="S92" s="95">
        <f t="shared" si="30"/>
        <v>1291.6600000000001</v>
      </c>
      <c r="T92" s="95">
        <f t="shared" si="30"/>
        <v>1276.6600000000001</v>
      </c>
      <c r="U92" s="95">
        <f t="shared" si="30"/>
        <v>1348.16</v>
      </c>
      <c r="V92" s="95">
        <f t="shared" ref="V92" si="31">V91-(-V99)</f>
        <v>1435.1599999999999</v>
      </c>
      <c r="W92" s="95">
        <f t="shared" si="30"/>
        <v>1613.96</v>
      </c>
      <c r="X92" s="95">
        <f t="shared" si="30"/>
        <v>1747.0600000000004</v>
      </c>
      <c r="Y92" s="95">
        <f t="shared" si="30"/>
        <v>1645.56</v>
      </c>
      <c r="Z92" s="95">
        <f t="shared" ref="Z92:AA92" si="32">Z91-(-Z99)</f>
        <v>1571.16</v>
      </c>
      <c r="AA92" s="95">
        <f t="shared" si="32"/>
        <v>1482.16</v>
      </c>
      <c r="AB92" s="95">
        <f t="shared" si="30"/>
        <v>1432.66</v>
      </c>
      <c r="AC92" s="95">
        <f t="shared" si="30"/>
        <v>1448.66</v>
      </c>
      <c r="AD92" s="95">
        <f t="shared" si="30"/>
        <v>1266.6600000000001</v>
      </c>
      <c r="AE92" s="95">
        <f t="shared" si="30"/>
        <v>1162.6600000000001</v>
      </c>
      <c r="AF92" s="95">
        <f t="shared" si="30"/>
        <v>1097.6600000000001</v>
      </c>
      <c r="AG92" s="88"/>
      <c r="AH92" s="47">
        <f t="shared" si="19"/>
        <v>1782.46</v>
      </c>
      <c r="AI92" s="48">
        <f t="shared" si="20"/>
        <v>1058.69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19"/>
        <v>0</v>
      </c>
      <c r="AI93" s="48">
        <f t="shared" si="20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19"/>
        <v>0</v>
      </c>
      <c r="AI94" s="48">
        <f t="shared" si="20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9"/>
        <v>0</v>
      </c>
      <c r="AI95" s="48">
        <f t="shared" si="20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9"/>
        <v>0</v>
      </c>
      <c r="AI96" s="48">
        <f t="shared" si="20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9"/>
        <v>0</v>
      </c>
      <c r="AI97" s="48">
        <f t="shared" si="20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9"/>
        <v>0</v>
      </c>
      <c r="AI98" s="48">
        <f t="shared" si="20"/>
        <v>0</v>
      </c>
    </row>
    <row r="99" spans="1:37" ht="15.75" thickBot="1" x14ac:dyDescent="0.3">
      <c r="A99" s="99" t="s">
        <v>107</v>
      </c>
      <c r="B99" s="60">
        <f t="shared" ref="B99:AF99" si="33">IF(B84&lt;0,B75+B73,0)</f>
        <v>0</v>
      </c>
      <c r="C99" s="60">
        <f t="shared" si="33"/>
        <v>0</v>
      </c>
      <c r="D99" s="60">
        <f t="shared" si="33"/>
        <v>0</v>
      </c>
      <c r="E99" s="60">
        <f t="shared" si="33"/>
        <v>0</v>
      </c>
      <c r="F99" s="60">
        <f t="shared" si="33"/>
        <v>0</v>
      </c>
      <c r="G99" s="60">
        <f t="shared" si="33"/>
        <v>0</v>
      </c>
      <c r="H99" s="60">
        <f t="shared" si="33"/>
        <v>0</v>
      </c>
      <c r="I99" s="60">
        <f t="shared" si="33"/>
        <v>0</v>
      </c>
      <c r="J99" s="60">
        <f t="shared" si="33"/>
        <v>0</v>
      </c>
      <c r="K99" s="60">
        <f t="shared" si="33"/>
        <v>0</v>
      </c>
      <c r="L99" s="60">
        <f t="shared" si="33"/>
        <v>0</v>
      </c>
      <c r="M99" s="60">
        <f t="shared" si="33"/>
        <v>0</v>
      </c>
      <c r="N99" s="60">
        <f t="shared" si="33"/>
        <v>0</v>
      </c>
      <c r="O99" s="60">
        <f t="shared" si="33"/>
        <v>0</v>
      </c>
      <c r="P99" s="60">
        <f t="shared" si="33"/>
        <v>0</v>
      </c>
      <c r="Q99" s="60">
        <f t="shared" si="33"/>
        <v>0</v>
      </c>
      <c r="R99" s="60">
        <f t="shared" si="33"/>
        <v>0</v>
      </c>
      <c r="S99" s="60">
        <f t="shared" si="33"/>
        <v>0</v>
      </c>
      <c r="T99" s="60">
        <f t="shared" si="33"/>
        <v>0</v>
      </c>
      <c r="U99" s="60">
        <f t="shared" si="33"/>
        <v>0</v>
      </c>
      <c r="V99" s="60">
        <f t="shared" ref="V99" si="34">IF(V84&lt;0,V75+V73,0)</f>
        <v>0</v>
      </c>
      <c r="W99" s="60">
        <f t="shared" si="33"/>
        <v>0</v>
      </c>
      <c r="X99" s="60">
        <f t="shared" si="33"/>
        <v>0</v>
      </c>
      <c r="Y99" s="60">
        <f t="shared" si="33"/>
        <v>0</v>
      </c>
      <c r="Z99" s="60">
        <f t="shared" ref="Z99:AA99" si="35">IF(Z84&lt;0,Z75+Z73,0)</f>
        <v>0</v>
      </c>
      <c r="AA99" s="60">
        <f t="shared" si="35"/>
        <v>0</v>
      </c>
      <c r="AB99" s="60">
        <f t="shared" si="33"/>
        <v>0</v>
      </c>
      <c r="AC99" s="60">
        <f t="shared" si="33"/>
        <v>0</v>
      </c>
      <c r="AD99" s="60">
        <f t="shared" si="33"/>
        <v>0</v>
      </c>
      <c r="AE99" s="60">
        <f t="shared" si="33"/>
        <v>0</v>
      </c>
      <c r="AF99" s="60">
        <f t="shared" si="33"/>
        <v>0</v>
      </c>
      <c r="AG99" s="88"/>
      <c r="AH99" s="47">
        <f t="shared" si="19"/>
        <v>0</v>
      </c>
      <c r="AI99" s="48">
        <f t="shared" si="20"/>
        <v>0</v>
      </c>
      <c r="AK99" s="50"/>
    </row>
    <row r="100" spans="1:37" ht="15.75" thickBot="1" x14ac:dyDescent="0.3">
      <c r="A100" s="74" t="s">
        <v>108</v>
      </c>
      <c r="B100" s="60">
        <f t="shared" ref="B100:AF100" si="36">B84-B99</f>
        <v>157.6</v>
      </c>
      <c r="C100" s="60">
        <f t="shared" si="36"/>
        <v>134.80000000000001</v>
      </c>
      <c r="D100" s="60">
        <f t="shared" si="36"/>
        <v>137</v>
      </c>
      <c r="E100" s="60">
        <f t="shared" si="36"/>
        <v>134.19999999999999</v>
      </c>
      <c r="F100" s="60">
        <f t="shared" si="36"/>
        <v>180</v>
      </c>
      <c r="G100" s="60">
        <f t="shared" si="36"/>
        <v>188.2</v>
      </c>
      <c r="H100" s="60">
        <f t="shared" si="36"/>
        <v>234.3</v>
      </c>
      <c r="I100" s="60">
        <f t="shared" si="36"/>
        <v>251</v>
      </c>
      <c r="J100" s="60">
        <f t="shared" si="36"/>
        <v>257.8</v>
      </c>
      <c r="K100" s="60">
        <f t="shared" si="36"/>
        <v>273.5</v>
      </c>
      <c r="L100" s="60">
        <f t="shared" si="36"/>
        <v>200.9</v>
      </c>
      <c r="M100" s="60">
        <f t="shared" si="36"/>
        <v>49.3</v>
      </c>
      <c r="N100" s="60">
        <f t="shared" si="36"/>
        <v>104</v>
      </c>
      <c r="O100" s="60">
        <f t="shared" si="36"/>
        <v>303</v>
      </c>
      <c r="P100" s="60">
        <f t="shared" si="36"/>
        <v>287</v>
      </c>
      <c r="Q100" s="60">
        <f t="shared" si="36"/>
        <v>338.3</v>
      </c>
      <c r="R100" s="60">
        <f t="shared" si="36"/>
        <v>307.8</v>
      </c>
      <c r="S100" s="60">
        <f t="shared" si="36"/>
        <v>382</v>
      </c>
      <c r="T100" s="60">
        <f t="shared" si="36"/>
        <v>371</v>
      </c>
      <c r="U100" s="60">
        <f t="shared" si="36"/>
        <v>372.7</v>
      </c>
      <c r="V100" s="60">
        <f t="shared" ref="V100" si="37">V84-V99</f>
        <v>86</v>
      </c>
      <c r="W100" s="60">
        <f t="shared" si="36"/>
        <v>30</v>
      </c>
      <c r="X100" s="60">
        <f t="shared" si="36"/>
        <v>38.4</v>
      </c>
      <c r="Y100" s="60">
        <f t="shared" si="36"/>
        <v>28.1</v>
      </c>
      <c r="Z100" s="60">
        <f t="shared" ref="Z100:AA100" si="38">Z84-Z99</f>
        <v>18</v>
      </c>
      <c r="AA100" s="60">
        <f t="shared" si="38"/>
        <v>109</v>
      </c>
      <c r="AB100" s="60">
        <f t="shared" si="36"/>
        <v>211</v>
      </c>
      <c r="AC100" s="60">
        <f t="shared" si="36"/>
        <v>227</v>
      </c>
      <c r="AD100" s="60">
        <f t="shared" si="36"/>
        <v>183</v>
      </c>
      <c r="AE100" s="60">
        <f t="shared" si="36"/>
        <v>173</v>
      </c>
      <c r="AF100" s="60">
        <f t="shared" si="36"/>
        <v>215</v>
      </c>
      <c r="AG100" s="88"/>
      <c r="AH100" s="47">
        <f t="shared" si="19"/>
        <v>382</v>
      </c>
      <c r="AI100" s="48">
        <f t="shared" si="20"/>
        <v>18</v>
      </c>
    </row>
    <row r="101" spans="1:37" x14ac:dyDescent="0.25">
      <c r="A101" s="100" t="s">
        <v>109</v>
      </c>
      <c r="B101" s="101">
        <v>50.021999999999998</v>
      </c>
      <c r="C101" s="101">
        <v>49.88</v>
      </c>
      <c r="D101" s="101">
        <v>50.036999999999999</v>
      </c>
      <c r="E101" s="101">
        <v>50.048999999999999</v>
      </c>
      <c r="F101" s="101">
        <v>50.073</v>
      </c>
      <c r="G101" s="101">
        <v>50.048000000000002</v>
      </c>
      <c r="H101" s="101">
        <v>50</v>
      </c>
      <c r="I101" s="101">
        <v>50.045000000000002</v>
      </c>
      <c r="J101" s="101">
        <v>49.927999999999997</v>
      </c>
      <c r="K101" s="101">
        <v>50.082000000000001</v>
      </c>
      <c r="L101" s="101">
        <v>49.77</v>
      </c>
      <c r="M101" s="101">
        <v>49.923000000000002</v>
      </c>
      <c r="N101" s="101">
        <v>50.003999999999998</v>
      </c>
      <c r="O101" s="101">
        <v>50.003999999999998</v>
      </c>
      <c r="P101" s="101">
        <v>50.011000000000003</v>
      </c>
      <c r="Q101" s="101">
        <v>50.048999999999999</v>
      </c>
      <c r="R101" s="101">
        <v>50.055</v>
      </c>
      <c r="S101" s="101">
        <v>49.92</v>
      </c>
      <c r="T101" s="101">
        <v>50.005000000000003</v>
      </c>
      <c r="U101" s="101">
        <v>50.042999999999999</v>
      </c>
      <c r="V101" s="101">
        <v>50.149000000000001</v>
      </c>
      <c r="W101" s="101">
        <v>50.067</v>
      </c>
      <c r="X101" s="101">
        <v>50.042000000000002</v>
      </c>
      <c r="Y101" s="101">
        <v>50.030999999999999</v>
      </c>
      <c r="Z101" s="101">
        <v>50.030999999999999</v>
      </c>
      <c r="AA101" s="101">
        <v>49.95</v>
      </c>
      <c r="AB101" s="101">
        <v>50.045999999999999</v>
      </c>
      <c r="AC101" s="101">
        <v>50.045999999999999</v>
      </c>
      <c r="AD101" s="101">
        <v>50.03</v>
      </c>
      <c r="AE101" s="101">
        <v>50.081000000000003</v>
      </c>
      <c r="AF101" s="101">
        <v>49.954999999999998</v>
      </c>
      <c r="AG101" s="102"/>
      <c r="AH101" s="47">
        <f t="shared" si="19"/>
        <v>50.149000000000001</v>
      </c>
      <c r="AI101" s="48">
        <f t="shared" si="20"/>
        <v>49.77</v>
      </c>
    </row>
    <row r="102" spans="1:37" x14ac:dyDescent="0.25">
      <c r="A102" s="103" t="s">
        <v>110</v>
      </c>
      <c r="B102" s="65">
        <v>128.80000000000001</v>
      </c>
      <c r="C102" s="65">
        <v>129.6</v>
      </c>
      <c r="D102" s="65">
        <v>129.4</v>
      </c>
      <c r="E102" s="65">
        <v>128.9</v>
      </c>
      <c r="F102" s="65">
        <v>129</v>
      </c>
      <c r="G102" s="65">
        <v>129</v>
      </c>
      <c r="H102" s="65">
        <v>125.8</v>
      </c>
      <c r="I102" s="65">
        <v>125.8</v>
      </c>
      <c r="J102" s="65">
        <v>124</v>
      </c>
      <c r="K102" s="65">
        <v>123.5</v>
      </c>
      <c r="L102" s="65">
        <v>124</v>
      </c>
      <c r="M102" s="65">
        <v>123</v>
      </c>
      <c r="N102" s="65">
        <v>121.8</v>
      </c>
      <c r="O102" s="65">
        <v>121.8</v>
      </c>
      <c r="P102" s="65">
        <v>125.6</v>
      </c>
      <c r="Q102" s="65">
        <v>123.8</v>
      </c>
      <c r="R102" s="65">
        <v>125.7</v>
      </c>
      <c r="S102" s="65">
        <v>124</v>
      </c>
      <c r="T102" s="65">
        <v>124.6</v>
      </c>
      <c r="U102" s="65">
        <v>124.4</v>
      </c>
      <c r="V102" s="65">
        <v>123.5</v>
      </c>
      <c r="W102" s="65">
        <v>123.4</v>
      </c>
      <c r="X102" s="65">
        <v>125.6</v>
      </c>
      <c r="Y102" s="65">
        <v>125.5</v>
      </c>
      <c r="Z102" s="65">
        <v>125.5</v>
      </c>
      <c r="AA102" s="65">
        <v>125.5</v>
      </c>
      <c r="AB102" s="65">
        <v>126.5</v>
      </c>
      <c r="AC102" s="65">
        <v>126.5</v>
      </c>
      <c r="AD102" s="65">
        <v>127.8</v>
      </c>
      <c r="AE102" s="65">
        <v>128</v>
      </c>
      <c r="AF102" s="65">
        <v>127</v>
      </c>
      <c r="AG102" s="104"/>
      <c r="AH102" s="47">
        <f t="shared" si="19"/>
        <v>129.6</v>
      </c>
      <c r="AI102" s="48">
        <f t="shared" si="20"/>
        <v>121.8</v>
      </c>
    </row>
    <row r="103" spans="1:37" x14ac:dyDescent="0.25">
      <c r="A103" s="103" t="s">
        <v>111</v>
      </c>
      <c r="B103" s="65">
        <v>133.4</v>
      </c>
      <c r="C103" s="65">
        <v>133.69999999999999</v>
      </c>
      <c r="D103" s="65">
        <v>133.80000000000001</v>
      </c>
      <c r="E103" s="65">
        <v>133.80000000000001</v>
      </c>
      <c r="F103" s="65">
        <v>133</v>
      </c>
      <c r="G103" s="65">
        <v>133</v>
      </c>
      <c r="H103" s="65">
        <v>130.69999999999999</v>
      </c>
      <c r="I103" s="65">
        <v>130.69999999999999</v>
      </c>
      <c r="J103" s="65">
        <v>128.80000000000001</v>
      </c>
      <c r="K103" s="65">
        <v>127.8</v>
      </c>
      <c r="L103" s="65">
        <v>126.9</v>
      </c>
      <c r="M103" s="65">
        <v>126.5</v>
      </c>
      <c r="N103" s="65">
        <v>125.9</v>
      </c>
      <c r="O103" s="65">
        <v>125.9</v>
      </c>
      <c r="P103" s="65">
        <v>128.5</v>
      </c>
      <c r="Q103" s="65">
        <v>127</v>
      </c>
      <c r="R103" s="65">
        <v>128.6</v>
      </c>
      <c r="S103" s="65">
        <v>127</v>
      </c>
      <c r="T103" s="65">
        <v>127.6</v>
      </c>
      <c r="U103" s="65">
        <v>127.3</v>
      </c>
      <c r="V103" s="65">
        <v>126.3</v>
      </c>
      <c r="W103" s="65">
        <v>126.3</v>
      </c>
      <c r="X103" s="65">
        <v>127.2</v>
      </c>
      <c r="Y103" s="65">
        <v>127.4</v>
      </c>
      <c r="Z103" s="65">
        <v>127.4</v>
      </c>
      <c r="AA103" s="65">
        <v>128</v>
      </c>
      <c r="AB103" s="65">
        <v>129</v>
      </c>
      <c r="AC103" s="65">
        <v>129</v>
      </c>
      <c r="AD103" s="65">
        <v>131</v>
      </c>
      <c r="AE103" s="65">
        <v>131</v>
      </c>
      <c r="AF103" s="65">
        <v>132</v>
      </c>
      <c r="AG103" s="104"/>
      <c r="AH103" s="47">
        <f t="shared" si="19"/>
        <v>133.80000000000001</v>
      </c>
      <c r="AI103" s="48">
        <f t="shared" si="20"/>
        <v>125.9</v>
      </c>
    </row>
    <row r="104" spans="1:37" x14ac:dyDescent="0.25">
      <c r="A104" s="103" t="s">
        <v>112</v>
      </c>
      <c r="B104" s="65">
        <v>131.69999999999999</v>
      </c>
      <c r="C104" s="65">
        <v>131.30000000000001</v>
      </c>
      <c r="D104" s="65">
        <v>130.1</v>
      </c>
      <c r="E104" s="65">
        <v>130.6</v>
      </c>
      <c r="F104" s="65">
        <v>130</v>
      </c>
      <c r="G104" s="65">
        <v>130</v>
      </c>
      <c r="H104" s="65">
        <v>128</v>
      </c>
      <c r="I104" s="65">
        <v>128</v>
      </c>
      <c r="J104" s="65">
        <v>127</v>
      </c>
      <c r="K104" s="65">
        <v>125.8</v>
      </c>
      <c r="L104" s="65">
        <v>127</v>
      </c>
      <c r="M104" s="65"/>
      <c r="N104" s="65">
        <v>127.8</v>
      </c>
      <c r="O104" s="65">
        <v>127.8</v>
      </c>
      <c r="P104" s="65">
        <v>129.5</v>
      </c>
      <c r="Q104" s="65">
        <v>131.19999999999999</v>
      </c>
      <c r="R104" s="65">
        <v>129.9</v>
      </c>
      <c r="S104" s="65">
        <v>128</v>
      </c>
      <c r="T104" s="65">
        <v>129.19999999999999</v>
      </c>
      <c r="U104" s="65">
        <v>129.69999999999999</v>
      </c>
      <c r="V104" s="65">
        <v>125.9</v>
      </c>
      <c r="W104" s="65">
        <v>125.2</v>
      </c>
      <c r="X104" s="65">
        <v>130.80000000000001</v>
      </c>
      <c r="Y104" s="65">
        <v>130.19999999999999</v>
      </c>
      <c r="Z104" s="65">
        <v>130.19999999999999</v>
      </c>
      <c r="AA104" s="65">
        <v>132</v>
      </c>
      <c r="AB104" s="65">
        <v>133.4</v>
      </c>
      <c r="AC104" s="65">
        <v>133.4</v>
      </c>
      <c r="AD104" s="65">
        <v>134</v>
      </c>
      <c r="AE104" s="65">
        <v>131</v>
      </c>
      <c r="AF104" s="65">
        <v>131.69999999999999</v>
      </c>
      <c r="AG104" s="104"/>
      <c r="AH104" s="47">
        <f t="shared" si="19"/>
        <v>134</v>
      </c>
      <c r="AI104" s="48">
        <f t="shared" si="20"/>
        <v>125.2</v>
      </c>
    </row>
    <row r="105" spans="1:37" x14ac:dyDescent="0.25">
      <c r="A105" s="105" t="s">
        <v>113</v>
      </c>
      <c r="B105" s="65">
        <v>133.80000000000001</v>
      </c>
      <c r="C105" s="65">
        <v>133.4</v>
      </c>
      <c r="D105" s="65">
        <v>131.30000000000001</v>
      </c>
      <c r="E105" s="65">
        <v>132.5</v>
      </c>
      <c r="F105" s="65">
        <v>131.5</v>
      </c>
      <c r="G105" s="65">
        <v>131.5</v>
      </c>
      <c r="H105" s="65">
        <v>129.5</v>
      </c>
      <c r="I105" s="65">
        <v>129.5</v>
      </c>
      <c r="J105" s="65">
        <v>129.5</v>
      </c>
      <c r="K105" s="65">
        <v>129.4</v>
      </c>
      <c r="L105" s="65">
        <v>129</v>
      </c>
      <c r="M105" s="65">
        <v>126.9</v>
      </c>
      <c r="N105" s="65">
        <v>129.69999999999999</v>
      </c>
      <c r="O105" s="65">
        <v>129.69999999999999</v>
      </c>
      <c r="P105" s="65">
        <v>132.30000000000001</v>
      </c>
      <c r="Q105" s="65">
        <v>134.1</v>
      </c>
      <c r="R105" s="65">
        <v>133.6</v>
      </c>
      <c r="S105" s="65">
        <v>130.80000000000001</v>
      </c>
      <c r="T105" s="65">
        <v>132.80000000000001</v>
      </c>
      <c r="U105" s="65">
        <v>132.80000000000001</v>
      </c>
      <c r="V105" s="65">
        <v>128</v>
      </c>
      <c r="W105" s="65">
        <v>126.2</v>
      </c>
      <c r="X105" s="65">
        <v>131.69999999999999</v>
      </c>
      <c r="Y105" s="65">
        <v>132.4</v>
      </c>
      <c r="Z105" s="65">
        <v>132.4</v>
      </c>
      <c r="AA105" s="65">
        <v>133</v>
      </c>
      <c r="AB105" s="65">
        <v>135.30000000000001</v>
      </c>
      <c r="AC105" s="65">
        <v>135.30000000000001</v>
      </c>
      <c r="AD105" s="65">
        <v>135</v>
      </c>
      <c r="AE105" s="65">
        <v>132</v>
      </c>
      <c r="AF105" s="65">
        <v>133.6</v>
      </c>
      <c r="AG105" s="104"/>
      <c r="AH105" s="47">
        <f t="shared" si="19"/>
        <v>135.30000000000001</v>
      </c>
      <c r="AI105" s="48">
        <f t="shared" si="20"/>
        <v>126.2</v>
      </c>
    </row>
    <row r="106" spans="1:37" x14ac:dyDescent="0.25">
      <c r="A106" s="105" t="s">
        <v>114</v>
      </c>
      <c r="B106" s="106">
        <v>132.4</v>
      </c>
      <c r="C106" s="106">
        <v>133.30000000000001</v>
      </c>
      <c r="D106" s="106">
        <v>133.5</v>
      </c>
      <c r="E106" s="106">
        <v>133.5</v>
      </c>
      <c r="F106" s="106">
        <v>133.5</v>
      </c>
      <c r="G106" s="106">
        <v>133.5</v>
      </c>
      <c r="H106" s="106">
        <v>129.9</v>
      </c>
      <c r="I106" s="106">
        <v>129.9</v>
      </c>
      <c r="J106" s="106">
        <v>131</v>
      </c>
      <c r="K106" s="106">
        <v>130</v>
      </c>
      <c r="L106" s="106">
        <v>131.19999999999999</v>
      </c>
      <c r="M106" s="106">
        <v>130.6</v>
      </c>
      <c r="N106" s="106">
        <v>131.1</v>
      </c>
      <c r="O106" s="106">
        <v>131.1</v>
      </c>
      <c r="P106" s="106">
        <v>135.19999999999999</v>
      </c>
      <c r="Q106" s="106">
        <v>132.19999999999999</v>
      </c>
      <c r="R106" s="106">
        <v>133.1</v>
      </c>
      <c r="S106" s="106">
        <v>129.4</v>
      </c>
      <c r="T106" s="106">
        <v>130.30000000000001</v>
      </c>
      <c r="U106" s="106">
        <v>134.5</v>
      </c>
      <c r="V106" s="106">
        <v>136</v>
      </c>
      <c r="W106" s="106">
        <v>135.30000000000001</v>
      </c>
      <c r="X106" s="106">
        <v>131.9</v>
      </c>
      <c r="Y106" s="106">
        <v>133.6</v>
      </c>
      <c r="Z106" s="106">
        <v>133.6</v>
      </c>
      <c r="AA106" s="106">
        <v>132</v>
      </c>
      <c r="AB106" s="106">
        <v>132.6</v>
      </c>
      <c r="AC106" s="106">
        <v>132.6</v>
      </c>
      <c r="AD106" s="106">
        <v>133</v>
      </c>
      <c r="AE106" s="106">
        <v>133.6</v>
      </c>
      <c r="AF106" s="106">
        <v>132</v>
      </c>
      <c r="AG106" s="107"/>
      <c r="AH106" s="47">
        <f t="shared" si="19"/>
        <v>136</v>
      </c>
      <c r="AI106" s="48">
        <f t="shared" si="20"/>
        <v>129.4</v>
      </c>
    </row>
    <row r="107" spans="1:37" x14ac:dyDescent="0.25">
      <c r="A107" s="103" t="s">
        <v>115</v>
      </c>
      <c r="B107" s="65">
        <v>136.19999999999999</v>
      </c>
      <c r="C107" s="65">
        <v>137.1</v>
      </c>
      <c r="D107" s="65">
        <v>131.80000000000001</v>
      </c>
      <c r="E107" s="65">
        <v>128.6</v>
      </c>
      <c r="F107" s="65">
        <v>127</v>
      </c>
      <c r="G107" s="65">
        <v>127</v>
      </c>
      <c r="H107" s="65">
        <v>127.6</v>
      </c>
      <c r="I107" s="65">
        <v>127.6</v>
      </c>
      <c r="J107" s="65">
        <v>127</v>
      </c>
      <c r="K107" s="65">
        <v>128</v>
      </c>
      <c r="L107" s="65">
        <v>128.30000000000001</v>
      </c>
      <c r="M107" s="65">
        <v>133.4</v>
      </c>
      <c r="N107" s="65">
        <v>132.5</v>
      </c>
      <c r="O107" s="65">
        <v>132.5</v>
      </c>
      <c r="P107" s="65">
        <v>134.1</v>
      </c>
      <c r="Q107" s="65">
        <v>135.5</v>
      </c>
      <c r="R107" s="65">
        <v>130.80000000000001</v>
      </c>
      <c r="S107" s="65">
        <v>127.4</v>
      </c>
      <c r="T107" s="65">
        <v>130.6</v>
      </c>
      <c r="U107" s="65">
        <v>128.30000000000001</v>
      </c>
      <c r="V107" s="65">
        <v>1322</v>
      </c>
      <c r="W107" s="65">
        <v>130.80000000000001</v>
      </c>
      <c r="X107" s="65">
        <v>137.30000000000001</v>
      </c>
      <c r="Y107" s="65">
        <v>133.9</v>
      </c>
      <c r="Z107" s="65">
        <v>133.9</v>
      </c>
      <c r="AA107" s="65">
        <v>134</v>
      </c>
      <c r="AB107" s="65">
        <v>132.5</v>
      </c>
      <c r="AC107" s="65">
        <v>132.5</v>
      </c>
      <c r="AD107" s="65">
        <v>136</v>
      </c>
      <c r="AE107" s="65">
        <v>133.69999999999999</v>
      </c>
      <c r="AF107" s="65">
        <v>132.6</v>
      </c>
      <c r="AG107" s="104"/>
      <c r="AH107" s="47">
        <f t="shared" si="19"/>
        <v>1322</v>
      </c>
      <c r="AI107" s="48">
        <f t="shared" si="20"/>
        <v>127</v>
      </c>
    </row>
    <row r="108" spans="1:37" ht="15.75" thickBot="1" x14ac:dyDescent="0.3">
      <c r="A108" s="103" t="s">
        <v>116</v>
      </c>
      <c r="B108" s="92">
        <v>67.099999999999994</v>
      </c>
      <c r="C108" s="92">
        <v>67.400000000000006</v>
      </c>
      <c r="D108" s="92">
        <v>67.3</v>
      </c>
      <c r="E108" s="92">
        <v>67.400000000000006</v>
      </c>
      <c r="F108" s="92">
        <v>67</v>
      </c>
      <c r="G108" s="92">
        <v>67</v>
      </c>
      <c r="H108" s="92">
        <v>65.7</v>
      </c>
      <c r="I108" s="92">
        <v>65.7</v>
      </c>
      <c r="J108" s="92">
        <v>65</v>
      </c>
      <c r="K108" s="92">
        <v>64.5</v>
      </c>
      <c r="L108" s="92">
        <v>63.9</v>
      </c>
      <c r="M108" s="92">
        <v>63.7</v>
      </c>
      <c r="N108" s="92">
        <v>63.2</v>
      </c>
      <c r="O108" s="92">
        <v>63.2</v>
      </c>
      <c r="P108" s="92">
        <v>64.400000000000006</v>
      </c>
      <c r="Q108" s="92">
        <v>63.6</v>
      </c>
      <c r="R108" s="92">
        <v>64.400000000000006</v>
      </c>
      <c r="S108" s="92">
        <v>63.8</v>
      </c>
      <c r="T108" s="92">
        <v>64.099999999999994</v>
      </c>
      <c r="U108" s="92">
        <v>63.8</v>
      </c>
      <c r="V108" s="92">
        <v>63.2</v>
      </c>
      <c r="W108" s="92">
        <v>63.4</v>
      </c>
      <c r="X108" s="92">
        <v>63.9</v>
      </c>
      <c r="Y108" s="92">
        <v>64</v>
      </c>
      <c r="Z108" s="92">
        <v>64</v>
      </c>
      <c r="AA108" s="92">
        <v>64.400000000000006</v>
      </c>
      <c r="AB108" s="92">
        <v>64.8</v>
      </c>
      <c r="AC108" s="92">
        <v>64.8</v>
      </c>
      <c r="AD108" s="92">
        <v>66</v>
      </c>
      <c r="AE108" s="92">
        <v>66</v>
      </c>
      <c r="AF108" s="92">
        <v>66</v>
      </c>
      <c r="AG108" s="108"/>
      <c r="AH108" s="47">
        <f t="shared" si="19"/>
        <v>67.400000000000006</v>
      </c>
      <c r="AI108" s="48">
        <f t="shared" si="20"/>
        <v>63.2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117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9"/>
        <v>0</v>
      </c>
      <c r="AI109" s="48">
        <f t="shared" si="20"/>
        <v>0</v>
      </c>
    </row>
    <row r="110" spans="1:37" ht="15.75" thickBot="1" x14ac:dyDescent="0.3">
      <c r="A110" s="110" t="s">
        <v>118</v>
      </c>
      <c r="B110" s="111">
        <f t="shared" ref="B110:O110" si="39">SUM(B20,B26,B29:B30,B58,B60:B61,B63,B65,B111:B115,B140,B146,B152,B161,B163,B175,B182,B185:B186,B193,B195,B197,B201:B203,B205:B207,B212,B218:B219,B221:B223,B231,B236)</f>
        <v>97.489999999999981</v>
      </c>
      <c r="C110" s="111">
        <f t="shared" si="39"/>
        <v>83.739999999999981</v>
      </c>
      <c r="D110" s="111">
        <f t="shared" si="39"/>
        <v>87.139999999999986</v>
      </c>
      <c r="E110" s="111">
        <f t="shared" si="39"/>
        <v>84.639999999999958</v>
      </c>
      <c r="F110" s="111">
        <f t="shared" si="39"/>
        <v>83.839999999999975</v>
      </c>
      <c r="G110" s="111">
        <f t="shared" si="39"/>
        <v>113.73999999999998</v>
      </c>
      <c r="H110" s="111">
        <f t="shared" si="39"/>
        <v>153.33999999999997</v>
      </c>
      <c r="I110" s="111">
        <f t="shared" si="39"/>
        <v>188.93999999999997</v>
      </c>
      <c r="J110" s="111">
        <f t="shared" si="39"/>
        <v>258.83999999999997</v>
      </c>
      <c r="K110" s="111">
        <f t="shared" si="39"/>
        <v>281.03999999999996</v>
      </c>
      <c r="L110" s="111">
        <f t="shared" si="39"/>
        <v>307.94</v>
      </c>
      <c r="M110" s="111">
        <f t="shared" si="39"/>
        <v>350.44</v>
      </c>
      <c r="N110" s="111">
        <f t="shared" si="39"/>
        <v>324.64</v>
      </c>
      <c r="O110" s="111">
        <f t="shared" si="39"/>
        <v>295.64</v>
      </c>
      <c r="P110" s="111">
        <v>42</v>
      </c>
      <c r="Q110" s="111">
        <f t="shared" ref="Q110:AF110" si="40">SUM(Q20,Q26,Q29:Q30,Q58,Q60:Q61,Q63,Q65,Q111:Q115,Q140,Q146,Q152,Q161,Q163,Q175,Q182,Q185:Q186,Q193,Q195,Q197,Q201:Q203,Q205:Q207,Q212,Q218:Q219,Q221:Q223,Q231,Q236)</f>
        <v>287.24</v>
      </c>
      <c r="R110" s="111">
        <f t="shared" si="40"/>
        <v>271.83999999999997</v>
      </c>
      <c r="S110" s="111">
        <f t="shared" si="40"/>
        <v>254.04</v>
      </c>
      <c r="T110" s="111">
        <f t="shared" si="40"/>
        <v>264.44</v>
      </c>
      <c r="U110" s="111">
        <f t="shared" si="40"/>
        <v>287.83999999999997</v>
      </c>
      <c r="V110" s="111">
        <f t="shared" ref="V110" si="41">SUM(V20,V26,V29:V30,V58,V60:V61,V63,V65,V111:V115,V140,V146,V152,V161,V163,V175,V182,V185:V186,V193,V195,V197,V201:V203,V205:V207,V212,V218:V219,V221:V223,V231,V236)</f>
        <v>354.24</v>
      </c>
      <c r="W110" s="111">
        <f t="shared" si="40"/>
        <v>389.24</v>
      </c>
      <c r="X110" s="111">
        <f t="shared" si="40"/>
        <v>386.14</v>
      </c>
      <c r="Y110" s="111">
        <f t="shared" si="40"/>
        <v>382.04</v>
      </c>
      <c r="Z110" s="111">
        <f t="shared" ref="Z110:AA110" si="42">SUM(Z20,Z26,Z29:Z30,Z58,Z60:Z61,Z63,Z65,Z111:Z115,Z140,Z146,Z152,Z161,Z163,Z175,Z182,Z185:Z186,Z193,Z195,Z197,Z201:Z203,Z205:Z207,Z212,Z218:Z219,Z221:Z223,Z231,Z236)</f>
        <v>385.34000000000003</v>
      </c>
      <c r="AA110" s="111">
        <f t="shared" si="42"/>
        <v>374.54</v>
      </c>
      <c r="AB110" s="111">
        <f t="shared" si="40"/>
        <v>308.83999999999997</v>
      </c>
      <c r="AC110" s="111">
        <f t="shared" si="40"/>
        <v>308.83999999999997</v>
      </c>
      <c r="AD110" s="111">
        <f t="shared" si="40"/>
        <v>231.54000000000002</v>
      </c>
      <c r="AE110" s="111">
        <f t="shared" si="40"/>
        <v>179.94</v>
      </c>
      <c r="AF110" s="111">
        <f t="shared" si="40"/>
        <v>110.74000000000001</v>
      </c>
      <c r="AG110" s="112"/>
      <c r="AH110" s="47">
        <f t="shared" si="19"/>
        <v>389.24</v>
      </c>
      <c r="AI110" s="48">
        <f t="shared" si="20"/>
        <v>42</v>
      </c>
    </row>
    <row r="111" spans="1:37" x14ac:dyDescent="0.25">
      <c r="A111" s="181" t="s">
        <v>119</v>
      </c>
      <c r="B111" s="113">
        <v>17.600000000000001</v>
      </c>
      <c r="C111" s="113">
        <v>18.600000000000001</v>
      </c>
      <c r="D111" s="113">
        <v>16.5</v>
      </c>
      <c r="E111" s="113">
        <v>17.7</v>
      </c>
      <c r="F111" s="113">
        <v>12.6</v>
      </c>
      <c r="G111" s="113">
        <v>14.2</v>
      </c>
      <c r="H111" s="113">
        <v>21.1</v>
      </c>
      <c r="I111" s="113">
        <v>37.200000000000003</v>
      </c>
      <c r="J111" s="113">
        <v>36.299999999999997</v>
      </c>
      <c r="K111" s="113">
        <v>31</v>
      </c>
      <c r="L111" s="113">
        <v>29</v>
      </c>
      <c r="M111" s="113">
        <v>31.2</v>
      </c>
      <c r="N111" s="113">
        <v>40.1</v>
      </c>
      <c r="O111" s="113">
        <v>40.1</v>
      </c>
      <c r="P111" s="113">
        <v>38.799999999999997</v>
      </c>
      <c r="Q111" s="113">
        <v>28.4</v>
      </c>
      <c r="R111" s="113">
        <v>22.8</v>
      </c>
      <c r="S111" s="113">
        <v>18</v>
      </c>
      <c r="T111" s="113">
        <v>22.8</v>
      </c>
      <c r="U111" s="113">
        <v>32.4</v>
      </c>
      <c r="V111" s="113">
        <v>52</v>
      </c>
      <c r="W111" s="113">
        <v>48.1</v>
      </c>
      <c r="X111" s="113">
        <v>44.2</v>
      </c>
      <c r="Y111" s="113">
        <v>48.9</v>
      </c>
      <c r="Z111" s="113">
        <v>48.9</v>
      </c>
      <c r="AA111" s="113">
        <v>53</v>
      </c>
      <c r="AB111" s="113">
        <v>50.8</v>
      </c>
      <c r="AC111" s="113">
        <v>50.8</v>
      </c>
      <c r="AD111" s="113">
        <v>46</v>
      </c>
      <c r="AE111" s="113">
        <v>33.5</v>
      </c>
      <c r="AF111" s="113">
        <v>7.1</v>
      </c>
      <c r="AG111" s="114">
        <v>75</v>
      </c>
      <c r="AH111" s="47">
        <f t="shared" si="19"/>
        <v>53</v>
      </c>
      <c r="AI111" s="48">
        <f t="shared" si="20"/>
        <v>7.1</v>
      </c>
    </row>
    <row r="112" spans="1:37" x14ac:dyDescent="0.25">
      <c r="A112" s="182" t="s">
        <v>120</v>
      </c>
      <c r="B112" s="115">
        <v>16.7</v>
      </c>
      <c r="C112" s="115">
        <v>17</v>
      </c>
      <c r="D112" s="115">
        <v>14.6</v>
      </c>
      <c r="E112" s="115">
        <v>14.7</v>
      </c>
      <c r="F112" s="115">
        <v>6.1</v>
      </c>
      <c r="G112" s="115">
        <v>7.4</v>
      </c>
      <c r="H112" s="115">
        <v>16.600000000000001</v>
      </c>
      <c r="I112" s="115">
        <v>41</v>
      </c>
      <c r="J112" s="115">
        <v>39.5</v>
      </c>
      <c r="K112" s="115">
        <v>31.5</v>
      </c>
      <c r="L112" s="115">
        <v>27.7</v>
      </c>
      <c r="M112" s="115">
        <v>29.4</v>
      </c>
      <c r="N112" s="115">
        <v>43</v>
      </c>
      <c r="O112" s="115">
        <v>43</v>
      </c>
      <c r="P112" s="115">
        <v>40.299999999999997</v>
      </c>
      <c r="Q112" s="115">
        <v>26.6</v>
      </c>
      <c r="R112" s="115">
        <v>18</v>
      </c>
      <c r="S112" s="115">
        <v>14</v>
      </c>
      <c r="T112" s="115">
        <v>16.600000000000001</v>
      </c>
      <c r="U112" s="115">
        <v>32.1</v>
      </c>
      <c r="V112" s="115">
        <v>55</v>
      </c>
      <c r="W112" s="115">
        <v>53.6</v>
      </c>
      <c r="X112" s="115">
        <v>47.2</v>
      </c>
      <c r="Y112" s="115">
        <v>53.7</v>
      </c>
      <c r="Z112" s="115">
        <v>53.7</v>
      </c>
      <c r="AA112" s="115">
        <v>61</v>
      </c>
      <c r="AB112" s="115">
        <v>58.2</v>
      </c>
      <c r="AC112" s="115">
        <v>58.2</v>
      </c>
      <c r="AD112" s="115">
        <v>53</v>
      </c>
      <c r="AE112" s="115">
        <v>36.700000000000003</v>
      </c>
      <c r="AF112" s="115">
        <v>0</v>
      </c>
      <c r="AG112" s="114">
        <v>240</v>
      </c>
      <c r="AH112" s="47">
        <f t="shared" si="19"/>
        <v>61</v>
      </c>
      <c r="AI112" s="48">
        <f t="shared" si="20"/>
        <v>0</v>
      </c>
    </row>
    <row r="113" spans="1:37" x14ac:dyDescent="0.25">
      <c r="A113" s="182" t="s">
        <v>121</v>
      </c>
      <c r="B113" s="115">
        <v>-80</v>
      </c>
      <c r="C113" s="115">
        <v>-85</v>
      </c>
      <c r="D113" s="115">
        <v>-86.2</v>
      </c>
      <c r="E113" s="115">
        <v>-84</v>
      </c>
      <c r="F113" s="115">
        <v>-79</v>
      </c>
      <c r="G113" s="115">
        <v>-70</v>
      </c>
      <c r="H113" s="115">
        <v>-69.599999999999994</v>
      </c>
      <c r="I113" s="115">
        <v>-62.9</v>
      </c>
      <c r="J113" s="115">
        <v>-48</v>
      </c>
      <c r="K113" s="115">
        <v>-54</v>
      </c>
      <c r="L113" s="115">
        <v>-44</v>
      </c>
      <c r="M113" s="115">
        <f>-1-10</f>
        <v>-11</v>
      </c>
      <c r="N113" s="115">
        <f>-15-20</f>
        <v>-35</v>
      </c>
      <c r="O113" s="115">
        <f>-15-20</f>
        <v>-35</v>
      </c>
      <c r="P113" s="115">
        <f>-13-15</f>
        <v>-28</v>
      </c>
      <c r="Q113" s="115">
        <f>-8-10.1</f>
        <v>-18.100000000000001</v>
      </c>
      <c r="R113" s="115">
        <f>-2.6-3.3</f>
        <v>-5.9</v>
      </c>
      <c r="S113" s="115">
        <v>-17</v>
      </c>
      <c r="T113" s="115">
        <v>-8</v>
      </c>
      <c r="U113" s="115">
        <v>-7.2</v>
      </c>
      <c r="V113" s="115">
        <v>-3</v>
      </c>
      <c r="W113" s="115">
        <v>-12.1</v>
      </c>
      <c r="X113" s="115">
        <v>-8</v>
      </c>
      <c r="Y113" s="115">
        <v>-1.3</v>
      </c>
      <c r="Z113" s="115">
        <v>-1.3</v>
      </c>
      <c r="AA113" s="115">
        <v>0</v>
      </c>
      <c r="AB113" s="115">
        <v>-6.9</v>
      </c>
      <c r="AC113" s="115">
        <v>-6.9</v>
      </c>
      <c r="AD113" s="115">
        <v>-36</v>
      </c>
      <c r="AE113" s="115">
        <v>-50</v>
      </c>
      <c r="AF113" s="115">
        <v>-60</v>
      </c>
      <c r="AG113" s="114">
        <v>240</v>
      </c>
      <c r="AH113" s="47">
        <f t="shared" si="19"/>
        <v>0</v>
      </c>
      <c r="AI113" s="48">
        <f t="shared" si="20"/>
        <v>-86.2</v>
      </c>
    </row>
    <row r="114" spans="1:37" ht="15.75" thickBot="1" x14ac:dyDescent="0.3">
      <c r="A114" s="182" t="s">
        <v>122</v>
      </c>
      <c r="B114" s="115">
        <v>-12.8</v>
      </c>
      <c r="C114" s="115">
        <v>-13.5</v>
      </c>
      <c r="D114" s="115">
        <v>-15.4</v>
      </c>
      <c r="E114" s="115">
        <v>-15.4</v>
      </c>
      <c r="F114" s="115">
        <v>-12.5</v>
      </c>
      <c r="G114" s="115">
        <v>-13.5</v>
      </c>
      <c r="H114" s="115">
        <v>-11.4</v>
      </c>
      <c r="I114" s="115">
        <v>-7</v>
      </c>
      <c r="J114" s="115">
        <v>1.2</v>
      </c>
      <c r="K114" s="115">
        <v>22.7</v>
      </c>
      <c r="L114" s="115">
        <v>39.4</v>
      </c>
      <c r="M114" s="115">
        <v>37.9</v>
      </c>
      <c r="N114" s="115">
        <v>14</v>
      </c>
      <c r="O114" s="115">
        <v>15</v>
      </c>
      <c r="P114" s="115">
        <v>16.8</v>
      </c>
      <c r="Q114" s="115">
        <v>0</v>
      </c>
      <c r="R114" s="115">
        <v>0</v>
      </c>
      <c r="S114" s="115">
        <v>0</v>
      </c>
      <c r="T114" s="115">
        <v>0</v>
      </c>
      <c r="U114" s="115">
        <v>0</v>
      </c>
      <c r="V114" s="115">
        <v>0</v>
      </c>
      <c r="W114" s="115">
        <v>32.4</v>
      </c>
      <c r="X114" s="115">
        <v>41.5</v>
      </c>
      <c r="Y114" s="115">
        <v>31.5</v>
      </c>
      <c r="Z114" s="115">
        <v>31.5</v>
      </c>
      <c r="AA114" s="115">
        <v>13</v>
      </c>
      <c r="AB114" s="115">
        <v>12.7</v>
      </c>
      <c r="AC114" s="115">
        <v>12.7</v>
      </c>
      <c r="AD114" s="115">
        <v>3</v>
      </c>
      <c r="AE114" s="115">
        <v>2.2000000000000002</v>
      </c>
      <c r="AF114" s="115">
        <v>-4.9000000000000004</v>
      </c>
      <c r="AG114" s="114">
        <v>60</v>
      </c>
      <c r="AH114" s="47">
        <f t="shared" si="19"/>
        <v>41.5</v>
      </c>
      <c r="AI114" s="48">
        <f t="shared" si="20"/>
        <v>-15.4</v>
      </c>
    </row>
    <row r="115" spans="1:37" x14ac:dyDescent="0.25">
      <c r="A115" s="181" t="s">
        <v>267</v>
      </c>
      <c r="B115" s="117">
        <f>14.9*1.5</f>
        <v>22.35</v>
      </c>
      <c r="C115" s="117">
        <v>13</v>
      </c>
      <c r="D115" s="117">
        <v>24</v>
      </c>
      <c r="E115" s="117">
        <v>18</v>
      </c>
      <c r="F115" s="117">
        <v>26</v>
      </c>
      <c r="G115" s="117">
        <v>45</v>
      </c>
      <c r="H115" s="117">
        <v>66</v>
      </c>
      <c r="I115" s="117">
        <v>50</v>
      </c>
      <c r="J115" s="117">
        <v>99</v>
      </c>
      <c r="K115" s="117">
        <v>119</v>
      </c>
      <c r="L115" s="117">
        <v>125</v>
      </c>
      <c r="M115" s="117">
        <f>86*1.5</f>
        <v>129</v>
      </c>
      <c r="N115" s="117">
        <f>85*1.5</f>
        <v>127.5</v>
      </c>
      <c r="O115" s="117">
        <f>65*1.5</f>
        <v>97.5</v>
      </c>
      <c r="P115" s="117">
        <f>65*1.5</f>
        <v>97.5</v>
      </c>
      <c r="Q115" s="117">
        <f>70*1.5</f>
        <v>105</v>
      </c>
      <c r="R115" s="117">
        <f>63*1.5</f>
        <v>94.5</v>
      </c>
      <c r="S115" s="117">
        <v>100</v>
      </c>
      <c r="T115" s="117">
        <v>98</v>
      </c>
      <c r="U115" s="117">
        <f>66*1.5</f>
        <v>99</v>
      </c>
      <c r="V115" s="117">
        <v>121</v>
      </c>
      <c r="W115" s="117">
        <v>138</v>
      </c>
      <c r="X115" s="117">
        <v>132</v>
      </c>
      <c r="Y115" s="117">
        <f>80*1.5</f>
        <v>120</v>
      </c>
      <c r="Z115" s="117">
        <f>80*1.5</f>
        <v>120</v>
      </c>
      <c r="AA115" s="117">
        <v>115</v>
      </c>
      <c r="AB115" s="117">
        <v>61.5</v>
      </c>
      <c r="AC115" s="117">
        <v>61.5</v>
      </c>
      <c r="AD115" s="117">
        <v>33</v>
      </c>
      <c r="AE115" s="117">
        <v>25</v>
      </c>
      <c r="AF115" s="117">
        <v>36</v>
      </c>
      <c r="AG115" s="118">
        <v>120</v>
      </c>
      <c r="AH115" s="47">
        <f t="shared" si="19"/>
        <v>138</v>
      </c>
      <c r="AI115" s="48">
        <f t="shared" si="20"/>
        <v>13</v>
      </c>
    </row>
    <row r="116" spans="1:37" x14ac:dyDescent="0.25">
      <c r="A116" s="182" t="s">
        <v>266</v>
      </c>
      <c r="B116" s="117">
        <v>50.5</v>
      </c>
      <c r="C116" s="117">
        <v>46.1</v>
      </c>
      <c r="D116" s="117">
        <v>46.4</v>
      </c>
      <c r="E116" s="117">
        <v>45.4</v>
      </c>
      <c r="F116" s="117">
        <v>53.6</v>
      </c>
      <c r="G116" s="117">
        <v>61</v>
      </c>
      <c r="H116" s="117">
        <v>79.5</v>
      </c>
      <c r="I116" s="117">
        <v>67.7</v>
      </c>
      <c r="J116" s="117">
        <v>86.2</v>
      </c>
      <c r="K116" s="117">
        <v>94.8</v>
      </c>
      <c r="L116" s="117">
        <v>103.8</v>
      </c>
      <c r="M116" s="117">
        <v>103.7</v>
      </c>
      <c r="N116" s="117">
        <v>104</v>
      </c>
      <c r="O116" s="117">
        <v>87.2</v>
      </c>
      <c r="P116" s="117">
        <v>87.2</v>
      </c>
      <c r="Q116" s="117">
        <v>92</v>
      </c>
      <c r="R116" s="117">
        <v>85.4</v>
      </c>
      <c r="S116" s="117">
        <v>90</v>
      </c>
      <c r="T116" s="117">
        <v>87.5</v>
      </c>
      <c r="U116" s="117">
        <v>90.3</v>
      </c>
      <c r="V116" s="117">
        <v>96</v>
      </c>
      <c r="W116" s="117">
        <v>104.3</v>
      </c>
      <c r="X116" s="117">
        <v>104.9</v>
      </c>
      <c r="Y116" s="117">
        <v>101.4</v>
      </c>
      <c r="Z116" s="117">
        <v>101.4</v>
      </c>
      <c r="AA116" s="117">
        <v>185</v>
      </c>
      <c r="AB116" s="117">
        <v>86.5</v>
      </c>
      <c r="AC116" s="117">
        <v>86.5</v>
      </c>
      <c r="AD116" s="117">
        <v>64</v>
      </c>
      <c r="AE116" s="117">
        <v>57</v>
      </c>
      <c r="AF116" s="117">
        <v>67</v>
      </c>
      <c r="AG116" s="118"/>
      <c r="AH116" s="47"/>
      <c r="AI116" s="48"/>
    </row>
    <row r="117" spans="1:37" x14ac:dyDescent="0.25">
      <c r="A117" s="182" t="s">
        <v>263</v>
      </c>
      <c r="B117" s="117">
        <v>23.7</v>
      </c>
      <c r="C117" s="117">
        <v>23.3</v>
      </c>
      <c r="D117" s="117">
        <v>24.9</v>
      </c>
      <c r="E117" s="117">
        <v>23.7</v>
      </c>
      <c r="F117" s="117">
        <v>35.799999999999997</v>
      </c>
      <c r="G117" s="117">
        <v>35</v>
      </c>
      <c r="H117" s="117">
        <v>31.7</v>
      </c>
      <c r="I117" s="117">
        <v>0.6</v>
      </c>
      <c r="J117" s="117">
        <v>3</v>
      </c>
      <c r="K117" s="117">
        <v>-2.8</v>
      </c>
      <c r="L117" s="117">
        <v>-3.2</v>
      </c>
      <c r="M117" s="117">
        <v>-8.1</v>
      </c>
      <c r="N117" s="117">
        <v>2.5</v>
      </c>
      <c r="O117" s="117">
        <v>-0.6</v>
      </c>
      <c r="P117" s="117">
        <v>-0.6</v>
      </c>
      <c r="Q117" s="117">
        <v>17.100000000000001</v>
      </c>
      <c r="R117" s="117">
        <v>14.3</v>
      </c>
      <c r="S117" s="117">
        <v>27</v>
      </c>
      <c r="T117" s="117">
        <v>13.3</v>
      </c>
      <c r="U117" s="117">
        <v>0.1</v>
      </c>
      <c r="V117" s="117">
        <v>-30.5</v>
      </c>
      <c r="W117" s="117">
        <v>-27.7</v>
      </c>
      <c r="X117" s="117">
        <v>-41</v>
      </c>
      <c r="Y117" s="117">
        <v>-41.5</v>
      </c>
      <c r="Z117" s="117">
        <v>-41.5</v>
      </c>
      <c r="AA117" s="117">
        <v>-46</v>
      </c>
      <c r="AB117" s="117">
        <v>-39</v>
      </c>
      <c r="AC117" s="117">
        <v>-39</v>
      </c>
      <c r="AD117" s="117">
        <v>-31</v>
      </c>
      <c r="AE117" s="117">
        <v>-11</v>
      </c>
      <c r="AF117" s="117">
        <v>-39</v>
      </c>
      <c r="AG117" s="118"/>
      <c r="AH117" s="47"/>
      <c r="AI117" s="48"/>
    </row>
    <row r="118" spans="1:37" ht="15.75" thickBot="1" x14ac:dyDescent="0.3">
      <c r="A118" s="182" t="s">
        <v>260</v>
      </c>
      <c r="B118" s="117">
        <v>45.7</v>
      </c>
      <c r="C118" s="117">
        <v>43.5</v>
      </c>
      <c r="D118" s="117">
        <v>43.2</v>
      </c>
      <c r="E118" s="117">
        <v>41.8</v>
      </c>
      <c r="F118" s="117">
        <v>54.2</v>
      </c>
      <c r="G118" s="117">
        <v>62.8</v>
      </c>
      <c r="H118" s="117">
        <v>78.7</v>
      </c>
      <c r="I118" s="117">
        <v>66.599999999999994</v>
      </c>
      <c r="J118" s="117">
        <v>83.6</v>
      </c>
      <c r="K118" s="117">
        <v>87.4</v>
      </c>
      <c r="L118" s="117">
        <v>97</v>
      </c>
      <c r="M118" s="117">
        <v>95</v>
      </c>
      <c r="N118" s="117">
        <v>93.9</v>
      </c>
      <c r="O118" s="117">
        <v>89.7</v>
      </c>
      <c r="P118" s="117">
        <v>89.7</v>
      </c>
      <c r="Q118" s="117">
        <v>97.1</v>
      </c>
      <c r="R118" s="117">
        <v>85</v>
      </c>
      <c r="S118" s="117">
        <v>95</v>
      </c>
      <c r="T118" s="117">
        <v>90</v>
      </c>
      <c r="U118" s="117">
        <v>85.5</v>
      </c>
      <c r="V118" s="117">
        <v>71</v>
      </c>
      <c r="W118" s="117">
        <v>75.900000000000006</v>
      </c>
      <c r="X118" s="117">
        <v>73.7</v>
      </c>
      <c r="Y118" s="117">
        <v>71.8</v>
      </c>
      <c r="Z118" s="117">
        <v>71.8</v>
      </c>
      <c r="AA118" s="117">
        <v>71</v>
      </c>
      <c r="AB118" s="117">
        <v>67</v>
      </c>
      <c r="AC118" s="117">
        <v>67</v>
      </c>
      <c r="AD118" s="117">
        <v>53</v>
      </c>
      <c r="AE118" s="117">
        <v>42</v>
      </c>
      <c r="AF118" s="117">
        <v>64</v>
      </c>
      <c r="AG118" s="114"/>
      <c r="AH118" s="47">
        <f t="shared" si="19"/>
        <v>97.1</v>
      </c>
      <c r="AI118" s="48">
        <f t="shared" si="20"/>
        <v>41.8</v>
      </c>
    </row>
    <row r="119" spans="1:37" x14ac:dyDescent="0.25">
      <c r="A119" s="181" t="s">
        <v>264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06"/>
      <c r="AG119" s="114"/>
      <c r="AH119" s="47">
        <f t="shared" si="19"/>
        <v>0</v>
      </c>
      <c r="AI119" s="48">
        <f t="shared" si="20"/>
        <v>0</v>
      </c>
    </row>
    <row r="120" spans="1:37" x14ac:dyDescent="0.25">
      <c r="A120" s="182" t="s">
        <v>126</v>
      </c>
      <c r="B120" s="106">
        <v>10.7</v>
      </c>
      <c r="C120" s="106">
        <v>10.8</v>
      </c>
      <c r="D120" s="106">
        <v>10.9</v>
      </c>
      <c r="E120" s="106">
        <v>11.1</v>
      </c>
      <c r="F120" s="106">
        <v>11.1</v>
      </c>
      <c r="G120" s="106">
        <v>9.1999999999999993</v>
      </c>
      <c r="H120" s="106">
        <v>4.3</v>
      </c>
      <c r="I120" s="106">
        <v>-2</v>
      </c>
      <c r="J120" s="106">
        <v>-11.8</v>
      </c>
      <c r="K120" s="106">
        <v>-19.8</v>
      </c>
      <c r="L120" s="106">
        <v>-23.2</v>
      </c>
      <c r="M120" s="106">
        <v>-12.1</v>
      </c>
      <c r="N120" s="106">
        <v>-16.399999999999999</v>
      </c>
      <c r="O120" s="106">
        <v>-4.8</v>
      </c>
      <c r="P120" s="106">
        <v>-4.8</v>
      </c>
      <c r="Q120" s="106">
        <v>-4.2</v>
      </c>
      <c r="R120" s="106">
        <v>0</v>
      </c>
      <c r="S120" s="106">
        <v>0</v>
      </c>
      <c r="T120" s="106">
        <v>0</v>
      </c>
      <c r="U120" s="106">
        <v>-6.5</v>
      </c>
      <c r="V120" s="106">
        <v>-33</v>
      </c>
      <c r="W120" s="106">
        <v>-41.1</v>
      </c>
      <c r="X120" s="106">
        <v>-33.299999999999997</v>
      </c>
      <c r="Y120" s="106">
        <v>-25</v>
      </c>
      <c r="Z120" s="106">
        <v>-25</v>
      </c>
      <c r="AA120" s="106">
        <v>-15</v>
      </c>
      <c r="AB120" s="106">
        <v>-11.8</v>
      </c>
      <c r="AC120" s="106">
        <v>-11.8</v>
      </c>
      <c r="AD120" s="106">
        <v>0.7</v>
      </c>
      <c r="AE120" s="106">
        <v>5.2</v>
      </c>
      <c r="AF120" s="106">
        <v>8.1999999999999993</v>
      </c>
      <c r="AG120" s="114"/>
      <c r="AH120" s="47">
        <f t="shared" si="19"/>
        <v>11.1</v>
      </c>
      <c r="AI120" s="48">
        <f t="shared" si="20"/>
        <v>-41.1</v>
      </c>
    </row>
    <row r="121" spans="1:37" x14ac:dyDescent="0.25">
      <c r="A121" s="182" t="s">
        <v>268</v>
      </c>
      <c r="B121" s="106">
        <v>44</v>
      </c>
      <c r="C121" s="106">
        <v>54.2</v>
      </c>
      <c r="D121" s="106">
        <v>50.2</v>
      </c>
      <c r="E121" s="106">
        <v>53.4</v>
      </c>
      <c r="F121" s="106">
        <v>47.5</v>
      </c>
      <c r="G121" s="106">
        <v>38.4</v>
      </c>
      <c r="H121" s="106">
        <v>40.5</v>
      </c>
      <c r="I121" s="106">
        <v>48.5</v>
      </c>
      <c r="J121" s="106">
        <v>33.9</v>
      </c>
      <c r="K121" s="106">
        <v>37.9</v>
      </c>
      <c r="L121" s="106">
        <v>28.4</v>
      </c>
      <c r="M121" s="106">
        <v>26.8</v>
      </c>
      <c r="N121" s="106">
        <v>33.5</v>
      </c>
      <c r="O121" s="106">
        <v>28.8</v>
      </c>
      <c r="P121" s="106">
        <v>28.8</v>
      </c>
      <c r="Q121" s="106">
        <v>13.4</v>
      </c>
      <c r="R121" s="106">
        <v>7.7</v>
      </c>
      <c r="S121" s="106">
        <v>15</v>
      </c>
      <c r="T121" s="106">
        <v>18</v>
      </c>
      <c r="U121" s="106">
        <v>19.7</v>
      </c>
      <c r="V121" s="106">
        <v>31</v>
      </c>
      <c r="W121" s="106">
        <v>26.8</v>
      </c>
      <c r="X121" s="106">
        <v>13.4</v>
      </c>
      <c r="Y121" s="106">
        <v>12.5</v>
      </c>
      <c r="Z121" s="106">
        <v>12.5</v>
      </c>
      <c r="AA121" s="106">
        <v>10</v>
      </c>
      <c r="AB121" s="106">
        <v>15.3</v>
      </c>
      <c r="AC121" s="106">
        <v>15.3</v>
      </c>
      <c r="AD121" s="106">
        <v>37</v>
      </c>
      <c r="AE121" s="106">
        <v>43</v>
      </c>
      <c r="AF121" s="106">
        <v>28</v>
      </c>
      <c r="AG121" s="114"/>
      <c r="AH121" s="47">
        <f t="shared" si="19"/>
        <v>54.2</v>
      </c>
      <c r="AI121" s="48">
        <f t="shared" si="20"/>
        <v>7.7</v>
      </c>
    </row>
    <row r="122" spans="1:37" x14ac:dyDescent="0.25">
      <c r="A122" s="182" t="s">
        <v>265</v>
      </c>
      <c r="B122" s="106">
        <v>66.900000000000006</v>
      </c>
      <c r="C122" s="106">
        <v>69.8</v>
      </c>
      <c r="D122" s="106">
        <v>46.1</v>
      </c>
      <c r="E122" s="106">
        <v>41.6</v>
      </c>
      <c r="F122" s="106">
        <v>70.599999999999994</v>
      </c>
      <c r="G122" s="106">
        <v>69.2</v>
      </c>
      <c r="H122" s="106">
        <v>70</v>
      </c>
      <c r="I122" s="106">
        <v>79.900000000000006</v>
      </c>
      <c r="J122" s="106">
        <v>97</v>
      </c>
      <c r="K122" s="106">
        <v>114.7</v>
      </c>
      <c r="L122" s="106">
        <v>117</v>
      </c>
      <c r="M122" s="106">
        <v>108</v>
      </c>
      <c r="N122" s="106">
        <v>109.5</v>
      </c>
      <c r="O122" s="106">
        <v>85.6</v>
      </c>
      <c r="P122" s="106">
        <v>85.6</v>
      </c>
      <c r="Q122" s="106">
        <v>77.2</v>
      </c>
      <c r="R122" s="106">
        <v>71</v>
      </c>
      <c r="S122" s="106">
        <v>81</v>
      </c>
      <c r="T122" s="106">
        <v>78</v>
      </c>
      <c r="U122" s="106">
        <v>61.3</v>
      </c>
      <c r="V122" s="106">
        <v>109</v>
      </c>
      <c r="W122" s="106">
        <v>118</v>
      </c>
      <c r="X122" s="106">
        <v>110</v>
      </c>
      <c r="Y122" s="106">
        <v>75.599999999999994</v>
      </c>
      <c r="Z122" s="106">
        <v>75.599999999999994</v>
      </c>
      <c r="AA122" s="106">
        <v>94</v>
      </c>
      <c r="AB122" s="106">
        <v>92.8</v>
      </c>
      <c r="AC122" s="106">
        <v>92.8</v>
      </c>
      <c r="AD122" s="106">
        <v>80</v>
      </c>
      <c r="AE122" s="106">
        <v>76</v>
      </c>
      <c r="AF122" s="106">
        <v>70</v>
      </c>
      <c r="AG122" s="114"/>
      <c r="AH122" s="47">
        <f t="shared" si="19"/>
        <v>118</v>
      </c>
      <c r="AI122" s="48">
        <f t="shared" si="20"/>
        <v>41.6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76" t="s">
        <v>258</v>
      </c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83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43">SUM(B124:B228)</f>
        <v>0</v>
      </c>
      <c r="C229" s="137">
        <f t="shared" si="43"/>
        <v>0</v>
      </c>
      <c r="D229" s="137">
        <f t="shared" si="43"/>
        <v>0</v>
      </c>
      <c r="E229" s="137">
        <f t="shared" si="43"/>
        <v>0</v>
      </c>
      <c r="F229" s="137">
        <f t="shared" si="43"/>
        <v>0</v>
      </c>
      <c r="G229" s="137">
        <f t="shared" si="43"/>
        <v>0</v>
      </c>
      <c r="H229" s="137">
        <f t="shared" si="43"/>
        <v>0</v>
      </c>
      <c r="I229" s="137">
        <f t="shared" si="43"/>
        <v>0</v>
      </c>
      <c r="J229" s="137">
        <f t="shared" si="43"/>
        <v>0</v>
      </c>
      <c r="K229" s="137">
        <f t="shared" si="43"/>
        <v>0</v>
      </c>
      <c r="L229" s="137">
        <f t="shared" si="43"/>
        <v>0</v>
      </c>
      <c r="M229" s="137">
        <f t="shared" si="43"/>
        <v>0</v>
      </c>
      <c r="N229" s="137">
        <f t="shared" si="43"/>
        <v>0</v>
      </c>
      <c r="O229" s="137">
        <f t="shared" si="43"/>
        <v>0</v>
      </c>
      <c r="P229" s="137">
        <f t="shared" si="43"/>
        <v>0</v>
      </c>
      <c r="Q229" s="137">
        <f t="shared" si="43"/>
        <v>0</v>
      </c>
      <c r="R229" s="137">
        <f t="shared" si="43"/>
        <v>0</v>
      </c>
      <c r="S229" s="137">
        <f t="shared" si="43"/>
        <v>0</v>
      </c>
      <c r="T229" s="137">
        <f t="shared" si="43"/>
        <v>0</v>
      </c>
      <c r="U229" s="137">
        <f t="shared" si="43"/>
        <v>0</v>
      </c>
      <c r="V229" s="137">
        <f t="shared" si="43"/>
        <v>0</v>
      </c>
      <c r="W229" s="137">
        <f t="shared" si="43"/>
        <v>0</v>
      </c>
      <c r="X229" s="137">
        <f t="shared" si="43"/>
        <v>0</v>
      </c>
      <c r="Y229" s="137">
        <f t="shared" si="43"/>
        <v>0</v>
      </c>
      <c r="Z229" s="137">
        <f t="shared" si="43"/>
        <v>0</v>
      </c>
      <c r="AA229" s="137">
        <f t="shared" si="43"/>
        <v>0</v>
      </c>
      <c r="AB229" s="137">
        <f t="shared" si="43"/>
        <v>0</v>
      </c>
      <c r="AC229" s="137">
        <f t="shared" si="43"/>
        <v>0</v>
      </c>
      <c r="AD229" s="137">
        <f t="shared" si="43"/>
        <v>0</v>
      </c>
      <c r="AE229" s="137">
        <f t="shared" si="43"/>
        <v>0</v>
      </c>
      <c r="AF229" s="138">
        <f t="shared" si="43"/>
        <v>0</v>
      </c>
      <c r="AG229" s="139">
        <f t="shared" si="43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44">AF231</f>
        <v>0.3</v>
      </c>
      <c r="C231" s="141">
        <v>0.3</v>
      </c>
      <c r="D231" s="141">
        <f t="shared" ref="D231:S236" si="45">C231</f>
        <v>0.3</v>
      </c>
      <c r="E231" s="141">
        <f t="shared" si="45"/>
        <v>0.3</v>
      </c>
      <c r="F231" s="141">
        <f t="shared" si="45"/>
        <v>0.3</v>
      </c>
      <c r="G231" s="141">
        <f t="shared" si="45"/>
        <v>0.3</v>
      </c>
      <c r="H231" s="141">
        <f t="shared" si="45"/>
        <v>0.3</v>
      </c>
      <c r="I231" s="141">
        <f t="shared" si="45"/>
        <v>0.3</v>
      </c>
      <c r="J231" s="141">
        <f t="shared" si="45"/>
        <v>0.3</v>
      </c>
      <c r="K231" s="141">
        <f t="shared" si="45"/>
        <v>0.3</v>
      </c>
      <c r="L231" s="141">
        <f t="shared" si="45"/>
        <v>0.3</v>
      </c>
      <c r="M231" s="141">
        <f t="shared" si="45"/>
        <v>0.3</v>
      </c>
      <c r="N231" s="141">
        <f t="shared" si="45"/>
        <v>0.3</v>
      </c>
      <c r="O231" s="141">
        <f t="shared" si="45"/>
        <v>0.3</v>
      </c>
      <c r="P231" s="141">
        <f t="shared" si="45"/>
        <v>0.3</v>
      </c>
      <c r="Q231" s="141">
        <f t="shared" si="45"/>
        <v>0.3</v>
      </c>
      <c r="R231" s="141">
        <f t="shared" si="45"/>
        <v>0.3</v>
      </c>
      <c r="S231" s="141">
        <f t="shared" si="45"/>
        <v>0.3</v>
      </c>
      <c r="T231" s="141">
        <f t="shared" ref="T231:AF236" si="46">S231</f>
        <v>0.3</v>
      </c>
      <c r="U231" s="141">
        <f t="shared" si="46"/>
        <v>0.3</v>
      </c>
      <c r="V231" s="141">
        <f t="shared" si="46"/>
        <v>0.3</v>
      </c>
      <c r="W231" s="141">
        <f t="shared" si="46"/>
        <v>0.3</v>
      </c>
      <c r="X231" s="141">
        <f t="shared" si="46"/>
        <v>0.3</v>
      </c>
      <c r="Y231" s="141">
        <f t="shared" si="46"/>
        <v>0.3</v>
      </c>
      <c r="Z231" s="141">
        <f t="shared" si="46"/>
        <v>0.3</v>
      </c>
      <c r="AA231" s="141">
        <f t="shared" si="46"/>
        <v>0.3</v>
      </c>
      <c r="AB231" s="141">
        <f t="shared" si="46"/>
        <v>0.3</v>
      </c>
      <c r="AC231" s="141">
        <f t="shared" si="46"/>
        <v>0.3</v>
      </c>
      <c r="AD231" s="141">
        <f t="shared" si="46"/>
        <v>0.3</v>
      </c>
      <c r="AE231" s="141">
        <f t="shared" si="46"/>
        <v>0.3</v>
      </c>
      <c r="AF231" s="141">
        <f t="shared" si="46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44"/>
        <v>0.4</v>
      </c>
      <c r="C232" s="129">
        <v>0.4</v>
      </c>
      <c r="D232" s="129">
        <f t="shared" si="45"/>
        <v>0.4</v>
      </c>
      <c r="E232" s="129">
        <f t="shared" si="45"/>
        <v>0.4</v>
      </c>
      <c r="F232" s="129">
        <f t="shared" si="45"/>
        <v>0.4</v>
      </c>
      <c r="G232" s="129">
        <f t="shared" si="45"/>
        <v>0.4</v>
      </c>
      <c r="H232" s="129">
        <f t="shared" si="45"/>
        <v>0.4</v>
      </c>
      <c r="I232" s="129">
        <f t="shared" si="45"/>
        <v>0.4</v>
      </c>
      <c r="J232" s="129">
        <f t="shared" si="45"/>
        <v>0.4</v>
      </c>
      <c r="K232" s="129">
        <f t="shared" si="45"/>
        <v>0.4</v>
      </c>
      <c r="L232" s="129">
        <f t="shared" si="45"/>
        <v>0.4</v>
      </c>
      <c r="M232" s="129">
        <f t="shared" si="45"/>
        <v>0.4</v>
      </c>
      <c r="N232" s="129">
        <f t="shared" si="45"/>
        <v>0.4</v>
      </c>
      <c r="O232" s="129">
        <f t="shared" si="45"/>
        <v>0.4</v>
      </c>
      <c r="P232" s="129">
        <f t="shared" si="45"/>
        <v>0.4</v>
      </c>
      <c r="Q232" s="129">
        <f t="shared" si="45"/>
        <v>0.4</v>
      </c>
      <c r="R232" s="129">
        <f t="shared" si="45"/>
        <v>0.4</v>
      </c>
      <c r="S232" s="129">
        <f t="shared" si="45"/>
        <v>0.4</v>
      </c>
      <c r="T232" s="129">
        <f t="shared" si="46"/>
        <v>0.4</v>
      </c>
      <c r="U232" s="129">
        <f t="shared" si="46"/>
        <v>0.4</v>
      </c>
      <c r="V232" s="129">
        <f t="shared" si="46"/>
        <v>0.4</v>
      </c>
      <c r="W232" s="129">
        <f t="shared" si="46"/>
        <v>0.4</v>
      </c>
      <c r="X232" s="129">
        <f t="shared" si="46"/>
        <v>0.4</v>
      </c>
      <c r="Y232" s="129">
        <f t="shared" si="46"/>
        <v>0.4</v>
      </c>
      <c r="Z232" s="129">
        <f t="shared" si="46"/>
        <v>0.4</v>
      </c>
      <c r="AA232" s="129">
        <f t="shared" si="46"/>
        <v>0.4</v>
      </c>
      <c r="AB232" s="129">
        <f t="shared" si="46"/>
        <v>0.4</v>
      </c>
      <c r="AC232" s="129">
        <f t="shared" si="46"/>
        <v>0.4</v>
      </c>
      <c r="AD232" s="129">
        <f t="shared" si="46"/>
        <v>0.4</v>
      </c>
      <c r="AE232" s="129">
        <f t="shared" si="46"/>
        <v>0.4</v>
      </c>
      <c r="AF232" s="129">
        <f t="shared" si="46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44"/>
        <v>1.5</v>
      </c>
      <c r="C233" s="129">
        <v>1.5</v>
      </c>
      <c r="D233" s="129">
        <f t="shared" si="45"/>
        <v>1.5</v>
      </c>
      <c r="E233" s="129">
        <f t="shared" si="45"/>
        <v>1.5</v>
      </c>
      <c r="F233" s="129">
        <f t="shared" si="45"/>
        <v>1.5</v>
      </c>
      <c r="G233" s="129">
        <f t="shared" si="45"/>
        <v>1.5</v>
      </c>
      <c r="H233" s="129">
        <f t="shared" si="45"/>
        <v>1.5</v>
      </c>
      <c r="I233" s="129">
        <f t="shared" si="45"/>
        <v>1.5</v>
      </c>
      <c r="J233" s="129">
        <f t="shared" si="45"/>
        <v>1.5</v>
      </c>
      <c r="K233" s="129">
        <f t="shared" si="45"/>
        <v>1.5</v>
      </c>
      <c r="L233" s="129">
        <f t="shared" si="45"/>
        <v>1.5</v>
      </c>
      <c r="M233" s="129">
        <f t="shared" si="45"/>
        <v>1.5</v>
      </c>
      <c r="N233" s="129">
        <f t="shared" si="45"/>
        <v>1.5</v>
      </c>
      <c r="O233" s="129">
        <f t="shared" si="45"/>
        <v>1.5</v>
      </c>
      <c r="P233" s="129">
        <f t="shared" si="45"/>
        <v>1.5</v>
      </c>
      <c r="Q233" s="129">
        <f t="shared" si="45"/>
        <v>1.5</v>
      </c>
      <c r="R233" s="129">
        <f t="shared" si="45"/>
        <v>1.5</v>
      </c>
      <c r="S233" s="129">
        <f t="shared" si="45"/>
        <v>1.5</v>
      </c>
      <c r="T233" s="129">
        <f t="shared" si="46"/>
        <v>1.5</v>
      </c>
      <c r="U233" s="129">
        <f t="shared" si="46"/>
        <v>1.5</v>
      </c>
      <c r="V233" s="129">
        <f t="shared" si="46"/>
        <v>1.5</v>
      </c>
      <c r="W233" s="129">
        <f t="shared" si="46"/>
        <v>1.5</v>
      </c>
      <c r="X233" s="129">
        <f t="shared" si="46"/>
        <v>1.5</v>
      </c>
      <c r="Y233" s="129">
        <f t="shared" si="46"/>
        <v>1.5</v>
      </c>
      <c r="Z233" s="129">
        <f t="shared" si="46"/>
        <v>1.5</v>
      </c>
      <c r="AA233" s="129">
        <f t="shared" si="46"/>
        <v>1.5</v>
      </c>
      <c r="AB233" s="129">
        <f t="shared" si="46"/>
        <v>1.5</v>
      </c>
      <c r="AC233" s="129">
        <f t="shared" si="46"/>
        <v>1.5</v>
      </c>
      <c r="AD233" s="129">
        <f t="shared" si="46"/>
        <v>1.5</v>
      </c>
      <c r="AE233" s="129">
        <f t="shared" si="46"/>
        <v>1.5</v>
      </c>
      <c r="AF233" s="129">
        <f t="shared" si="46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44"/>
        <v>0.3</v>
      </c>
      <c r="C234" s="129">
        <v>0.3</v>
      </c>
      <c r="D234" s="129">
        <f t="shared" si="45"/>
        <v>0.3</v>
      </c>
      <c r="E234" s="129">
        <f t="shared" si="45"/>
        <v>0.3</v>
      </c>
      <c r="F234" s="129">
        <f t="shared" si="45"/>
        <v>0.3</v>
      </c>
      <c r="G234" s="129">
        <f t="shared" si="45"/>
        <v>0.3</v>
      </c>
      <c r="H234" s="129">
        <f t="shared" si="45"/>
        <v>0.3</v>
      </c>
      <c r="I234" s="129">
        <f t="shared" si="45"/>
        <v>0.3</v>
      </c>
      <c r="J234" s="129">
        <f t="shared" si="45"/>
        <v>0.3</v>
      </c>
      <c r="K234" s="129">
        <f t="shared" si="45"/>
        <v>0.3</v>
      </c>
      <c r="L234" s="129">
        <f t="shared" si="45"/>
        <v>0.3</v>
      </c>
      <c r="M234" s="129">
        <f t="shared" si="45"/>
        <v>0.3</v>
      </c>
      <c r="N234" s="129">
        <f t="shared" si="45"/>
        <v>0.3</v>
      </c>
      <c r="O234" s="129">
        <f t="shared" si="45"/>
        <v>0.3</v>
      </c>
      <c r="P234" s="129">
        <f t="shared" si="45"/>
        <v>0.3</v>
      </c>
      <c r="Q234" s="129">
        <f t="shared" si="45"/>
        <v>0.3</v>
      </c>
      <c r="R234" s="129">
        <f t="shared" si="45"/>
        <v>0.3</v>
      </c>
      <c r="S234" s="129">
        <f t="shared" si="45"/>
        <v>0.3</v>
      </c>
      <c r="T234" s="129">
        <f t="shared" si="46"/>
        <v>0.3</v>
      </c>
      <c r="U234" s="129">
        <f t="shared" si="46"/>
        <v>0.3</v>
      </c>
      <c r="V234" s="129">
        <f t="shared" si="46"/>
        <v>0.3</v>
      </c>
      <c r="W234" s="129">
        <f t="shared" si="46"/>
        <v>0.3</v>
      </c>
      <c r="X234" s="129">
        <f t="shared" si="46"/>
        <v>0.3</v>
      </c>
      <c r="Y234" s="129">
        <f t="shared" si="46"/>
        <v>0.3</v>
      </c>
      <c r="Z234" s="129">
        <f t="shared" si="46"/>
        <v>0.3</v>
      </c>
      <c r="AA234" s="129">
        <f t="shared" si="46"/>
        <v>0.3</v>
      </c>
      <c r="AB234" s="129">
        <f t="shared" si="46"/>
        <v>0.3</v>
      </c>
      <c r="AC234" s="129">
        <f t="shared" si="46"/>
        <v>0.3</v>
      </c>
      <c r="AD234" s="129">
        <f t="shared" si="46"/>
        <v>0.3</v>
      </c>
      <c r="AE234" s="129">
        <f t="shared" si="46"/>
        <v>0.3</v>
      </c>
      <c r="AF234" s="129">
        <f t="shared" si="46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44"/>
        <v>0.4</v>
      </c>
      <c r="C235" s="129">
        <v>0.4</v>
      </c>
      <c r="D235" s="129">
        <f t="shared" si="45"/>
        <v>0.4</v>
      </c>
      <c r="E235" s="129">
        <f t="shared" si="45"/>
        <v>0.4</v>
      </c>
      <c r="F235" s="129">
        <f t="shared" si="45"/>
        <v>0.4</v>
      </c>
      <c r="G235" s="129">
        <f t="shared" si="45"/>
        <v>0.4</v>
      </c>
      <c r="H235" s="129">
        <f t="shared" si="45"/>
        <v>0.4</v>
      </c>
      <c r="I235" s="129">
        <f t="shared" si="45"/>
        <v>0.4</v>
      </c>
      <c r="J235" s="129">
        <f t="shared" si="45"/>
        <v>0.4</v>
      </c>
      <c r="K235" s="129">
        <f t="shared" si="45"/>
        <v>0.4</v>
      </c>
      <c r="L235" s="129">
        <f t="shared" si="45"/>
        <v>0.4</v>
      </c>
      <c r="M235" s="129">
        <f t="shared" si="45"/>
        <v>0.4</v>
      </c>
      <c r="N235" s="129">
        <f t="shared" si="45"/>
        <v>0.4</v>
      </c>
      <c r="O235" s="129">
        <f t="shared" si="45"/>
        <v>0.4</v>
      </c>
      <c r="P235" s="129">
        <f t="shared" si="45"/>
        <v>0.4</v>
      </c>
      <c r="Q235" s="129">
        <f t="shared" si="45"/>
        <v>0.4</v>
      </c>
      <c r="R235" s="129">
        <f t="shared" si="45"/>
        <v>0.4</v>
      </c>
      <c r="S235" s="129">
        <f t="shared" si="45"/>
        <v>0.4</v>
      </c>
      <c r="T235" s="129">
        <f t="shared" si="46"/>
        <v>0.4</v>
      </c>
      <c r="U235" s="129">
        <f t="shared" si="46"/>
        <v>0.4</v>
      </c>
      <c r="V235" s="129">
        <f t="shared" si="46"/>
        <v>0.4</v>
      </c>
      <c r="W235" s="129">
        <f t="shared" si="46"/>
        <v>0.4</v>
      </c>
      <c r="X235" s="129">
        <f t="shared" si="46"/>
        <v>0.4</v>
      </c>
      <c r="Y235" s="129">
        <f t="shared" si="46"/>
        <v>0.4</v>
      </c>
      <c r="Z235" s="129">
        <f t="shared" si="46"/>
        <v>0.4</v>
      </c>
      <c r="AA235" s="129">
        <f t="shared" si="46"/>
        <v>0.4</v>
      </c>
      <c r="AB235" s="129">
        <f t="shared" si="46"/>
        <v>0.4</v>
      </c>
      <c r="AC235" s="129">
        <f t="shared" si="46"/>
        <v>0.4</v>
      </c>
      <c r="AD235" s="129">
        <f t="shared" si="46"/>
        <v>0.4</v>
      </c>
      <c r="AE235" s="129">
        <f t="shared" si="46"/>
        <v>0.4</v>
      </c>
      <c r="AF235" s="129">
        <f t="shared" si="46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44"/>
        <v>0.64</v>
      </c>
      <c r="C236" s="133">
        <v>0.64</v>
      </c>
      <c r="D236" s="133">
        <f t="shared" si="45"/>
        <v>0.64</v>
      </c>
      <c r="E236" s="133">
        <f t="shared" si="45"/>
        <v>0.64</v>
      </c>
      <c r="F236" s="133">
        <f t="shared" si="45"/>
        <v>0.64</v>
      </c>
      <c r="G236" s="133">
        <f t="shared" si="45"/>
        <v>0.64</v>
      </c>
      <c r="H236" s="133">
        <f t="shared" si="45"/>
        <v>0.64</v>
      </c>
      <c r="I236" s="133">
        <f t="shared" si="45"/>
        <v>0.64</v>
      </c>
      <c r="J236" s="133">
        <f t="shared" si="45"/>
        <v>0.64</v>
      </c>
      <c r="K236" s="133">
        <f t="shared" si="45"/>
        <v>0.64</v>
      </c>
      <c r="L236" s="133">
        <f t="shared" si="45"/>
        <v>0.64</v>
      </c>
      <c r="M236" s="133">
        <f t="shared" si="45"/>
        <v>0.64</v>
      </c>
      <c r="N236" s="133">
        <f t="shared" si="45"/>
        <v>0.64</v>
      </c>
      <c r="O236" s="133">
        <f t="shared" si="45"/>
        <v>0.64</v>
      </c>
      <c r="P236" s="133">
        <f t="shared" si="45"/>
        <v>0.64</v>
      </c>
      <c r="Q236" s="133">
        <f t="shared" si="45"/>
        <v>0.64</v>
      </c>
      <c r="R236" s="133">
        <f t="shared" si="45"/>
        <v>0.64</v>
      </c>
      <c r="S236" s="133">
        <f t="shared" si="45"/>
        <v>0.64</v>
      </c>
      <c r="T236" s="133">
        <f t="shared" si="46"/>
        <v>0.64</v>
      </c>
      <c r="U236" s="133">
        <f t="shared" si="46"/>
        <v>0.64</v>
      </c>
      <c r="V236" s="133">
        <f t="shared" si="46"/>
        <v>0.64</v>
      </c>
      <c r="W236" s="133">
        <f t="shared" si="46"/>
        <v>0.64</v>
      </c>
      <c r="X236" s="133">
        <f t="shared" si="46"/>
        <v>0.64</v>
      </c>
      <c r="Y236" s="133">
        <f t="shared" si="46"/>
        <v>0.64</v>
      </c>
      <c r="Z236" s="133">
        <f t="shared" si="46"/>
        <v>0.64</v>
      </c>
      <c r="AA236" s="133">
        <f t="shared" si="46"/>
        <v>0.64</v>
      </c>
      <c r="AB236" s="133">
        <f t="shared" si="46"/>
        <v>0.64</v>
      </c>
      <c r="AC236" s="133">
        <f t="shared" si="46"/>
        <v>0.64</v>
      </c>
      <c r="AD236" s="133">
        <f t="shared" si="46"/>
        <v>0.64</v>
      </c>
      <c r="AE236" s="133">
        <f t="shared" si="46"/>
        <v>0.64</v>
      </c>
      <c r="AF236" s="133">
        <f t="shared" si="46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47">SUM(B231:B236)</f>
        <v>3.54</v>
      </c>
      <c r="C237" s="137">
        <f t="shared" si="47"/>
        <v>3.54</v>
      </c>
      <c r="D237" s="137">
        <f t="shared" si="47"/>
        <v>3.54</v>
      </c>
      <c r="E237" s="137">
        <f t="shared" si="47"/>
        <v>3.54</v>
      </c>
      <c r="F237" s="137">
        <f t="shared" si="47"/>
        <v>3.54</v>
      </c>
      <c r="G237" s="137">
        <f t="shared" si="47"/>
        <v>3.54</v>
      </c>
      <c r="H237" s="137">
        <f t="shared" si="47"/>
        <v>3.54</v>
      </c>
      <c r="I237" s="137">
        <f t="shared" si="47"/>
        <v>3.54</v>
      </c>
      <c r="J237" s="137">
        <f t="shared" si="47"/>
        <v>3.54</v>
      </c>
      <c r="K237" s="137">
        <f t="shared" si="47"/>
        <v>3.54</v>
      </c>
      <c r="L237" s="137">
        <f t="shared" si="47"/>
        <v>3.54</v>
      </c>
      <c r="M237" s="137">
        <f t="shared" si="47"/>
        <v>3.54</v>
      </c>
      <c r="N237" s="137">
        <f t="shared" si="47"/>
        <v>3.54</v>
      </c>
      <c r="O237" s="137">
        <f t="shared" si="47"/>
        <v>3.54</v>
      </c>
      <c r="P237" s="137">
        <f t="shared" si="47"/>
        <v>3.54</v>
      </c>
      <c r="Q237" s="137">
        <f t="shared" si="47"/>
        <v>3.54</v>
      </c>
      <c r="R237" s="137">
        <f t="shared" si="47"/>
        <v>3.54</v>
      </c>
      <c r="S237" s="137">
        <f t="shared" si="47"/>
        <v>3.54</v>
      </c>
      <c r="T237" s="137">
        <f t="shared" si="47"/>
        <v>3.54</v>
      </c>
      <c r="U237" s="137">
        <f t="shared" si="47"/>
        <v>3.54</v>
      </c>
      <c r="V237" s="137">
        <f t="shared" si="47"/>
        <v>3.54</v>
      </c>
      <c r="W237" s="137">
        <f t="shared" si="47"/>
        <v>3.54</v>
      </c>
      <c r="X237" s="137">
        <f t="shared" si="47"/>
        <v>3.54</v>
      </c>
      <c r="Y237" s="137">
        <f t="shared" si="47"/>
        <v>3.54</v>
      </c>
      <c r="Z237" s="137">
        <f t="shared" si="47"/>
        <v>3.54</v>
      </c>
      <c r="AA237" s="137">
        <f t="shared" si="47"/>
        <v>3.54</v>
      </c>
      <c r="AB237" s="137">
        <f t="shared" si="47"/>
        <v>3.54</v>
      </c>
      <c r="AC237" s="137">
        <f t="shared" si="47"/>
        <v>3.54</v>
      </c>
      <c r="AD237" s="137">
        <f t="shared" si="47"/>
        <v>3.54</v>
      </c>
      <c r="AE237" s="137">
        <f t="shared" si="47"/>
        <v>3.54</v>
      </c>
      <c r="AF237" s="137">
        <f t="shared" si="47"/>
        <v>3.54</v>
      </c>
      <c r="AG237" s="146">
        <f t="shared" si="47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1782.46</v>
      </c>
      <c r="C246" s="162">
        <f>INDEX(G9:N9,1,MATCH(MAX(G91:N91),G91:N91,0))</f>
        <v>0.33333333333333331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3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2080/09/3)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2080/09/3)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48">B91</f>
        <v>1095.29</v>
      </c>
      <c r="U251" s="171">
        <f t="shared" si="48"/>
        <v>1074.3900000000001</v>
      </c>
      <c r="V251" s="171">
        <f t="shared" si="48"/>
        <v>1061.49</v>
      </c>
      <c r="W251" s="171">
        <f t="shared" si="48"/>
        <v>1058.69</v>
      </c>
      <c r="X251" s="171">
        <f t="shared" si="48"/>
        <v>1068.49</v>
      </c>
      <c r="Y251" s="171">
        <f t="shared" si="48"/>
        <v>1122.79</v>
      </c>
      <c r="Z251" s="171">
        <f t="shared" si="48"/>
        <v>1226.49</v>
      </c>
      <c r="AA251" s="171">
        <f t="shared" si="48"/>
        <v>1335.49</v>
      </c>
      <c r="AB251" s="171">
        <f t="shared" si="48"/>
        <v>1463.1899999999998</v>
      </c>
      <c r="AC251" s="171">
        <f t="shared" si="48"/>
        <v>1577.6899999999998</v>
      </c>
      <c r="AD251" s="171">
        <f t="shared" si="48"/>
        <v>1640.09</v>
      </c>
      <c r="AE251" s="171">
        <f t="shared" si="48"/>
        <v>1782.46</v>
      </c>
      <c r="AF251" s="171">
        <f t="shared" si="48"/>
        <v>1689.1599999999999</v>
      </c>
      <c r="AG251" s="171">
        <f t="shared" si="48"/>
        <v>1521.06</v>
      </c>
      <c r="AH251" s="171">
        <f t="shared" si="48"/>
        <v>1431.1599999999999</v>
      </c>
      <c r="AI251" s="171">
        <f t="shared" si="48"/>
        <v>1352.46</v>
      </c>
      <c r="AJ251" s="171">
        <f t="shared" si="48"/>
        <v>1250.56</v>
      </c>
      <c r="AK251" s="171">
        <f t="shared" si="48"/>
        <v>1291.6600000000001</v>
      </c>
      <c r="AL251" s="171">
        <f t="shared" si="48"/>
        <v>1276.6600000000001</v>
      </c>
      <c r="AM251" s="171">
        <f t="shared" si="48"/>
        <v>1348.16</v>
      </c>
      <c r="AN251" s="171">
        <f t="shared" si="48"/>
        <v>1435.1599999999999</v>
      </c>
      <c r="AO251" s="171">
        <f t="shared" si="48"/>
        <v>1613.96</v>
      </c>
      <c r="AP251" s="171">
        <f t="shared" si="48"/>
        <v>1747.0600000000004</v>
      </c>
      <c r="AQ251" s="171">
        <f t="shared" si="48"/>
        <v>1645.56</v>
      </c>
      <c r="AR251" s="171">
        <f t="shared" si="48"/>
        <v>1571.16</v>
      </c>
      <c r="AS251" s="171">
        <f t="shared" si="48"/>
        <v>1482.16</v>
      </c>
      <c r="AT251" s="171">
        <f t="shared" si="48"/>
        <v>1432.66</v>
      </c>
      <c r="AU251" s="171">
        <f t="shared" si="48"/>
        <v>1448.66</v>
      </c>
      <c r="AV251" s="171">
        <f t="shared" si="48"/>
        <v>1266.6600000000001</v>
      </c>
      <c r="AW251" s="171">
        <f t="shared" si="48"/>
        <v>1162.6600000000001</v>
      </c>
      <c r="AX251" s="171">
        <f t="shared" si="48"/>
        <v>1097.6600000000001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49">C236</f>
        <v>0.64</v>
      </c>
      <c r="C272" s="174">
        <f t="shared" si="49"/>
        <v>0.64</v>
      </c>
      <c r="D272" s="174">
        <f t="shared" si="49"/>
        <v>0.64</v>
      </c>
      <c r="E272" s="174">
        <f t="shared" si="49"/>
        <v>0.64</v>
      </c>
      <c r="F272" s="174">
        <f t="shared" si="49"/>
        <v>0.64</v>
      </c>
      <c r="G272" s="174">
        <f t="shared" si="49"/>
        <v>0.64</v>
      </c>
      <c r="H272" s="174">
        <f t="shared" si="49"/>
        <v>0.64</v>
      </c>
      <c r="I272" s="174">
        <f t="shared" si="49"/>
        <v>0.64</v>
      </c>
      <c r="J272" s="174">
        <f t="shared" si="49"/>
        <v>0.64</v>
      </c>
      <c r="K272" s="174">
        <f t="shared" si="49"/>
        <v>0.64</v>
      </c>
      <c r="L272" s="174">
        <f t="shared" si="49"/>
        <v>0.64</v>
      </c>
      <c r="M272" s="174">
        <f t="shared" si="49"/>
        <v>0.64</v>
      </c>
      <c r="N272" s="174">
        <f t="shared" si="49"/>
        <v>0.64</v>
      </c>
      <c r="O272" s="174">
        <f t="shared" si="49"/>
        <v>0.64</v>
      </c>
      <c r="P272" s="174">
        <f t="shared" si="49"/>
        <v>0.64</v>
      </c>
      <c r="Q272" s="174">
        <f t="shared" si="49"/>
        <v>0.64</v>
      </c>
      <c r="R272" s="174">
        <f t="shared" si="49"/>
        <v>0.64</v>
      </c>
      <c r="S272" s="174">
        <f t="shared" si="49"/>
        <v>0.64</v>
      </c>
      <c r="T272" s="174">
        <f t="shared" si="49"/>
        <v>0.64</v>
      </c>
      <c r="U272" s="174">
        <f t="shared" si="49"/>
        <v>0.64</v>
      </c>
      <c r="V272" s="174">
        <f t="shared" si="49"/>
        <v>0.64</v>
      </c>
      <c r="W272" s="174">
        <f t="shared" si="49"/>
        <v>0.64</v>
      </c>
      <c r="X272" s="174">
        <f t="shared" si="49"/>
        <v>0.64</v>
      </c>
      <c r="Y272" s="174">
        <f t="shared" si="49"/>
        <v>0.64</v>
      </c>
      <c r="Z272" s="174">
        <f t="shared" si="49"/>
        <v>0.64</v>
      </c>
      <c r="AA272" s="174">
        <f t="shared" si="49"/>
        <v>0.64</v>
      </c>
      <c r="AB272" s="174">
        <f t="shared" si="49"/>
        <v>0.64</v>
      </c>
      <c r="AC272" s="174">
        <f t="shared" si="49"/>
        <v>0.64</v>
      </c>
      <c r="AD272" s="174">
        <f t="shared" si="49"/>
        <v>0.64</v>
      </c>
      <c r="AE272" s="174">
        <f t="shared" si="49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50">IF(B240&lt;100,"",B240-520)</f>
        <v/>
      </c>
      <c r="C273" s="175" t="str">
        <f t="shared" si="50"/>
        <v/>
      </c>
      <c r="D273" s="175" t="str">
        <f t="shared" si="50"/>
        <v/>
      </c>
      <c r="E273" s="175" t="str">
        <f t="shared" si="50"/>
        <v/>
      </c>
      <c r="F273" s="175" t="str">
        <f t="shared" si="50"/>
        <v/>
      </c>
      <c r="G273" s="175" t="str">
        <f t="shared" si="50"/>
        <v/>
      </c>
      <c r="H273" s="175" t="str">
        <f t="shared" si="50"/>
        <v/>
      </c>
      <c r="I273" s="175" t="str">
        <f t="shared" si="50"/>
        <v/>
      </c>
      <c r="J273" s="175" t="str">
        <f t="shared" si="50"/>
        <v/>
      </c>
      <c r="K273" s="175" t="str">
        <f t="shared" si="50"/>
        <v/>
      </c>
      <c r="L273" s="175" t="str">
        <f t="shared" si="50"/>
        <v/>
      </c>
      <c r="M273" s="175" t="str">
        <f t="shared" si="50"/>
        <v/>
      </c>
      <c r="N273" s="175" t="str">
        <f t="shared" si="50"/>
        <v/>
      </c>
      <c r="O273" s="175" t="str">
        <f t="shared" si="50"/>
        <v/>
      </c>
      <c r="P273" s="175" t="str">
        <f t="shared" si="50"/>
        <v/>
      </c>
      <c r="Q273" s="175" t="str">
        <f t="shared" si="50"/>
        <v/>
      </c>
      <c r="R273" s="175" t="str">
        <f t="shared" si="50"/>
        <v/>
      </c>
      <c r="S273" s="175" t="str">
        <f t="shared" si="50"/>
        <v/>
      </c>
      <c r="T273" s="175" t="str">
        <f t="shared" si="50"/>
        <v/>
      </c>
      <c r="U273" s="175" t="str">
        <f t="shared" si="50"/>
        <v/>
      </c>
      <c r="V273" s="175" t="str">
        <f t="shared" si="50"/>
        <v/>
      </c>
      <c r="W273" s="175" t="str">
        <f t="shared" si="50"/>
        <v/>
      </c>
      <c r="X273" s="175" t="str">
        <f t="shared" si="50"/>
        <v/>
      </c>
      <c r="Y273" s="175" t="str">
        <f t="shared" si="50"/>
        <v/>
      </c>
      <c r="Z273" s="175" t="str">
        <f t="shared" si="50"/>
        <v/>
      </c>
      <c r="AA273" s="175" t="str">
        <f t="shared" si="50"/>
        <v/>
      </c>
      <c r="AB273" s="175" t="str">
        <f t="shared" si="50"/>
        <v/>
      </c>
      <c r="AC273" s="175" t="str">
        <f t="shared" si="50"/>
        <v/>
      </c>
      <c r="AD273" s="175" t="str">
        <f t="shared" si="50"/>
        <v/>
      </c>
      <c r="AE273" s="175" t="str">
        <f t="shared" si="50"/>
        <v/>
      </c>
      <c r="AF273" s="175" t="str">
        <f t="shared" si="50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51">IF(B241&lt;100,"",B241-620)</f>
        <v/>
      </c>
      <c r="C274" s="175" t="str">
        <f t="shared" si="51"/>
        <v/>
      </c>
      <c r="D274" s="175" t="str">
        <f t="shared" si="51"/>
        <v/>
      </c>
      <c r="E274" s="175" t="str">
        <f t="shared" si="51"/>
        <v/>
      </c>
      <c r="F274" s="175" t="str">
        <f t="shared" si="51"/>
        <v/>
      </c>
      <c r="G274" s="175" t="str">
        <f t="shared" si="51"/>
        <v/>
      </c>
      <c r="H274" s="175" t="str">
        <f t="shared" si="51"/>
        <v/>
      </c>
      <c r="I274" s="175" t="str">
        <f t="shared" si="51"/>
        <v/>
      </c>
      <c r="J274" s="175" t="str">
        <f t="shared" si="51"/>
        <v/>
      </c>
      <c r="K274" s="175" t="str">
        <f t="shared" si="51"/>
        <v/>
      </c>
      <c r="L274" s="175" t="str">
        <f t="shared" si="51"/>
        <v/>
      </c>
      <c r="M274" s="175" t="str">
        <f t="shared" si="51"/>
        <v/>
      </c>
      <c r="N274" s="175" t="str">
        <f t="shared" si="51"/>
        <v/>
      </c>
      <c r="O274" s="175" t="str">
        <f t="shared" si="51"/>
        <v/>
      </c>
      <c r="P274" s="175" t="str">
        <f t="shared" si="51"/>
        <v/>
      </c>
      <c r="Q274" s="175" t="str">
        <f t="shared" si="51"/>
        <v/>
      </c>
      <c r="R274" s="175" t="str">
        <f t="shared" si="51"/>
        <v/>
      </c>
      <c r="S274" s="175" t="str">
        <f t="shared" si="51"/>
        <v/>
      </c>
      <c r="T274" s="175" t="str">
        <f t="shared" si="51"/>
        <v/>
      </c>
      <c r="U274" s="175" t="str">
        <f t="shared" si="51"/>
        <v/>
      </c>
      <c r="V274" s="175" t="str">
        <f t="shared" si="51"/>
        <v/>
      </c>
      <c r="W274" s="175" t="str">
        <f t="shared" si="51"/>
        <v/>
      </c>
      <c r="X274" s="175" t="str">
        <f t="shared" si="51"/>
        <v/>
      </c>
      <c r="Y274" s="175" t="str">
        <f t="shared" si="51"/>
        <v/>
      </c>
      <c r="Z274" s="175" t="str">
        <f t="shared" si="51"/>
        <v/>
      </c>
      <c r="AA274" s="175" t="str">
        <f t="shared" si="51"/>
        <v/>
      </c>
      <c r="AB274" s="175" t="str">
        <f t="shared" si="51"/>
        <v/>
      </c>
      <c r="AC274" s="175" t="str">
        <f t="shared" si="51"/>
        <v/>
      </c>
      <c r="AD274" s="175" t="str">
        <f t="shared" si="51"/>
        <v/>
      </c>
      <c r="AE274" s="175" t="str">
        <f t="shared" si="51"/>
        <v/>
      </c>
      <c r="AF274" s="175" t="str">
        <f t="shared" si="51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52">IF(B242&lt;100,"",B242-330)</f>
        <v/>
      </c>
      <c r="C275" s="175" t="str">
        <f t="shared" si="52"/>
        <v/>
      </c>
      <c r="D275" s="175" t="str">
        <f t="shared" si="52"/>
        <v/>
      </c>
      <c r="E275" s="175" t="str">
        <f t="shared" si="52"/>
        <v/>
      </c>
      <c r="F275" s="175" t="str">
        <f t="shared" si="52"/>
        <v/>
      </c>
      <c r="G275" s="175" t="str">
        <f t="shared" si="52"/>
        <v/>
      </c>
      <c r="H275" s="175" t="str">
        <f t="shared" si="52"/>
        <v/>
      </c>
      <c r="I275" s="175" t="str">
        <f t="shared" si="52"/>
        <v/>
      </c>
      <c r="J275" s="175" t="str">
        <f t="shared" si="52"/>
        <v/>
      </c>
      <c r="K275" s="175" t="str">
        <f t="shared" si="52"/>
        <v/>
      </c>
      <c r="L275" s="175" t="str">
        <f t="shared" si="52"/>
        <v/>
      </c>
      <c r="M275" s="175" t="str">
        <f t="shared" si="52"/>
        <v/>
      </c>
      <c r="N275" s="175" t="str">
        <f t="shared" si="52"/>
        <v/>
      </c>
      <c r="O275" s="175" t="str">
        <f t="shared" si="52"/>
        <v/>
      </c>
      <c r="P275" s="175" t="str">
        <f t="shared" si="52"/>
        <v/>
      </c>
      <c r="Q275" s="175" t="str">
        <f t="shared" si="52"/>
        <v/>
      </c>
      <c r="R275" s="175" t="str">
        <f t="shared" si="52"/>
        <v/>
      </c>
      <c r="S275" s="175" t="str">
        <f t="shared" si="52"/>
        <v/>
      </c>
      <c r="T275" s="175" t="str">
        <f t="shared" si="52"/>
        <v/>
      </c>
      <c r="U275" s="175" t="str">
        <f t="shared" si="52"/>
        <v/>
      </c>
      <c r="V275" s="175" t="str">
        <f t="shared" si="52"/>
        <v/>
      </c>
      <c r="W275" s="175" t="str">
        <f t="shared" si="52"/>
        <v/>
      </c>
      <c r="X275" s="175" t="str">
        <f t="shared" si="52"/>
        <v/>
      </c>
      <c r="Y275" s="175" t="str">
        <f t="shared" si="52"/>
        <v/>
      </c>
      <c r="Z275" s="175" t="str">
        <f t="shared" si="52"/>
        <v/>
      </c>
      <c r="AA275" s="175" t="str">
        <f t="shared" si="52"/>
        <v/>
      </c>
      <c r="AB275" s="175" t="str">
        <f t="shared" si="52"/>
        <v/>
      </c>
      <c r="AC275" s="175" t="str">
        <f t="shared" si="52"/>
        <v/>
      </c>
      <c r="AD275" s="175" t="str">
        <f t="shared" si="52"/>
        <v/>
      </c>
      <c r="AE275" s="175" t="str">
        <f t="shared" si="52"/>
        <v/>
      </c>
      <c r="AF275" s="175" t="str">
        <f t="shared" si="52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53">IF(B243&lt;100,"",B243-1500)</f>
        <v/>
      </c>
      <c r="C276" s="175" t="str">
        <f t="shared" si="53"/>
        <v/>
      </c>
      <c r="D276" s="175" t="str">
        <f t="shared" si="53"/>
        <v/>
      </c>
      <c r="E276" s="175" t="str">
        <f t="shared" si="53"/>
        <v/>
      </c>
      <c r="F276" s="175" t="str">
        <f t="shared" si="53"/>
        <v/>
      </c>
      <c r="G276" s="175" t="str">
        <f t="shared" si="53"/>
        <v/>
      </c>
      <c r="H276" s="175" t="str">
        <f t="shared" si="53"/>
        <v/>
      </c>
      <c r="I276" s="175" t="str">
        <f t="shared" si="53"/>
        <v/>
      </c>
      <c r="J276" s="175" t="str">
        <f t="shared" si="53"/>
        <v/>
      </c>
      <c r="K276" s="175" t="str">
        <f t="shared" si="53"/>
        <v/>
      </c>
      <c r="L276" s="175" t="str">
        <f t="shared" si="53"/>
        <v/>
      </c>
      <c r="M276" s="175" t="str">
        <f t="shared" si="53"/>
        <v/>
      </c>
      <c r="N276" s="175" t="str">
        <f t="shared" si="53"/>
        <v/>
      </c>
      <c r="O276" s="175" t="str">
        <f t="shared" si="53"/>
        <v/>
      </c>
      <c r="P276" s="175" t="str">
        <f t="shared" si="53"/>
        <v/>
      </c>
      <c r="Q276" s="175" t="str">
        <f t="shared" si="53"/>
        <v/>
      </c>
      <c r="R276" s="175" t="str">
        <f t="shared" si="53"/>
        <v/>
      </c>
      <c r="S276" s="175" t="str">
        <f t="shared" si="53"/>
        <v/>
      </c>
      <c r="T276" s="175" t="str">
        <f t="shared" si="53"/>
        <v/>
      </c>
      <c r="U276" s="175" t="str">
        <f t="shared" si="53"/>
        <v/>
      </c>
      <c r="V276" s="175" t="str">
        <f t="shared" si="53"/>
        <v/>
      </c>
      <c r="W276" s="175" t="str">
        <f t="shared" si="53"/>
        <v/>
      </c>
      <c r="X276" s="175" t="str">
        <f t="shared" si="53"/>
        <v/>
      </c>
      <c r="Y276" s="175" t="str">
        <f t="shared" si="53"/>
        <v/>
      </c>
      <c r="Z276" s="175" t="str">
        <f t="shared" si="53"/>
        <v/>
      </c>
      <c r="AA276" s="175" t="str">
        <f t="shared" si="53"/>
        <v/>
      </c>
      <c r="AB276" s="175" t="str">
        <f t="shared" si="53"/>
        <v/>
      </c>
      <c r="AC276" s="175" t="str">
        <f t="shared" si="53"/>
        <v/>
      </c>
      <c r="AD276" s="175" t="str">
        <f t="shared" si="53"/>
        <v/>
      </c>
      <c r="AE276" s="175" t="str">
        <f t="shared" si="53"/>
        <v/>
      </c>
      <c r="AF276" s="175" t="str">
        <f t="shared" si="53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AN84:AN85"/>
    <mergeCell ref="A248:B24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8">
    <cfRule type="expression" dxfId="3478" priority="1">
      <formula>$AH11=0</formula>
    </cfRule>
  </conditionalFormatting>
  <conditionalFormatting sqref="B8 M8 S8 AB8">
    <cfRule type="expression" dxfId="3477" priority="137">
      <formula>C$9&lt;8/24</formula>
    </cfRule>
    <cfRule type="expression" dxfId="3476" priority="135">
      <formula>AND(C$9&gt;=14/24,C$9&lt;20/24)</formula>
    </cfRule>
    <cfRule type="expression" dxfId="3475" priority="136">
      <formula>AND(C$9&gt;=8/24,C$9&lt;14/24)</formula>
    </cfRule>
  </conditionalFormatting>
  <conditionalFormatting sqref="B55:E60">
    <cfRule type="expression" dxfId="3474" priority="8">
      <formula>B$9&gt;=20/24</formula>
    </cfRule>
    <cfRule type="expression" dxfId="3473" priority="9">
      <formula>AND(B$9&gt;=14/24,B$9&lt;20/24)</formula>
    </cfRule>
    <cfRule type="expression" dxfId="3472" priority="10">
      <formula>AND(B$9&gt;=8/24,B$9&lt;14/24)</formula>
    </cfRule>
    <cfRule type="expression" dxfId="3471" priority="11">
      <formula>B$9&lt;8/24</formula>
    </cfRule>
  </conditionalFormatting>
  <conditionalFormatting sqref="B9:AF45">
    <cfRule type="expression" dxfId="3470" priority="46">
      <formula>B$9&lt;8/24</formula>
    </cfRule>
    <cfRule type="expression" dxfId="3469" priority="45">
      <formula>AND(B$9&gt;=8/24,B$9&lt;14/24)</formula>
    </cfRule>
    <cfRule type="expression" dxfId="3468" priority="44">
      <formula>AND(B$9&gt;=14/24,B$9&lt;20/24)</formula>
    </cfRule>
    <cfRule type="expression" dxfId="3467" priority="43">
      <formula>B$9&gt;=20/24</formula>
    </cfRule>
  </conditionalFormatting>
  <conditionalFormatting sqref="B11:AF46">
    <cfRule type="expression" dxfId="3466" priority="42">
      <formula>B11&gt;$AG11</formula>
    </cfRule>
  </conditionalFormatting>
  <conditionalFormatting sqref="B46:AF46">
    <cfRule type="expression" dxfId="3465" priority="38">
      <formula>B$9&gt;=20/24</formula>
    </cfRule>
    <cfRule type="expression" dxfId="3464" priority="40">
      <formula>AND(B$9&gt;=8/24,B$9&lt;14/24)</formula>
    </cfRule>
    <cfRule type="expression" dxfId="3463" priority="39">
      <formula>AND(B$9&gt;=14/24,B$9&lt;20/24)</formula>
    </cfRule>
    <cfRule type="expression" dxfId="3462" priority="41">
      <formula>B$9&lt;8/24</formula>
    </cfRule>
  </conditionalFormatting>
  <conditionalFormatting sqref="B47:AF47">
    <cfRule type="expression" dxfId="3461" priority="52">
      <formula>B47&gt;$AG47</formula>
    </cfRule>
  </conditionalFormatting>
  <conditionalFormatting sqref="B47:AF49">
    <cfRule type="expression" dxfId="3460" priority="51">
      <formula>B$9&lt;8/24</formula>
    </cfRule>
    <cfRule type="expression" dxfId="3459" priority="50">
      <formula>AND(B$9&gt;=8/24,B$9&lt;14/24)</formula>
    </cfRule>
    <cfRule type="expression" dxfId="3458" priority="49">
      <formula>AND(B$9&gt;=14/24,B$9&lt;20/24)</formula>
    </cfRule>
    <cfRule type="expression" dxfId="3457" priority="48">
      <formula>B$9&gt;=20/24</formula>
    </cfRule>
  </conditionalFormatting>
  <conditionalFormatting sqref="B48:AF53">
    <cfRule type="expression" dxfId="3456" priority="47">
      <formula>B48&gt;$AG48</formula>
    </cfRule>
  </conditionalFormatting>
  <conditionalFormatting sqref="B51:AF53">
    <cfRule type="expression" dxfId="3455" priority="70">
      <formula>B$9&lt;8/24</formula>
    </cfRule>
    <cfRule type="expression" dxfId="3454" priority="67">
      <formula>B$9&gt;=20/24</formula>
    </cfRule>
    <cfRule type="expression" dxfId="3453" priority="68">
      <formula>AND(B$9&gt;=14/24,B$9&lt;20/24)</formula>
    </cfRule>
    <cfRule type="expression" dxfId="3452" priority="69">
      <formula>AND(B$9&gt;=8/24,B$9&lt;14/24)</formula>
    </cfRule>
  </conditionalFormatting>
  <conditionalFormatting sqref="B55:AF66">
    <cfRule type="expression" dxfId="3451" priority="3">
      <formula>B55&gt;$AG55</formula>
    </cfRule>
  </conditionalFormatting>
  <conditionalFormatting sqref="B61:AF66">
    <cfRule type="expression" dxfId="3450" priority="4">
      <formula>B$9&gt;=20/24</formula>
    </cfRule>
    <cfRule type="expression" dxfId="3449" priority="15">
      <formula>B$9&lt;8/24</formula>
    </cfRule>
    <cfRule type="expression" dxfId="3448" priority="14">
      <formula>AND(B$9&gt;=8/24,B$9&lt;14/24)</formula>
    </cfRule>
    <cfRule type="expression" dxfId="3447" priority="13">
      <formula>AND(B$9&gt;=14/24,B$9&lt;20/24)</formula>
    </cfRule>
    <cfRule type="expression" dxfId="3446" priority="12">
      <formula>B$9&gt;=20/24</formula>
    </cfRule>
    <cfRule type="expression" dxfId="3445" priority="7">
      <formula>B$9&lt;8/24</formula>
    </cfRule>
    <cfRule type="expression" dxfId="3444" priority="6">
      <formula>AND(B$9&gt;=8/24,B$9&lt;14/24)</formula>
    </cfRule>
    <cfRule type="expression" dxfId="3443" priority="5">
      <formula>AND(B$9&gt;=14/24,B$9&lt;20/24)</formula>
    </cfRule>
  </conditionalFormatting>
  <conditionalFormatting sqref="B69:AF71">
    <cfRule type="expression" dxfId="3442" priority="79">
      <formula>B$9&lt;8/24</formula>
    </cfRule>
    <cfRule type="expression" dxfId="3441" priority="78">
      <formula>AND(B$9&gt;=8/24,B$9&lt;14/24)</formula>
    </cfRule>
    <cfRule type="expression" dxfId="3440" priority="77">
      <formula>AND(B$9&gt;=14/24,B$9&lt;20/24)</formula>
    </cfRule>
    <cfRule type="expression" dxfId="3439" priority="75">
      <formula>B69&gt;$AG69</formula>
    </cfRule>
    <cfRule type="expression" dxfId="3438" priority="76">
      <formula>B$9&gt;=20/24</formula>
    </cfRule>
  </conditionalFormatting>
  <conditionalFormatting sqref="B73:AF91">
    <cfRule type="expression" dxfId="3437" priority="24">
      <formula>B$9&lt;8/24</formula>
    </cfRule>
    <cfRule type="expression" dxfId="3436" priority="22">
      <formula>AND(B$9&gt;=14/24,B$9&lt;20/24)</formula>
    </cfRule>
    <cfRule type="expression" dxfId="3435" priority="21">
      <formula>B$9&gt;=20/24</formula>
    </cfRule>
    <cfRule type="expression" dxfId="3434" priority="23">
      <formula>AND(B$9&gt;=8/24,B$9&lt;14/24)</formula>
    </cfRule>
  </conditionalFormatting>
  <conditionalFormatting sqref="B93:AF109">
    <cfRule type="expression" dxfId="3433" priority="18">
      <formula>AND(B$9&gt;=14/24,B$9&lt;20/24)</formula>
    </cfRule>
    <cfRule type="expression" dxfId="3432" priority="20">
      <formula>B$9&lt;8/24</formula>
    </cfRule>
    <cfRule type="expression" dxfId="3431" priority="19">
      <formula>AND(B$9&gt;=8/24,B$9&lt;14/24)</formula>
    </cfRule>
    <cfRule type="expression" dxfId="3430" priority="17">
      <formula>B$9&gt;=20/24</formula>
    </cfRule>
  </conditionalFormatting>
  <conditionalFormatting sqref="B111:AF122">
    <cfRule type="expression" dxfId="3429" priority="36">
      <formula>AND(B$9&gt;=8/24,B$9&lt;14/24)</formula>
    </cfRule>
    <cfRule type="expression" dxfId="3428" priority="37">
      <formula>B$9&lt;8/24</formula>
    </cfRule>
    <cfRule type="expression" dxfId="3427" priority="34">
      <formula>B$9&gt;=20/24</formula>
    </cfRule>
    <cfRule type="expression" dxfId="3426" priority="35">
      <formula>AND(B$9&gt;=14/24,B$9&lt;20/24)</formula>
    </cfRule>
  </conditionalFormatting>
  <conditionalFormatting sqref="B229:AF229 B231:B237 D231:AF237 U250:AF250">
    <cfRule type="expression" dxfId="3425" priority="128">
      <formula>B$9&gt;=20/24</formula>
    </cfRule>
    <cfRule type="expression" dxfId="3424" priority="131">
      <formula>B$9&lt;8/24</formula>
    </cfRule>
    <cfRule type="expression" dxfId="3423" priority="130">
      <formula>AND(B$9&gt;=8/24,B$9&lt;14/24)</formula>
    </cfRule>
    <cfRule type="expression" dxfId="3422" priority="129">
      <formula>AND(B$9&gt;=14/24,B$9&lt;20/24)</formula>
    </cfRule>
  </conditionalFormatting>
  <conditionalFormatting sqref="B54:AG54">
    <cfRule type="expression" dxfId="3421" priority="58">
      <formula>B$9&gt;=20/24</formula>
    </cfRule>
    <cfRule type="expression" dxfId="3420" priority="59">
      <formula>AND(B$9&gt;=14/24,B$9&lt;20/24)</formula>
    </cfRule>
    <cfRule type="expression" dxfId="3419" priority="61">
      <formula>B$9&lt;8/24</formula>
    </cfRule>
    <cfRule type="expression" dxfId="3418" priority="60">
      <formula>AND(B$9&gt;=8/24,B$9&lt;14/24)</formula>
    </cfRule>
    <cfRule type="expression" dxfId="3417" priority="53">
      <formula>B54&gt;$AG54</formula>
    </cfRule>
  </conditionalFormatting>
  <conditionalFormatting sqref="B67:AG68">
    <cfRule type="expression" dxfId="3416" priority="16">
      <formula>B67&gt;$AG67</formula>
    </cfRule>
  </conditionalFormatting>
  <conditionalFormatting sqref="B72:AG72">
    <cfRule type="expression" dxfId="3415" priority="62">
      <formula>B72&gt;$AG72</formula>
    </cfRule>
    <cfRule type="expression" dxfId="3414" priority="63">
      <formula>B$9&gt;=20/24</formula>
    </cfRule>
    <cfRule type="expression" dxfId="3413" priority="66">
      <formula>B$9&lt;8/24</formula>
    </cfRule>
    <cfRule type="expression" dxfId="3412" priority="64">
      <formula>AND(B$9&gt;=14/24,B$9&lt;20/24)</formula>
    </cfRule>
    <cfRule type="expression" dxfId="3411" priority="65">
      <formula>AND(B$9&gt;=8/24,B$9&lt;14/24)</formula>
    </cfRule>
  </conditionalFormatting>
  <conditionalFormatting sqref="F55:L57">
    <cfRule type="expression" dxfId="3410" priority="109">
      <formula>F$9&gt;=20/24</formula>
    </cfRule>
    <cfRule type="expression" dxfId="3409" priority="110">
      <formula>AND(F$9&gt;=14/24,F$9&lt;20/24)</formula>
    </cfRule>
    <cfRule type="expression" dxfId="3408" priority="111">
      <formula>AND(F$9&gt;=8/24,F$9&lt;14/24)</formula>
    </cfRule>
    <cfRule type="expression" dxfId="3407" priority="112">
      <formula>F$9&lt;8/24</formula>
    </cfRule>
  </conditionalFormatting>
  <conditionalFormatting sqref="F60:T60">
    <cfRule type="expression" dxfId="3406" priority="74">
      <formula>F$9&lt;8/24</formula>
    </cfRule>
    <cfRule type="expression" dxfId="3405" priority="73">
      <formula>AND(F$9&gt;=8/24,F$9&lt;14/24)</formula>
    </cfRule>
    <cfRule type="expression" dxfId="3404" priority="72">
      <formula>AND(F$9&gt;=14/24,F$9&lt;20/24)</formula>
    </cfRule>
    <cfRule type="expression" dxfId="3403" priority="71">
      <formula>F$9&gt;=20/24</formula>
    </cfRule>
  </conditionalFormatting>
  <conditionalFormatting sqref="M55:T59 U55:AF60">
    <cfRule type="expression" dxfId="3402" priority="30">
      <formula>M$9&gt;=20/24</formula>
    </cfRule>
    <cfRule type="expression" dxfId="3401" priority="31">
      <formula>AND(M$9&gt;=14/24,M$9&lt;20/24)</formula>
    </cfRule>
    <cfRule type="expression" dxfId="3400" priority="32">
      <formula>AND(M$9&gt;=8/24,M$9&lt;14/24)</formula>
    </cfRule>
    <cfRule type="expression" dxfId="3399" priority="33">
      <formula>M$9&lt;8/24</formula>
    </cfRule>
  </conditionalFormatting>
  <conditionalFormatting sqref="O3:P3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398" priority="134">
      <formula>C$9&gt;=20/24</formula>
    </cfRule>
  </conditionalFormatting>
  <conditionalFormatting sqref="S8">
    <cfRule type="expression" dxfId="3397" priority="122">
      <formula>AND(U$9&gt;=14/24,U$9&lt;20/24)</formula>
    </cfRule>
    <cfRule type="expression" dxfId="3396" priority="121">
      <formula>U$9&gt;=20/24</formula>
    </cfRule>
    <cfRule type="expression" dxfId="3395" priority="124">
      <formula>U$9&lt;8/24</formula>
    </cfRule>
    <cfRule type="expression" dxfId="3394" priority="123">
      <formula>AND(U$9&gt;=8/24,U$9&lt;14/24)</formula>
    </cfRule>
  </conditionalFormatting>
  <conditionalFormatting sqref="T250">
    <cfRule type="expression" dxfId="3393" priority="146">
      <formula>AX$9&gt;=20/24</formula>
    </cfRule>
    <cfRule type="expression" dxfId="3392" priority="147">
      <formula>AND(AX$9&gt;=14/24,AX$9&lt;20/24)</formula>
    </cfRule>
    <cfRule type="expression" dxfId="3391" priority="148">
      <formula>AND(AX$9&gt;=8/24,AX$9&lt;14/24)</formula>
    </cfRule>
    <cfRule type="expression" dxfId="3390" priority="149">
      <formula>AX$9&lt;8/24</formula>
    </cfRule>
  </conditionalFormatting>
  <conditionalFormatting sqref="V3 AB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389" priority="117">
      <formula>AD$9&gt;=20/24</formula>
    </cfRule>
    <cfRule type="expression" dxfId="3388" priority="118">
      <formula>AND(AD$9&gt;=14/24,AD$9&lt;20/24)</formula>
    </cfRule>
    <cfRule type="expression" dxfId="3387" priority="119">
      <formula>AND(AD$9&gt;=8/24,AD$9&lt;14/24)</formula>
    </cfRule>
    <cfRule type="expression" dxfId="3386" priority="120">
      <formula>AD$9&lt;8/24</formula>
    </cfRule>
  </conditionalFormatting>
  <conditionalFormatting sqref="AG50">
    <cfRule type="expression" dxfId="3385" priority="104">
      <formula>AG50&gt;$AG50</formula>
    </cfRule>
  </conditionalFormatting>
  <conditionalFormatting sqref="AG89">
    <cfRule type="expression" dxfId="3384" priority="107">
      <formula>AND(AG$9&gt;=8/24,AG$9&lt;14/24)</formula>
    </cfRule>
    <cfRule type="expression" dxfId="3383" priority="108">
      <formula>AG$9&lt;8/24</formula>
    </cfRule>
    <cfRule type="expression" dxfId="3382" priority="105">
      <formula>AG$9&gt;=20/24</formula>
    </cfRule>
    <cfRule type="expression" dxfId="3381" priority="106">
      <formula>AND(AG$9&gt;=14/24,AG$9&lt;20/24)</formula>
    </cfRule>
  </conditionalFormatting>
  <conditionalFormatting sqref="AG250">
    <cfRule type="expression" dxfId="3380" priority="141">
      <formula>B$9&lt;8/24</formula>
    </cfRule>
    <cfRule type="expression" dxfId="3379" priority="138">
      <formula>B$9&gt;=20/24</formula>
    </cfRule>
    <cfRule type="expression" dxfId="3378" priority="139">
      <formula>AND(B$9&gt;=14/24,B$9&lt;20/24)</formula>
    </cfRule>
    <cfRule type="expression" dxfId="3377" priority="140">
      <formula>AND(B$9&gt;=8/24,B$9&lt;14/24)</formula>
    </cfRule>
  </conditionalFormatting>
  <conditionalFormatting sqref="AH250:AX250">
    <cfRule type="expression" dxfId="3376" priority="142">
      <formula>AG$9&gt;=20/24</formula>
    </cfRule>
    <cfRule type="expression" dxfId="3375" priority="143">
      <formula>AND(AG$9&gt;=14/24,AG$9&lt;20/24)</formula>
    </cfRule>
    <cfRule type="expression" dxfId="3374" priority="144">
      <formula>AND(AG$9&gt;=8/24,AG$9&lt;14/24)</formula>
    </cfRule>
    <cfRule type="expression" dxfId="3373" priority="145">
      <formula>AG$9&lt;8/24</formula>
    </cfRule>
  </conditionalFormatting>
  <conditionalFormatting sqref="AL4:AL6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372" priority="151">
      <formula>AJ$9&gt;=20/24</formula>
    </cfRule>
    <cfRule type="expression" dxfId="3371" priority="152">
      <formula>AND(AJ$9&gt;=14/24,AJ$9&lt;20/24)</formula>
    </cfRule>
    <cfRule type="expression" dxfId="3370" priority="153">
      <formula>AND(AJ$9&gt;=8/24,AJ$9&lt;14/24)</formula>
    </cfRule>
    <cfRule type="expression" dxfId="3369" priority="154">
      <formula>AJ$9&lt;8/24</formula>
    </cfRule>
  </conditionalFormatting>
  <conditionalFormatting sqref="AL80:AN80 AL86:AN86">
    <cfRule type="expression" dxfId="3368" priority="94">
      <formula>AND(AL$9&gt;=8/24,AL$9&lt;14/24)</formula>
    </cfRule>
    <cfRule type="expression" dxfId="3367" priority="93">
      <formula>AND(AL$9&gt;=14/24,AL$9&lt;20/24)</formula>
    </cfRule>
    <cfRule type="expression" dxfId="3366" priority="92">
      <formula>AL$9&gt;=20/24</formula>
    </cfRule>
    <cfRule type="expression" dxfId="3365" priority="95">
      <formula>AL$9&lt;8/24</formula>
    </cfRule>
  </conditionalFormatting>
  <conditionalFormatting sqref="AN81:AN84">
    <cfRule type="expression" dxfId="3364" priority="91">
      <formula>AN$9&lt;8/24</formula>
    </cfRule>
    <cfRule type="expression" dxfId="3363" priority="90">
      <formula>AND(AN$9&gt;=8/24,AN$9&lt;14/24)</formula>
    </cfRule>
    <cfRule type="expression" dxfId="3362" priority="89">
      <formula>AND(AN$9&gt;=14/24,AN$9&lt;20/24)</formula>
    </cfRule>
    <cfRule type="expression" dxfId="3361" priority="88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00AE-3A6C-4CA2-B0C0-ABCD23E69EF2}">
  <sheetPr codeName="Sheet5"/>
  <dimension ref="A1:CJ283"/>
  <sheetViews>
    <sheetView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F51" sqref="AF5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4" width="6.5703125" style="1" bestFit="1" customWidth="1"/>
    <col min="15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2080/09/4</v>
      </c>
      <c r="C4" s="246"/>
      <c r="D4" s="246"/>
      <c r="E4" s="247" t="str">
        <f ca="1">"2080/"&amp;"09/"&amp;INT(MID(CELL("filename",G6),FIND("]",CELL("filename",G6))+1,200))</f>
        <v>2080/09/4</v>
      </c>
      <c r="F4" s="247"/>
      <c r="G4" s="247"/>
      <c r="H4" s="247" t="str">
        <f ca="1">TEXT(E4,"dddd")</f>
        <v>Wednesday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172</v>
      </c>
      <c r="C5" s="30">
        <f t="shared" si="0"/>
        <v>190</v>
      </c>
      <c r="D5" s="30">
        <f t="shared" si="0"/>
        <v>208</v>
      </c>
      <c r="E5" s="30">
        <f t="shared" si="0"/>
        <v>215</v>
      </c>
      <c r="F5" s="30">
        <f t="shared" si="0"/>
        <v>242</v>
      </c>
      <c r="G5" s="30">
        <f t="shared" si="0"/>
        <v>260</v>
      </c>
      <c r="H5" s="30">
        <f t="shared" si="0"/>
        <v>268.89999999999998</v>
      </c>
      <c r="I5" s="30">
        <f t="shared" si="0"/>
        <v>279</v>
      </c>
      <c r="J5" s="30">
        <f t="shared" si="0"/>
        <v>218</v>
      </c>
      <c r="K5" s="30">
        <f t="shared" si="0"/>
        <v>117.1</v>
      </c>
      <c r="L5" s="30">
        <f t="shared" si="0"/>
        <v>73.400000000000006</v>
      </c>
      <c r="M5" s="30">
        <f t="shared" si="0"/>
        <v>70</v>
      </c>
      <c r="N5" s="30">
        <f t="shared" si="0"/>
        <v>280</v>
      </c>
      <c r="O5" s="30">
        <f t="shared" si="0"/>
        <v>290</v>
      </c>
      <c r="P5" s="30">
        <f t="shared" si="0"/>
        <v>300</v>
      </c>
      <c r="Q5" s="30">
        <f t="shared" si="0"/>
        <v>315</v>
      </c>
      <c r="R5" s="30">
        <f t="shared" si="0"/>
        <v>321.60000000000002</v>
      </c>
      <c r="S5" s="30">
        <f t="shared" si="0"/>
        <v>300</v>
      </c>
      <c r="T5" s="30">
        <f t="shared" si="0"/>
        <v>306</v>
      </c>
      <c r="U5" s="30">
        <f t="shared" si="0"/>
        <v>124</v>
      </c>
      <c r="V5" s="30">
        <f t="shared" si="0"/>
        <v>6.2</v>
      </c>
      <c r="W5" s="30">
        <f t="shared" si="0"/>
        <v>0</v>
      </c>
      <c r="X5" s="30">
        <f t="shared" si="0"/>
        <v>7.8</v>
      </c>
      <c r="Y5" s="30">
        <f t="shared" si="0"/>
        <v>34</v>
      </c>
      <c r="Z5" s="30">
        <f t="shared" si="0"/>
        <v>138</v>
      </c>
      <c r="AA5" s="30">
        <f t="shared" si="0"/>
        <v>160</v>
      </c>
      <c r="AB5" s="30">
        <f t="shared" si="0"/>
        <v>161</v>
      </c>
      <c r="AC5" s="30">
        <f t="shared" si="0"/>
        <v>166</v>
      </c>
      <c r="AD5" s="30">
        <f t="shared" si="0"/>
        <v>155</v>
      </c>
      <c r="AE5" s="30">
        <f t="shared" si="0"/>
        <v>175</v>
      </c>
      <c r="AF5" s="30">
        <f>B84</f>
        <v>216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1707MW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Load=1048</v>
      </c>
      <c r="B7" s="35">
        <f>B92</f>
        <v>1092.3600000000001</v>
      </c>
      <c r="C7" s="35">
        <f t="shared" ref="C7:AF7" si="1">C92</f>
        <v>1048.3600000000001</v>
      </c>
      <c r="D7" s="35">
        <f t="shared" si="1"/>
        <v>1076.3600000000001</v>
      </c>
      <c r="E7" s="35">
        <f t="shared" si="1"/>
        <v>1118.46</v>
      </c>
      <c r="F7" s="35">
        <f t="shared" si="1"/>
        <v>1140.46</v>
      </c>
      <c r="G7" s="35">
        <f t="shared" si="1"/>
        <v>1213.46</v>
      </c>
      <c r="H7" s="35">
        <f t="shared" si="1"/>
        <v>1259.02</v>
      </c>
      <c r="I7" s="35">
        <f t="shared" si="1"/>
        <v>1343.2599999999998</v>
      </c>
      <c r="J7" s="35">
        <f t="shared" si="1"/>
        <v>1506.56</v>
      </c>
      <c r="K7" s="35">
        <f t="shared" si="1"/>
        <v>1675.56</v>
      </c>
      <c r="L7" s="35">
        <f t="shared" si="1"/>
        <v>1707.26</v>
      </c>
      <c r="M7" s="35">
        <f t="shared" si="1"/>
        <v>1689.3600000000001</v>
      </c>
      <c r="N7" s="35">
        <f t="shared" si="1"/>
        <v>1541.96</v>
      </c>
      <c r="O7" s="35">
        <f t="shared" si="1"/>
        <v>1566.96</v>
      </c>
      <c r="P7" s="35">
        <f t="shared" si="1"/>
        <v>1471.16</v>
      </c>
      <c r="Q7" s="35">
        <f t="shared" si="1"/>
        <v>1362.46</v>
      </c>
      <c r="R7" s="35">
        <f t="shared" si="1"/>
        <v>1284.3599999999999</v>
      </c>
      <c r="S7" s="35">
        <f t="shared" si="1"/>
        <v>1288.8600000000001</v>
      </c>
      <c r="T7" s="35">
        <f t="shared" si="1"/>
        <v>1312.16</v>
      </c>
      <c r="U7" s="35">
        <f t="shared" si="1"/>
        <v>1361.66</v>
      </c>
      <c r="V7" s="35">
        <f t="shared" si="1"/>
        <v>1330.26</v>
      </c>
      <c r="W7" s="35">
        <f t="shared" si="1"/>
        <v>1525.66</v>
      </c>
      <c r="X7" s="35">
        <f t="shared" si="1"/>
        <v>1684.8600000000001</v>
      </c>
      <c r="Y7" s="35">
        <f t="shared" si="1"/>
        <v>1661.46</v>
      </c>
      <c r="Z7" s="35">
        <f t="shared" si="1"/>
        <v>1564.46</v>
      </c>
      <c r="AA7" s="35">
        <f t="shared" si="1"/>
        <v>1482.46</v>
      </c>
      <c r="AB7" s="35">
        <f t="shared" si="1"/>
        <v>1498.36</v>
      </c>
      <c r="AC7" s="35">
        <f t="shared" si="1"/>
        <v>1388.56</v>
      </c>
      <c r="AD7" s="35">
        <f t="shared" si="1"/>
        <v>1326.8600000000001</v>
      </c>
      <c r="AE7" s="35">
        <f t="shared" si="1"/>
        <v>1153.8600000000001</v>
      </c>
      <c r="AF7" s="35">
        <f t="shared" si="1"/>
        <v>1114.46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42</v>
      </c>
      <c r="C11" s="45">
        <v>42</v>
      </c>
      <c r="D11" s="45">
        <v>42</v>
      </c>
      <c r="E11" s="45">
        <v>42.9</v>
      </c>
      <c r="F11" s="45">
        <v>42.9</v>
      </c>
      <c r="G11" s="45">
        <v>42.9</v>
      </c>
      <c r="H11" s="45">
        <v>42.5</v>
      </c>
      <c r="I11" s="45">
        <v>38.6</v>
      </c>
      <c r="J11" s="45">
        <v>38.6</v>
      </c>
      <c r="K11" s="45">
        <v>38.6</v>
      </c>
      <c r="L11" s="45">
        <v>42.6</v>
      </c>
      <c r="M11" s="45">
        <v>42</v>
      </c>
      <c r="N11" s="45">
        <v>42</v>
      </c>
      <c r="O11" s="45">
        <v>42</v>
      </c>
      <c r="P11" s="45">
        <v>42</v>
      </c>
      <c r="Q11" s="45">
        <v>42</v>
      </c>
      <c r="R11" s="45">
        <v>40.4</v>
      </c>
      <c r="S11" s="45">
        <v>40.4</v>
      </c>
      <c r="T11" s="45">
        <v>39.799999999999997</v>
      </c>
      <c r="U11" s="45">
        <v>39.799999999999997</v>
      </c>
      <c r="V11" s="45">
        <v>39.799999999999997</v>
      </c>
      <c r="W11" s="45">
        <v>39.799999999999997</v>
      </c>
      <c r="X11" s="45">
        <v>39.799999999999997</v>
      </c>
      <c r="Y11" s="45">
        <v>39.799999999999997</v>
      </c>
      <c r="Z11" s="45">
        <v>39.799999999999997</v>
      </c>
      <c r="AA11" s="45">
        <v>39.799999999999997</v>
      </c>
      <c r="AB11" s="45">
        <v>39.799999999999997</v>
      </c>
      <c r="AC11" s="45">
        <v>39.799999999999997</v>
      </c>
      <c r="AD11" s="45">
        <v>39.799999999999997</v>
      </c>
      <c r="AE11" s="45">
        <v>39.799999999999997</v>
      </c>
      <c r="AF11" s="45">
        <v>39.799999999999997</v>
      </c>
      <c r="AG11" s="46">
        <v>86</v>
      </c>
      <c r="AH11" s="47">
        <f t="shared" ref="AH11:AH76" si="2">MAX(B11:AF11)</f>
        <v>42.9</v>
      </c>
      <c r="AI11" s="48">
        <f t="shared" ref="AI11:AI76" si="3">MIN(B11:AF11)</f>
        <v>38.6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19</v>
      </c>
      <c r="C12" s="45">
        <v>19</v>
      </c>
      <c r="D12" s="45">
        <v>19</v>
      </c>
      <c r="E12" s="45">
        <v>19</v>
      </c>
      <c r="F12" s="45">
        <v>19</v>
      </c>
      <c r="G12" s="45">
        <v>19</v>
      </c>
      <c r="H12" s="45">
        <v>19</v>
      </c>
      <c r="I12" s="45">
        <v>19</v>
      </c>
      <c r="J12" s="45">
        <v>19</v>
      </c>
      <c r="K12" s="45">
        <v>19</v>
      </c>
      <c r="L12" s="45">
        <v>19</v>
      </c>
      <c r="M12" s="45">
        <v>19</v>
      </c>
      <c r="N12" s="45">
        <v>19</v>
      </c>
      <c r="O12" s="45">
        <v>19</v>
      </c>
      <c r="P12" s="45">
        <v>19</v>
      </c>
      <c r="Q12" s="45">
        <v>19</v>
      </c>
      <c r="R12" s="45">
        <v>19</v>
      </c>
      <c r="S12" s="45">
        <v>19</v>
      </c>
      <c r="T12" s="45">
        <v>19</v>
      </c>
      <c r="U12" s="45">
        <v>19</v>
      </c>
      <c r="V12" s="45">
        <v>19</v>
      </c>
      <c r="W12" s="45">
        <v>19</v>
      </c>
      <c r="X12" s="45">
        <v>19</v>
      </c>
      <c r="Y12" s="45">
        <v>19</v>
      </c>
      <c r="Z12" s="45">
        <v>19</v>
      </c>
      <c r="AA12" s="45">
        <v>19</v>
      </c>
      <c r="AB12" s="45">
        <v>19</v>
      </c>
      <c r="AC12" s="45">
        <v>19</v>
      </c>
      <c r="AD12" s="45">
        <v>19</v>
      </c>
      <c r="AE12" s="45">
        <v>19</v>
      </c>
      <c r="AF12" s="45">
        <v>19</v>
      </c>
      <c r="AG12" s="49">
        <v>54</v>
      </c>
      <c r="AH12" s="47">
        <f t="shared" si="2"/>
        <v>19</v>
      </c>
      <c r="AI12" s="48">
        <f t="shared" si="3"/>
        <v>19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22</v>
      </c>
      <c r="C13" s="45">
        <v>22</v>
      </c>
      <c r="D13" s="45">
        <v>22</v>
      </c>
      <c r="E13" s="45">
        <v>22.5</v>
      </c>
      <c r="F13" s="45">
        <v>22.5</v>
      </c>
      <c r="G13" s="45">
        <v>22.5</v>
      </c>
      <c r="H13" s="45">
        <v>22.5</v>
      </c>
      <c r="I13" s="45">
        <v>22.5</v>
      </c>
      <c r="J13" s="45">
        <v>22.5</v>
      </c>
      <c r="K13" s="45">
        <v>22.5</v>
      </c>
      <c r="L13" s="45">
        <v>21.5</v>
      </c>
      <c r="M13" s="45">
        <v>21.5</v>
      </c>
      <c r="N13" s="45">
        <v>21.5</v>
      </c>
      <c r="O13" s="45">
        <v>21.5</v>
      </c>
      <c r="P13" s="45">
        <v>21.5</v>
      </c>
      <c r="Q13" s="45">
        <v>21.5</v>
      </c>
      <c r="R13" s="45">
        <v>22.6</v>
      </c>
      <c r="S13" s="45">
        <v>22.6</v>
      </c>
      <c r="T13" s="45">
        <v>21.6</v>
      </c>
      <c r="U13" s="45">
        <v>21.6</v>
      </c>
      <c r="V13" s="45">
        <v>21.6</v>
      </c>
      <c r="W13" s="45">
        <v>21.6</v>
      </c>
      <c r="X13" s="45">
        <v>21.6</v>
      </c>
      <c r="Y13" s="45">
        <v>21.6</v>
      </c>
      <c r="Z13" s="45">
        <v>21.6</v>
      </c>
      <c r="AA13" s="45">
        <v>21.6</v>
      </c>
      <c r="AB13" s="45">
        <v>21.6</v>
      </c>
      <c r="AC13" s="45">
        <v>21.6</v>
      </c>
      <c r="AD13" s="45">
        <v>21.6</v>
      </c>
      <c r="AE13" s="45">
        <v>21.6</v>
      </c>
      <c r="AF13" s="45">
        <v>21.6</v>
      </c>
      <c r="AG13" s="46">
        <v>52.4</v>
      </c>
      <c r="AH13" s="47">
        <f t="shared" si="2"/>
        <v>22.6</v>
      </c>
      <c r="AI13" s="48">
        <f t="shared" si="3"/>
        <v>21.5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1">
        <v>45.3</v>
      </c>
      <c r="C14" s="51">
        <v>45.3</v>
      </c>
      <c r="D14" s="51">
        <v>45.3</v>
      </c>
      <c r="E14" s="51">
        <v>46.3</v>
      </c>
      <c r="F14" s="51">
        <v>46.3</v>
      </c>
      <c r="G14" s="51">
        <v>46.3</v>
      </c>
      <c r="H14" s="51">
        <v>46.3</v>
      </c>
      <c r="I14" s="51">
        <v>46.3</v>
      </c>
      <c r="J14" s="51">
        <v>46.3</v>
      </c>
      <c r="K14" s="51">
        <v>46.3</v>
      </c>
      <c r="L14" s="51">
        <v>46.3</v>
      </c>
      <c r="M14" s="51">
        <v>45.7</v>
      </c>
      <c r="N14" s="51">
        <v>45.7</v>
      </c>
      <c r="O14" s="51">
        <v>45.7</v>
      </c>
      <c r="P14" s="51">
        <v>45.7</v>
      </c>
      <c r="Q14" s="51">
        <v>45.7</v>
      </c>
      <c r="R14" s="51">
        <v>45.4</v>
      </c>
      <c r="S14" s="51">
        <v>45.4</v>
      </c>
      <c r="T14" s="51">
        <v>45.4</v>
      </c>
      <c r="U14" s="51">
        <v>45.4</v>
      </c>
      <c r="V14" s="51">
        <v>45.4</v>
      </c>
      <c r="W14" s="51">
        <v>45.4</v>
      </c>
      <c r="X14" s="51">
        <v>45.4</v>
      </c>
      <c r="Y14" s="51">
        <v>45.4</v>
      </c>
      <c r="Z14" s="51">
        <v>45.4</v>
      </c>
      <c r="AA14" s="51">
        <v>45.4</v>
      </c>
      <c r="AB14" s="51">
        <v>45.4</v>
      </c>
      <c r="AC14" s="51">
        <v>45.4</v>
      </c>
      <c r="AD14" s="51">
        <v>45.4</v>
      </c>
      <c r="AE14" s="51">
        <v>45.4</v>
      </c>
      <c r="AF14" s="51">
        <v>45.4</v>
      </c>
      <c r="AG14" s="49">
        <v>50</v>
      </c>
      <c r="AH14" s="47">
        <f t="shared" si="2"/>
        <v>46.3</v>
      </c>
      <c r="AI14" s="48">
        <f t="shared" si="3"/>
        <v>45.3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24.4</v>
      </c>
      <c r="C15" s="45">
        <v>24.4</v>
      </c>
      <c r="D15" s="45">
        <v>24.4</v>
      </c>
      <c r="E15" s="45">
        <v>23.7</v>
      </c>
      <c r="F15" s="45">
        <v>23.7</v>
      </c>
      <c r="G15" s="45">
        <v>23.7</v>
      </c>
      <c r="H15" s="45">
        <v>23.1</v>
      </c>
      <c r="I15" s="45">
        <v>23.1</v>
      </c>
      <c r="J15" s="45">
        <v>23.1</v>
      </c>
      <c r="K15" s="45">
        <v>23.1</v>
      </c>
      <c r="L15" s="45">
        <v>22.3</v>
      </c>
      <c r="M15" s="45">
        <v>23</v>
      </c>
      <c r="N15" s="45">
        <v>23</v>
      </c>
      <c r="O15" s="45">
        <v>23</v>
      </c>
      <c r="P15" s="45">
        <v>23</v>
      </c>
      <c r="Q15" s="45">
        <v>23</v>
      </c>
      <c r="R15" s="45">
        <v>21.5</v>
      </c>
      <c r="S15" s="45">
        <v>21.5</v>
      </c>
      <c r="T15" s="45">
        <v>24.2</v>
      </c>
      <c r="U15" s="45">
        <v>24.2</v>
      </c>
      <c r="V15" s="45">
        <v>24.2</v>
      </c>
      <c r="W15" s="45">
        <v>24.2</v>
      </c>
      <c r="X15" s="45">
        <v>24.2</v>
      </c>
      <c r="Y15" s="45">
        <v>24.2</v>
      </c>
      <c r="Z15" s="45">
        <v>24.2</v>
      </c>
      <c r="AA15" s="45">
        <v>24.2</v>
      </c>
      <c r="AB15" s="45">
        <v>24.2</v>
      </c>
      <c r="AC15" s="45">
        <v>24.2</v>
      </c>
      <c r="AD15" s="45">
        <v>24.2</v>
      </c>
      <c r="AE15" s="45">
        <v>24.2</v>
      </c>
      <c r="AF15" s="45">
        <v>24.2</v>
      </c>
      <c r="AG15" s="49">
        <v>45</v>
      </c>
      <c r="AH15" s="47">
        <f t="shared" si="2"/>
        <v>24.4</v>
      </c>
      <c r="AI15" s="48">
        <f t="shared" si="3"/>
        <v>21.5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</v>
      </c>
      <c r="C16" s="45">
        <v>17</v>
      </c>
      <c r="D16" s="45">
        <v>17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49">
        <v>44</v>
      </c>
      <c r="AH16" s="47">
        <f>MAX(B16:AG16)</f>
        <v>44</v>
      </c>
      <c r="AI16" s="48">
        <f>MIN(B16:AG16)</f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11.5</v>
      </c>
      <c r="S17" s="45">
        <v>11.5</v>
      </c>
      <c r="T17" s="45">
        <v>11.5</v>
      </c>
      <c r="U17" s="45">
        <v>11.5</v>
      </c>
      <c r="V17" s="45">
        <v>11.5</v>
      </c>
      <c r="W17" s="45">
        <v>11.5</v>
      </c>
      <c r="X17" s="45">
        <v>11.5</v>
      </c>
      <c r="Y17" s="45">
        <v>11.5</v>
      </c>
      <c r="Z17" s="45">
        <v>11.5</v>
      </c>
      <c r="AA17" s="45">
        <v>11.5</v>
      </c>
      <c r="AB17" s="45">
        <v>11.5</v>
      </c>
      <c r="AC17" s="45">
        <v>11.5</v>
      </c>
      <c r="AD17" s="45">
        <v>11.5</v>
      </c>
      <c r="AE17" s="45">
        <v>11.5</v>
      </c>
      <c r="AF17" s="45">
        <v>11.5</v>
      </c>
      <c r="AG17" s="49">
        <v>42</v>
      </c>
      <c r="AH17" s="47">
        <f t="shared" si="2"/>
        <v>12.5</v>
      </c>
      <c r="AI17" s="48">
        <f t="shared" si="3"/>
        <v>11.5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13.7</v>
      </c>
      <c r="C18" s="45">
        <v>13.7</v>
      </c>
      <c r="D18" s="45">
        <v>13.7</v>
      </c>
      <c r="E18" s="45">
        <v>13.7</v>
      </c>
      <c r="F18" s="45">
        <v>13.7</v>
      </c>
      <c r="G18" s="45">
        <v>13.7</v>
      </c>
      <c r="H18" s="45">
        <v>13.7</v>
      </c>
      <c r="I18" s="45">
        <v>13.7</v>
      </c>
      <c r="J18" s="45">
        <v>13.7</v>
      </c>
      <c r="K18" s="45">
        <v>13.7</v>
      </c>
      <c r="L18" s="45">
        <v>13.7</v>
      </c>
      <c r="M18" s="45">
        <v>13.7</v>
      </c>
      <c r="N18" s="45">
        <v>13.7</v>
      </c>
      <c r="O18" s="45">
        <v>13.7</v>
      </c>
      <c r="P18" s="45">
        <v>13.7</v>
      </c>
      <c r="Q18" s="45">
        <v>13.7</v>
      </c>
      <c r="R18" s="45">
        <v>13.7</v>
      </c>
      <c r="S18" s="45">
        <v>13.7</v>
      </c>
      <c r="T18" s="45">
        <v>13.7</v>
      </c>
      <c r="U18" s="45">
        <v>13.7</v>
      </c>
      <c r="V18" s="45">
        <v>13.7</v>
      </c>
      <c r="W18" s="45">
        <v>13.7</v>
      </c>
      <c r="X18" s="45">
        <v>13.7</v>
      </c>
      <c r="Y18" s="45">
        <v>13.7</v>
      </c>
      <c r="Z18" s="45">
        <v>13.7</v>
      </c>
      <c r="AA18" s="45">
        <v>13.7</v>
      </c>
      <c r="AB18" s="45">
        <v>13.7</v>
      </c>
      <c r="AC18" s="45">
        <v>13.7</v>
      </c>
      <c r="AD18" s="45">
        <v>13.7</v>
      </c>
      <c r="AE18" s="45">
        <v>13.7</v>
      </c>
      <c r="AF18" s="45">
        <v>13.7</v>
      </c>
      <c r="AG18" s="49">
        <v>38.46</v>
      </c>
      <c r="AH18" s="47">
        <f t="shared" si="2"/>
        <v>13.7</v>
      </c>
      <c r="AI18" s="48">
        <f t="shared" si="3"/>
        <v>13.7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17.5</v>
      </c>
      <c r="C19" s="45">
        <v>17.5</v>
      </c>
      <c r="D19" s="45">
        <v>17.5</v>
      </c>
      <c r="E19" s="45">
        <v>17.5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17.5</v>
      </c>
      <c r="AC19" s="45">
        <v>17.5</v>
      </c>
      <c r="AD19" s="45">
        <v>17.5</v>
      </c>
      <c r="AE19" s="45">
        <v>17.5</v>
      </c>
      <c r="AF19" s="45">
        <v>17.5</v>
      </c>
      <c r="AG19" s="49">
        <v>36</v>
      </c>
      <c r="AH19" s="47">
        <f t="shared" si="2"/>
        <v>17.5</v>
      </c>
      <c r="AI19" s="48">
        <f t="shared" si="3"/>
        <v>17.5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12.4</v>
      </c>
      <c r="C20" s="45">
        <v>12.4</v>
      </c>
      <c r="D20" s="45">
        <v>12.4</v>
      </c>
      <c r="E20" s="45">
        <v>12.9</v>
      </c>
      <c r="F20" s="45">
        <v>12.9</v>
      </c>
      <c r="G20" s="45">
        <v>12.9</v>
      </c>
      <c r="H20" s="45">
        <v>12.96</v>
      </c>
      <c r="I20" s="45">
        <v>12.9</v>
      </c>
      <c r="J20" s="45">
        <v>12.9</v>
      </c>
      <c r="K20" s="45">
        <v>12.9</v>
      </c>
      <c r="L20" s="45">
        <v>12.2</v>
      </c>
      <c r="M20" s="45">
        <v>12.3</v>
      </c>
      <c r="N20" s="45">
        <v>12.3</v>
      </c>
      <c r="O20" s="45">
        <v>12.3</v>
      </c>
      <c r="P20" s="45">
        <v>12.3</v>
      </c>
      <c r="Q20" s="45">
        <v>12.3</v>
      </c>
      <c r="R20" s="45">
        <v>12.3</v>
      </c>
      <c r="S20" s="45">
        <v>12.3</v>
      </c>
      <c r="T20" s="45">
        <v>12.4</v>
      </c>
      <c r="U20" s="45">
        <v>12.4</v>
      </c>
      <c r="V20" s="45">
        <v>12.4</v>
      </c>
      <c r="W20" s="45">
        <v>12.4</v>
      </c>
      <c r="X20" s="45">
        <v>12.4</v>
      </c>
      <c r="Y20" s="45">
        <v>12.4</v>
      </c>
      <c r="Z20" s="45">
        <v>12.4</v>
      </c>
      <c r="AA20" s="45">
        <v>12.4</v>
      </c>
      <c r="AB20" s="45">
        <v>12.4</v>
      </c>
      <c r="AC20" s="45">
        <v>12.4</v>
      </c>
      <c r="AD20" s="45">
        <v>12.4</v>
      </c>
      <c r="AE20" s="45">
        <v>12.4</v>
      </c>
      <c r="AF20" s="45">
        <v>12.4</v>
      </c>
      <c r="AG20" s="52">
        <v>30</v>
      </c>
      <c r="AH20" s="47">
        <f t="shared" si="2"/>
        <v>12.96</v>
      </c>
      <c r="AI20" s="48">
        <f t="shared" si="3"/>
        <v>12.2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24.2</v>
      </c>
      <c r="C21" s="45">
        <v>24.2</v>
      </c>
      <c r="D21" s="45">
        <v>24.2</v>
      </c>
      <c r="E21" s="45">
        <v>24.2</v>
      </c>
      <c r="F21" s="45">
        <v>24.2</v>
      </c>
      <c r="G21" s="45">
        <v>24.2</v>
      </c>
      <c r="H21" s="45">
        <v>24.2</v>
      </c>
      <c r="I21" s="45">
        <v>24.2</v>
      </c>
      <c r="J21" s="45">
        <v>24.2</v>
      </c>
      <c r="K21" s="45">
        <v>24.2</v>
      </c>
      <c r="L21" s="45">
        <v>24.2</v>
      </c>
      <c r="M21" s="45">
        <v>24.4</v>
      </c>
      <c r="N21" s="45">
        <v>24.4</v>
      </c>
      <c r="O21" s="45">
        <v>24.4</v>
      </c>
      <c r="P21" s="45">
        <v>24.4</v>
      </c>
      <c r="Q21" s="45">
        <v>24.4</v>
      </c>
      <c r="R21" s="45">
        <v>24.5</v>
      </c>
      <c r="S21" s="45">
        <v>24.5</v>
      </c>
      <c r="T21" s="45">
        <v>24.5</v>
      </c>
      <c r="U21" s="45">
        <v>24.5</v>
      </c>
      <c r="V21" s="45">
        <v>24.5</v>
      </c>
      <c r="W21" s="45">
        <v>24.5</v>
      </c>
      <c r="X21" s="45">
        <v>24.5</v>
      </c>
      <c r="Y21" s="45">
        <v>24.5</v>
      </c>
      <c r="Z21" s="45">
        <v>24.5</v>
      </c>
      <c r="AA21" s="45">
        <v>24.5</v>
      </c>
      <c r="AB21" s="45">
        <v>24.5</v>
      </c>
      <c r="AC21" s="45">
        <v>24.5</v>
      </c>
      <c r="AD21" s="45">
        <v>24.5</v>
      </c>
      <c r="AE21" s="45">
        <v>24.5</v>
      </c>
      <c r="AF21" s="45">
        <v>24.5</v>
      </c>
      <c r="AG21" s="49">
        <v>24.2</v>
      </c>
      <c r="AH21" s="47">
        <f t="shared" si="2"/>
        <v>24.5</v>
      </c>
      <c r="AI21" s="48">
        <f t="shared" si="3"/>
        <v>24.2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13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49">
        <v>28</v>
      </c>
      <c r="AH22" s="47">
        <f t="shared" si="2"/>
        <v>13</v>
      </c>
      <c r="AI22" s="48">
        <f t="shared" si="3"/>
        <v>13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9.9</v>
      </c>
      <c r="I23" s="45">
        <v>9.9</v>
      </c>
      <c r="J23" s="45">
        <v>9.9</v>
      </c>
      <c r="K23" s="45">
        <v>9.9</v>
      </c>
      <c r="L23" s="45">
        <v>11</v>
      </c>
      <c r="M23" s="45">
        <v>11</v>
      </c>
      <c r="N23" s="45">
        <v>11</v>
      </c>
      <c r="O23" s="45">
        <v>11</v>
      </c>
      <c r="P23" s="45">
        <v>11</v>
      </c>
      <c r="Q23" s="45">
        <v>11</v>
      </c>
      <c r="R23" s="45">
        <v>12.5</v>
      </c>
      <c r="S23" s="45">
        <v>12.5</v>
      </c>
      <c r="T23" s="45">
        <v>8.6999999999999993</v>
      </c>
      <c r="U23" s="45">
        <v>8.6999999999999993</v>
      </c>
      <c r="V23" s="45">
        <v>8.6999999999999993</v>
      </c>
      <c r="W23" s="45">
        <v>8.6999999999999993</v>
      </c>
      <c r="X23" s="45">
        <v>8.6999999999999993</v>
      </c>
      <c r="Y23" s="45">
        <v>8.6999999999999993</v>
      </c>
      <c r="Z23" s="45">
        <v>8.6999999999999993</v>
      </c>
      <c r="AA23" s="45">
        <v>8.6999999999999993</v>
      </c>
      <c r="AB23" s="45">
        <v>8.6999999999999993</v>
      </c>
      <c r="AC23" s="45">
        <v>8.6999999999999993</v>
      </c>
      <c r="AD23" s="45">
        <v>8.6999999999999993</v>
      </c>
      <c r="AE23" s="45">
        <v>8.6999999999999993</v>
      </c>
      <c r="AF23" s="45">
        <v>8.6999999999999993</v>
      </c>
      <c r="AG23" s="52">
        <v>30</v>
      </c>
      <c r="AH23" s="47">
        <f t="shared" si="2"/>
        <v>12.5</v>
      </c>
      <c r="AI23" s="48">
        <f t="shared" si="3"/>
        <v>8.6999999999999993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13.5</v>
      </c>
      <c r="C24" s="45">
        <v>13.5</v>
      </c>
      <c r="D24" s="45">
        <v>13.5</v>
      </c>
      <c r="E24" s="45">
        <v>13.5</v>
      </c>
      <c r="F24" s="45">
        <v>13.5</v>
      </c>
      <c r="G24" s="45">
        <v>13.5</v>
      </c>
      <c r="H24" s="45">
        <v>13.5</v>
      </c>
      <c r="I24" s="45">
        <v>13.5</v>
      </c>
      <c r="J24" s="45">
        <v>13.5</v>
      </c>
      <c r="K24" s="45">
        <v>13.5</v>
      </c>
      <c r="L24" s="45">
        <v>13.5</v>
      </c>
      <c r="M24" s="45">
        <v>12.9</v>
      </c>
      <c r="N24" s="45">
        <v>12.9</v>
      </c>
      <c r="O24" s="45">
        <v>12.9</v>
      </c>
      <c r="P24" s="45">
        <v>12.9</v>
      </c>
      <c r="Q24" s="45">
        <v>12.9</v>
      </c>
      <c r="R24" s="45">
        <v>12.3</v>
      </c>
      <c r="S24" s="45">
        <v>12.3</v>
      </c>
      <c r="T24" s="45">
        <v>12.3</v>
      </c>
      <c r="U24" s="45">
        <v>12.3</v>
      </c>
      <c r="V24" s="45">
        <v>12.3</v>
      </c>
      <c r="W24" s="45">
        <v>12.3</v>
      </c>
      <c r="X24" s="45">
        <v>12.3</v>
      </c>
      <c r="Y24" s="45">
        <v>12.3</v>
      </c>
      <c r="Z24" s="45">
        <v>12.3</v>
      </c>
      <c r="AA24" s="45">
        <v>12.3</v>
      </c>
      <c r="AB24" s="45">
        <v>12.3</v>
      </c>
      <c r="AC24" s="45">
        <v>12.3</v>
      </c>
      <c r="AD24" s="45">
        <v>12.3</v>
      </c>
      <c r="AE24" s="45">
        <v>12.3</v>
      </c>
      <c r="AF24" s="45">
        <v>12.3</v>
      </c>
      <c r="AG24" s="49">
        <v>25</v>
      </c>
      <c r="AH24" s="47">
        <f t="shared" si="2"/>
        <v>13.5</v>
      </c>
      <c r="AI24" s="48">
        <f t="shared" si="3"/>
        <v>12.3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9.5</v>
      </c>
      <c r="C26" s="45">
        <v>9.5</v>
      </c>
      <c r="D26" s="45">
        <v>9.5</v>
      </c>
      <c r="E26" s="45">
        <v>9.5</v>
      </c>
      <c r="F26" s="45">
        <v>9.5</v>
      </c>
      <c r="G26" s="45">
        <v>9.5</v>
      </c>
      <c r="H26" s="45">
        <v>9.5</v>
      </c>
      <c r="I26" s="45">
        <v>9.5</v>
      </c>
      <c r="J26" s="45">
        <v>9.5</v>
      </c>
      <c r="K26" s="45">
        <v>9.5</v>
      </c>
      <c r="L26" s="45">
        <v>9.5</v>
      </c>
      <c r="M26" s="45">
        <v>9.5</v>
      </c>
      <c r="N26" s="45">
        <v>9.5</v>
      </c>
      <c r="O26" s="45">
        <v>9.5</v>
      </c>
      <c r="P26" s="45">
        <v>9.5</v>
      </c>
      <c r="Q26" s="45">
        <v>9.5</v>
      </c>
      <c r="R26" s="45">
        <v>9.5</v>
      </c>
      <c r="S26" s="45">
        <v>9.5</v>
      </c>
      <c r="T26" s="45">
        <v>9.5</v>
      </c>
      <c r="U26" s="45">
        <v>9.5</v>
      </c>
      <c r="V26" s="45">
        <v>9.5</v>
      </c>
      <c r="W26" s="45">
        <v>9.5</v>
      </c>
      <c r="X26" s="45">
        <v>9.5</v>
      </c>
      <c r="Y26" s="45">
        <v>9.5</v>
      </c>
      <c r="Z26" s="45">
        <v>9.5</v>
      </c>
      <c r="AA26" s="45">
        <v>9.5</v>
      </c>
      <c r="AB26" s="45">
        <v>9.5</v>
      </c>
      <c r="AC26" s="45">
        <v>9.5</v>
      </c>
      <c r="AD26" s="45">
        <v>9.5</v>
      </c>
      <c r="AE26" s="45">
        <v>9.5</v>
      </c>
      <c r="AF26" s="45">
        <v>9.5</v>
      </c>
      <c r="AG26" s="49">
        <v>25</v>
      </c>
      <c r="AH26" s="47">
        <f t="shared" si="2"/>
        <v>9.5</v>
      </c>
      <c r="AI26" s="48">
        <f t="shared" si="3"/>
        <v>9.5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11.6</v>
      </c>
      <c r="C27" s="45">
        <v>11.6</v>
      </c>
      <c r="D27" s="45">
        <v>11.6</v>
      </c>
      <c r="E27" s="45">
        <v>11.6</v>
      </c>
      <c r="F27" s="45">
        <v>11.6</v>
      </c>
      <c r="G27" s="45">
        <v>11.6</v>
      </c>
      <c r="H27" s="45">
        <v>11.6</v>
      </c>
      <c r="I27" s="45">
        <v>11.6</v>
      </c>
      <c r="J27" s="45">
        <v>11.6</v>
      </c>
      <c r="K27" s="45">
        <v>11.6</v>
      </c>
      <c r="L27" s="45">
        <v>11.6</v>
      </c>
      <c r="M27" s="45">
        <v>11.9</v>
      </c>
      <c r="N27" s="45">
        <v>11.9</v>
      </c>
      <c r="O27" s="45">
        <v>11.9</v>
      </c>
      <c r="P27" s="45">
        <v>11.9</v>
      </c>
      <c r="Q27" s="45">
        <v>11.9</v>
      </c>
      <c r="R27" s="45">
        <v>11.9</v>
      </c>
      <c r="S27" s="45">
        <v>11.9</v>
      </c>
      <c r="T27" s="45">
        <v>11.9</v>
      </c>
      <c r="U27" s="45">
        <v>11.9</v>
      </c>
      <c r="V27" s="45">
        <v>11.9</v>
      </c>
      <c r="W27" s="45">
        <v>11.9</v>
      </c>
      <c r="X27" s="45">
        <v>11.9</v>
      </c>
      <c r="Y27" s="45">
        <v>11.9</v>
      </c>
      <c r="Z27" s="45">
        <v>11.9</v>
      </c>
      <c r="AA27" s="45">
        <v>11.9</v>
      </c>
      <c r="AB27" s="45">
        <v>11.9</v>
      </c>
      <c r="AC27" s="45">
        <v>11.9</v>
      </c>
      <c r="AD27" s="45">
        <v>11.9</v>
      </c>
      <c r="AE27" s="45">
        <v>11.9</v>
      </c>
      <c r="AF27" s="45">
        <v>11.9</v>
      </c>
      <c r="AG27" s="49">
        <v>25</v>
      </c>
      <c r="AH27" s="47">
        <f t="shared" si="2"/>
        <v>11.9</v>
      </c>
      <c r="AI27" s="48">
        <f t="shared" si="3"/>
        <v>11.6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11.4</v>
      </c>
      <c r="C28" s="45">
        <v>11.4</v>
      </c>
      <c r="D28" s="45">
        <v>11.4</v>
      </c>
      <c r="E28" s="45">
        <v>11.4</v>
      </c>
      <c r="F28" s="45">
        <v>11.4</v>
      </c>
      <c r="G28" s="45">
        <v>11.4</v>
      </c>
      <c r="H28" s="45">
        <v>11.4</v>
      </c>
      <c r="I28" s="45">
        <v>11.4</v>
      </c>
      <c r="J28" s="45">
        <v>11.4</v>
      </c>
      <c r="K28" s="45">
        <v>11.4</v>
      </c>
      <c r="L28" s="45">
        <v>11.4</v>
      </c>
      <c r="M28" s="45">
        <v>11.7</v>
      </c>
      <c r="N28" s="45">
        <v>11.7</v>
      </c>
      <c r="O28" s="45">
        <v>11.7</v>
      </c>
      <c r="P28" s="45">
        <v>11.7</v>
      </c>
      <c r="Q28" s="45">
        <v>11.7</v>
      </c>
      <c r="R28" s="45">
        <v>11.4</v>
      </c>
      <c r="S28" s="45">
        <v>11.4</v>
      </c>
      <c r="T28" s="45">
        <v>11.4</v>
      </c>
      <c r="U28" s="45">
        <v>11.4</v>
      </c>
      <c r="V28" s="45">
        <v>11.4</v>
      </c>
      <c r="W28" s="45">
        <v>11.4</v>
      </c>
      <c r="X28" s="45">
        <v>11.4</v>
      </c>
      <c r="Y28" s="45">
        <v>11.4</v>
      </c>
      <c r="Z28" s="45">
        <v>11.4</v>
      </c>
      <c r="AA28" s="45">
        <v>11.4</v>
      </c>
      <c r="AB28" s="45">
        <v>11.4</v>
      </c>
      <c r="AC28" s="45">
        <v>11.4</v>
      </c>
      <c r="AD28" s="45">
        <v>11.4</v>
      </c>
      <c r="AE28" s="45">
        <v>11.4</v>
      </c>
      <c r="AF28" s="45">
        <v>11.4</v>
      </c>
      <c r="AG28" s="49">
        <v>23.5</v>
      </c>
      <c r="AH28" s="47">
        <f t="shared" si="2"/>
        <v>11.7</v>
      </c>
      <c r="AI28" s="48">
        <f t="shared" si="3"/>
        <v>11.4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49">
        <v>22.2</v>
      </c>
      <c r="AH29" s="47">
        <f t="shared" si="2"/>
        <v>6</v>
      </c>
      <c r="AI29" s="48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11.7</v>
      </c>
      <c r="C32" s="45">
        <v>11.7</v>
      </c>
      <c r="D32" s="45">
        <v>11.7</v>
      </c>
      <c r="E32" s="45">
        <v>11.7</v>
      </c>
      <c r="F32" s="45">
        <v>11.7</v>
      </c>
      <c r="G32" s="45">
        <v>11.7</v>
      </c>
      <c r="H32" s="45">
        <v>11.7</v>
      </c>
      <c r="I32" s="45">
        <v>11.7</v>
      </c>
      <c r="J32" s="45">
        <v>11.7</v>
      </c>
      <c r="K32" s="45">
        <v>11.7</v>
      </c>
      <c r="L32" s="45">
        <v>11.7</v>
      </c>
      <c r="M32" s="45">
        <v>9.3000000000000007</v>
      </c>
      <c r="N32" s="45">
        <v>9.3000000000000007</v>
      </c>
      <c r="O32" s="45">
        <v>9.3000000000000007</v>
      </c>
      <c r="P32" s="45">
        <v>9.3000000000000007</v>
      </c>
      <c r="Q32" s="45">
        <v>9.3000000000000007</v>
      </c>
      <c r="R32" s="45">
        <v>7.6</v>
      </c>
      <c r="S32" s="45">
        <v>7.6</v>
      </c>
      <c r="T32" s="45">
        <v>7.6</v>
      </c>
      <c r="U32" s="45">
        <v>7.6</v>
      </c>
      <c r="V32" s="45">
        <v>7.6</v>
      </c>
      <c r="W32" s="45">
        <v>7.6</v>
      </c>
      <c r="X32" s="45">
        <v>7.6</v>
      </c>
      <c r="Y32" s="45">
        <v>7.6</v>
      </c>
      <c r="Z32" s="45">
        <v>7.6</v>
      </c>
      <c r="AA32" s="45">
        <v>7.6</v>
      </c>
      <c r="AB32" s="45">
        <v>7.6</v>
      </c>
      <c r="AC32" s="45">
        <v>7.6</v>
      </c>
      <c r="AD32" s="45">
        <v>7.6</v>
      </c>
      <c r="AE32" s="45">
        <v>7.6</v>
      </c>
      <c r="AF32" s="45">
        <v>7.6</v>
      </c>
      <c r="AG32" s="49">
        <v>22</v>
      </c>
      <c r="AH32" s="47">
        <f t="shared" si="2"/>
        <v>11.7</v>
      </c>
      <c r="AI32" s="48">
        <f t="shared" si="3"/>
        <v>7.6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8.6999999999999993</v>
      </c>
      <c r="C33" s="45">
        <v>8.6999999999999993</v>
      </c>
      <c r="D33" s="45">
        <v>8.6999999999999993</v>
      </c>
      <c r="E33" s="45">
        <v>8.6999999999999993</v>
      </c>
      <c r="F33" s="45">
        <v>8.6999999999999993</v>
      </c>
      <c r="G33" s="45">
        <v>8.6999999999999993</v>
      </c>
      <c r="H33" s="45">
        <v>8.6999999999999993</v>
      </c>
      <c r="I33" s="45">
        <v>8.6999999999999993</v>
      </c>
      <c r="J33" s="45">
        <v>8.6999999999999993</v>
      </c>
      <c r="K33" s="45">
        <v>8.6999999999999993</v>
      </c>
      <c r="L33" s="45">
        <v>8.6999999999999993</v>
      </c>
      <c r="M33" s="45">
        <v>8.6999999999999993</v>
      </c>
      <c r="N33" s="45">
        <v>8.6999999999999993</v>
      </c>
      <c r="O33" s="45">
        <v>8.6999999999999993</v>
      </c>
      <c r="P33" s="45">
        <v>8.6999999999999993</v>
      </c>
      <c r="Q33" s="45">
        <v>8.6999999999999993</v>
      </c>
      <c r="R33" s="45">
        <v>8.6999999999999993</v>
      </c>
      <c r="S33" s="45">
        <v>8.6999999999999993</v>
      </c>
      <c r="T33" s="45">
        <v>8.6999999999999993</v>
      </c>
      <c r="U33" s="45">
        <v>8.6999999999999993</v>
      </c>
      <c r="V33" s="45">
        <v>8.6999999999999993</v>
      </c>
      <c r="W33" s="45">
        <v>8.6999999999999993</v>
      </c>
      <c r="X33" s="45">
        <v>8.6999999999999993</v>
      </c>
      <c r="Y33" s="45">
        <v>8.6999999999999993</v>
      </c>
      <c r="Z33" s="45">
        <v>8.6999999999999993</v>
      </c>
      <c r="AA33" s="45">
        <v>8.6999999999999993</v>
      </c>
      <c r="AB33" s="45">
        <v>8.6999999999999993</v>
      </c>
      <c r="AC33" s="45">
        <v>8.6999999999999993</v>
      </c>
      <c r="AD33" s="45">
        <v>8.6999999999999993</v>
      </c>
      <c r="AE33" s="45">
        <v>8.6999999999999993</v>
      </c>
      <c r="AF33" s="45">
        <v>8.6999999999999993</v>
      </c>
      <c r="AG33" s="49">
        <v>20</v>
      </c>
      <c r="AH33" s="47">
        <f t="shared" si="2"/>
        <v>8.6999999999999993</v>
      </c>
      <c r="AI33" s="48">
        <f t="shared" si="3"/>
        <v>8.6999999999999993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49">
        <v>18</v>
      </c>
      <c r="AH34" s="47">
        <f t="shared" si="2"/>
        <v>6</v>
      </c>
      <c r="AI34" s="48">
        <f t="shared" si="3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8.1999999999999993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5.8</v>
      </c>
      <c r="Q45" s="45">
        <v>5.8</v>
      </c>
      <c r="R45" s="45">
        <v>5.8</v>
      </c>
      <c r="S45" s="45">
        <v>5.8</v>
      </c>
      <c r="T45" s="45">
        <v>5.8</v>
      </c>
      <c r="U45" s="45">
        <v>5.8</v>
      </c>
      <c r="V45" s="45">
        <v>5.8</v>
      </c>
      <c r="W45" s="45">
        <v>5.8</v>
      </c>
      <c r="X45" s="45">
        <v>5.8</v>
      </c>
      <c r="Y45" s="45">
        <v>5.8</v>
      </c>
      <c r="Z45" s="45">
        <v>5.8</v>
      </c>
      <c r="AA45" s="45">
        <v>5.8</v>
      </c>
      <c r="AB45" s="45">
        <v>5.8</v>
      </c>
      <c r="AC45" s="45">
        <v>5.8</v>
      </c>
      <c r="AD45" s="45">
        <v>5.8</v>
      </c>
      <c r="AE45" s="45">
        <v>5.8</v>
      </c>
      <c r="AF45" s="45">
        <v>5.8</v>
      </c>
      <c r="AG45" s="55">
        <v>10</v>
      </c>
      <c r="AH45" s="47">
        <f t="shared" si="2"/>
        <v>5.8</v>
      </c>
      <c r="AI45" s="48">
        <f t="shared" si="3"/>
        <v>5.8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6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225</v>
      </c>
      <c r="C48" s="57">
        <v>225</v>
      </c>
      <c r="D48" s="57">
        <v>225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250</v>
      </c>
      <c r="N48" s="57">
        <v>250</v>
      </c>
      <c r="O48" s="57">
        <v>250</v>
      </c>
      <c r="P48" s="57">
        <v>250</v>
      </c>
      <c r="Q48" s="57">
        <v>250</v>
      </c>
      <c r="R48" s="57">
        <v>250</v>
      </c>
      <c r="S48" s="57">
        <v>250</v>
      </c>
      <c r="T48" s="57">
        <v>250</v>
      </c>
      <c r="U48" s="57">
        <v>250</v>
      </c>
      <c r="V48" s="57">
        <v>250</v>
      </c>
      <c r="W48" s="57">
        <v>250</v>
      </c>
      <c r="X48" s="57">
        <v>250</v>
      </c>
      <c r="Y48" s="57">
        <v>250</v>
      </c>
      <c r="Z48" s="57">
        <v>250</v>
      </c>
      <c r="AA48" s="57">
        <v>250</v>
      </c>
      <c r="AB48" s="57">
        <v>250</v>
      </c>
      <c r="AC48" s="57">
        <v>250</v>
      </c>
      <c r="AD48" s="57">
        <v>250</v>
      </c>
      <c r="AE48" s="57">
        <v>250</v>
      </c>
      <c r="AF48" s="57">
        <v>250</v>
      </c>
      <c r="AG48" s="55">
        <v>85</v>
      </c>
      <c r="AH48" s="47">
        <f t="shared" si="2"/>
        <v>250</v>
      </c>
      <c r="AI48" s="48">
        <f t="shared" si="3"/>
        <v>225</v>
      </c>
      <c r="AK48" s="50"/>
    </row>
    <row r="49" spans="1:41" ht="15.75" thickBot="1" x14ac:dyDescent="0.3">
      <c r="A49" s="58" t="s">
        <v>57</v>
      </c>
      <c r="B49" s="57">
        <v>38.5</v>
      </c>
      <c r="C49" s="57">
        <v>38.5</v>
      </c>
      <c r="D49" s="57">
        <v>38.5</v>
      </c>
      <c r="E49" s="51">
        <v>40.700000000000003</v>
      </c>
      <c r="F49" s="51">
        <v>40.700000000000003</v>
      </c>
      <c r="G49" s="51">
        <v>39.299999999999997</v>
      </c>
      <c r="H49" s="51">
        <v>40.700000000000003</v>
      </c>
      <c r="I49" s="51">
        <v>40.700000000000003</v>
      </c>
      <c r="J49" s="51">
        <v>40.700000000000003</v>
      </c>
      <c r="K49" s="51">
        <v>40.700000000000003</v>
      </c>
      <c r="L49" s="51">
        <v>40.700000000000003</v>
      </c>
      <c r="M49" s="51">
        <f>9.6+27.8</f>
        <v>37.4</v>
      </c>
      <c r="N49" s="51">
        <f t="shared" ref="N49:Q49" si="4">9.6+27.8</f>
        <v>37.4</v>
      </c>
      <c r="O49" s="51">
        <f t="shared" si="4"/>
        <v>37.4</v>
      </c>
      <c r="P49" s="51">
        <f t="shared" si="4"/>
        <v>37.4</v>
      </c>
      <c r="Q49" s="51">
        <f t="shared" si="4"/>
        <v>37.4</v>
      </c>
      <c r="R49" s="51">
        <f>10.1+29.5</f>
        <v>39.6</v>
      </c>
      <c r="S49" s="51">
        <f>10.5+29.2</f>
        <v>39.700000000000003</v>
      </c>
      <c r="T49" s="51">
        <f>9.6+26.7</f>
        <v>36.299999999999997</v>
      </c>
      <c r="U49" s="51">
        <f>9.6+26.7</f>
        <v>36.299999999999997</v>
      </c>
      <c r="V49" s="51">
        <f>9.6+26.7</f>
        <v>36.299999999999997</v>
      </c>
      <c r="W49" s="51">
        <v>30.7</v>
      </c>
      <c r="X49" s="51">
        <v>30.7</v>
      </c>
      <c r="Y49" s="51">
        <v>30.7</v>
      </c>
      <c r="Z49" s="51">
        <v>30.7</v>
      </c>
      <c r="AA49" s="51">
        <v>30.7</v>
      </c>
      <c r="AB49" s="51">
        <v>30.7</v>
      </c>
      <c r="AC49" s="51">
        <v>30.7</v>
      </c>
      <c r="AD49" s="51">
        <v>30.7</v>
      </c>
      <c r="AE49" s="51">
        <v>30.7</v>
      </c>
      <c r="AF49" s="51">
        <v>30.7</v>
      </c>
      <c r="AG49" s="55">
        <v>240</v>
      </c>
      <c r="AH49" s="47">
        <f t="shared" si="2"/>
        <v>40.700000000000003</v>
      </c>
      <c r="AI49" s="48">
        <f t="shared" si="3"/>
        <v>30.7</v>
      </c>
      <c r="AK49" s="50"/>
    </row>
    <row r="50" spans="1:41" ht="15.75" thickBot="1" x14ac:dyDescent="0.3">
      <c r="A50" s="59" t="s">
        <v>58</v>
      </c>
      <c r="B50" s="60">
        <f t="shared" ref="B50:AA50" si="5">SUM(B11:B48)</f>
        <v>663.2</v>
      </c>
      <c r="C50" s="60">
        <f t="shared" si="5"/>
        <v>663.2</v>
      </c>
      <c r="D50" s="60">
        <f t="shared" si="5"/>
        <v>663.2</v>
      </c>
      <c r="E50" s="60">
        <f t="shared" si="5"/>
        <v>690.39999999999986</v>
      </c>
      <c r="F50" s="60">
        <f t="shared" ref="F50" si="6">SUM(F11:F48)</f>
        <v>690.39999999999986</v>
      </c>
      <c r="G50" s="60">
        <f t="shared" si="5"/>
        <v>690.39999999999986</v>
      </c>
      <c r="H50" s="60">
        <f t="shared" si="5"/>
        <v>689.3599999999999</v>
      </c>
      <c r="I50" s="60">
        <f t="shared" si="5"/>
        <v>685.39999999999986</v>
      </c>
      <c r="J50" s="60">
        <f t="shared" si="5"/>
        <v>685.39999999999986</v>
      </c>
      <c r="K50" s="60">
        <f>SUM(K11:K48)</f>
        <v>685.39999999999986</v>
      </c>
      <c r="L50" s="60">
        <f>SUM(L11:L48)</f>
        <v>688</v>
      </c>
      <c r="M50" s="60">
        <f>SUM(M11:M48)</f>
        <v>685.4</v>
      </c>
      <c r="N50" s="60">
        <f t="shared" ref="N50:O50" si="7">SUM(N11:N48)</f>
        <v>685.4</v>
      </c>
      <c r="O50" s="60">
        <f t="shared" si="7"/>
        <v>685.4</v>
      </c>
      <c r="P50" s="60">
        <f t="shared" ref="P50:Q50" si="8">SUM(P11:P48)</f>
        <v>685.4</v>
      </c>
      <c r="Q50" s="60">
        <f t="shared" si="8"/>
        <v>685.4</v>
      </c>
      <c r="R50" s="60">
        <f t="shared" ref="R50" si="9">SUM(R11:R48)</f>
        <v>681.09999999999991</v>
      </c>
      <c r="S50" s="60">
        <f t="shared" si="5"/>
        <v>681.09999999999991</v>
      </c>
      <c r="T50" s="60">
        <f t="shared" si="5"/>
        <v>678.5</v>
      </c>
      <c r="U50" s="60">
        <f t="shared" si="5"/>
        <v>678.5</v>
      </c>
      <c r="V50" s="60">
        <f t="shared" si="5"/>
        <v>678.5</v>
      </c>
      <c r="W50" s="60">
        <f t="shared" si="5"/>
        <v>678.5</v>
      </c>
      <c r="X50" s="60">
        <f t="shared" si="5"/>
        <v>678.5</v>
      </c>
      <c r="Y50" s="60">
        <f t="shared" si="5"/>
        <v>678.5</v>
      </c>
      <c r="Z50" s="60">
        <f t="shared" si="5"/>
        <v>678.5</v>
      </c>
      <c r="AA50" s="60">
        <f t="shared" si="5"/>
        <v>678.5</v>
      </c>
      <c r="AB50" s="60">
        <f t="shared" ref="AB50:AC50" si="10">SUM(AB11:AB48)</f>
        <v>678.5</v>
      </c>
      <c r="AC50" s="60">
        <f t="shared" si="10"/>
        <v>678.5</v>
      </c>
      <c r="AD50" s="60">
        <f t="shared" ref="AD50:AE50" si="11">SUM(AD11:AD48)</f>
        <v>678.5</v>
      </c>
      <c r="AE50" s="60">
        <f t="shared" si="11"/>
        <v>678.5</v>
      </c>
      <c r="AF50" s="60">
        <f t="shared" ref="AF50" si="12">SUM(AF11:AF48)</f>
        <v>678.5</v>
      </c>
      <c r="AG50" s="61">
        <f>SUM(AG13:AG48)</f>
        <v>922.14</v>
      </c>
      <c r="AH50" s="47">
        <f t="shared" si="2"/>
        <v>690.39999999999986</v>
      </c>
      <c r="AI50" s="48">
        <f t="shared" si="3"/>
        <v>663.2</v>
      </c>
      <c r="AK50" s="50"/>
    </row>
    <row r="51" spans="1:41" x14ac:dyDescent="0.25">
      <c r="A51" s="62" t="s">
        <v>59</v>
      </c>
      <c r="B51" s="45">
        <v>15</v>
      </c>
      <c r="C51" s="45">
        <v>15</v>
      </c>
      <c r="D51" s="45">
        <v>0</v>
      </c>
      <c r="E51" s="45">
        <v>0</v>
      </c>
      <c r="F51" s="45">
        <v>0</v>
      </c>
      <c r="G51" s="45">
        <v>0</v>
      </c>
      <c r="H51" s="45">
        <v>30</v>
      </c>
      <c r="I51" s="45">
        <v>90</v>
      </c>
      <c r="J51" s="45">
        <v>150</v>
      </c>
      <c r="K51" s="45">
        <v>300</v>
      </c>
      <c r="L51" s="45">
        <v>430</v>
      </c>
      <c r="M51" s="45">
        <v>456</v>
      </c>
      <c r="N51" s="45">
        <v>300</v>
      </c>
      <c r="O51" s="45">
        <v>120</v>
      </c>
      <c r="P51" s="45">
        <v>60</v>
      </c>
      <c r="Q51" s="45">
        <v>0</v>
      </c>
      <c r="R51" s="45">
        <v>0</v>
      </c>
      <c r="S51" s="45">
        <v>0</v>
      </c>
      <c r="T51" s="45">
        <v>0</v>
      </c>
      <c r="U51" s="45">
        <v>11</v>
      </c>
      <c r="V51" s="45">
        <v>180</v>
      </c>
      <c r="W51" s="45">
        <v>370</v>
      </c>
      <c r="X51" s="45">
        <v>456</v>
      </c>
      <c r="Y51" s="45">
        <v>456</v>
      </c>
      <c r="Z51" s="45">
        <v>380</v>
      </c>
      <c r="AA51" s="45">
        <v>210</v>
      </c>
      <c r="AB51" s="45">
        <v>210</v>
      </c>
      <c r="AC51" s="45">
        <v>150</v>
      </c>
      <c r="AD51" s="45">
        <v>110</v>
      </c>
      <c r="AE51" s="45">
        <v>20</v>
      </c>
      <c r="AF51" s="45">
        <v>0</v>
      </c>
      <c r="AG51" s="52">
        <v>456</v>
      </c>
      <c r="AH51" s="47">
        <f t="shared" si="2"/>
        <v>456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42</v>
      </c>
      <c r="N52" s="65">
        <v>42</v>
      </c>
      <c r="O52" s="65">
        <v>42</v>
      </c>
      <c r="P52" s="65">
        <v>42</v>
      </c>
      <c r="Q52" s="65">
        <v>42</v>
      </c>
      <c r="R52" s="65">
        <v>42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5">
        <v>60</v>
      </c>
      <c r="AH52" s="47">
        <f t="shared" si="2"/>
        <v>42</v>
      </c>
      <c r="AI52" s="48">
        <f t="shared" si="3"/>
        <v>42</v>
      </c>
      <c r="AK52" s="50"/>
    </row>
    <row r="53" spans="1:41" ht="15.75" thickBot="1" x14ac:dyDescent="0.3">
      <c r="A53" s="66" t="s">
        <v>61</v>
      </c>
      <c r="B53" s="67">
        <v>13.7</v>
      </c>
      <c r="C53" s="67">
        <v>13.7</v>
      </c>
      <c r="D53" s="67">
        <v>13.7</v>
      </c>
      <c r="E53" s="67">
        <v>13.7</v>
      </c>
      <c r="F53" s="67">
        <v>13.7</v>
      </c>
      <c r="G53" s="67">
        <v>13.6</v>
      </c>
      <c r="H53" s="67">
        <v>13.7</v>
      </c>
      <c r="I53" s="67">
        <v>13.7</v>
      </c>
      <c r="J53" s="67">
        <v>13.7</v>
      </c>
      <c r="K53" s="67">
        <v>13.7</v>
      </c>
      <c r="L53" s="67">
        <v>13.7</v>
      </c>
      <c r="M53" s="67">
        <v>13.7</v>
      </c>
      <c r="N53" s="67">
        <v>13.7</v>
      </c>
      <c r="O53" s="67">
        <v>13.7</v>
      </c>
      <c r="P53" s="67">
        <v>13.7</v>
      </c>
      <c r="Q53" s="67">
        <v>13.7</v>
      </c>
      <c r="R53" s="67">
        <v>12.3</v>
      </c>
      <c r="S53" s="67">
        <v>12.2</v>
      </c>
      <c r="T53" s="67">
        <v>12.2</v>
      </c>
      <c r="U53" s="67">
        <v>12.2</v>
      </c>
      <c r="V53" s="67">
        <v>12.2</v>
      </c>
      <c r="W53" s="67">
        <v>12.2</v>
      </c>
      <c r="X53" s="67">
        <v>12.2</v>
      </c>
      <c r="Y53" s="67">
        <v>12.2</v>
      </c>
      <c r="Z53" s="67">
        <v>12.2</v>
      </c>
      <c r="AA53" s="67">
        <v>12.2</v>
      </c>
      <c r="AB53" s="67">
        <v>12.2</v>
      </c>
      <c r="AC53" s="67">
        <v>12.2</v>
      </c>
      <c r="AD53" s="67">
        <v>12.2</v>
      </c>
      <c r="AE53" s="67">
        <v>12.2</v>
      </c>
      <c r="AF53" s="67">
        <v>12.2</v>
      </c>
      <c r="AG53" s="68">
        <v>22.1</v>
      </c>
      <c r="AH53" s="47">
        <f t="shared" si="2"/>
        <v>13.7</v>
      </c>
      <c r="AI53" s="48">
        <f t="shared" si="3"/>
        <v>12.2</v>
      </c>
      <c r="AK53" s="50"/>
    </row>
    <row r="54" spans="1:41" ht="15.75" thickBot="1" x14ac:dyDescent="0.3">
      <c r="A54" s="69" t="s">
        <v>62</v>
      </c>
      <c r="B54" s="60">
        <f t="shared" ref="B54:AG54" si="13">SUM(B51:B53)</f>
        <v>70.7</v>
      </c>
      <c r="C54" s="60">
        <f t="shared" si="13"/>
        <v>70.7</v>
      </c>
      <c r="D54" s="60">
        <f t="shared" si="13"/>
        <v>55.7</v>
      </c>
      <c r="E54" s="60">
        <f t="shared" si="13"/>
        <v>55.7</v>
      </c>
      <c r="F54" s="60">
        <f t="shared" ref="F54" si="14">SUM(F51:F53)</f>
        <v>55.7</v>
      </c>
      <c r="G54" s="60">
        <f t="shared" si="13"/>
        <v>55.6</v>
      </c>
      <c r="H54" s="60">
        <f t="shared" si="13"/>
        <v>85.7</v>
      </c>
      <c r="I54" s="60">
        <f t="shared" si="13"/>
        <v>145.69999999999999</v>
      </c>
      <c r="J54" s="60">
        <f t="shared" si="13"/>
        <v>205.7</v>
      </c>
      <c r="K54" s="60">
        <f t="shared" si="13"/>
        <v>355.7</v>
      </c>
      <c r="L54" s="60">
        <f t="shared" si="13"/>
        <v>485.7</v>
      </c>
      <c r="M54" s="60">
        <f t="shared" ref="M54:O54" si="15">SUM(M51:M53)</f>
        <v>511.7</v>
      </c>
      <c r="N54" s="60">
        <f t="shared" si="15"/>
        <v>355.7</v>
      </c>
      <c r="O54" s="60">
        <f t="shared" si="15"/>
        <v>175.7</v>
      </c>
      <c r="P54" s="60">
        <f t="shared" ref="P54:Q54" si="16">SUM(P51:P53)</f>
        <v>115.7</v>
      </c>
      <c r="Q54" s="60">
        <f t="shared" si="16"/>
        <v>55.7</v>
      </c>
      <c r="R54" s="60">
        <f t="shared" ref="R54" si="17">SUM(R51:R53)</f>
        <v>54.3</v>
      </c>
      <c r="S54" s="60">
        <f t="shared" si="13"/>
        <v>54.2</v>
      </c>
      <c r="T54" s="60">
        <f t="shared" si="13"/>
        <v>54.2</v>
      </c>
      <c r="U54" s="60">
        <f t="shared" si="13"/>
        <v>65.2</v>
      </c>
      <c r="V54" s="60">
        <f t="shared" si="13"/>
        <v>234.2</v>
      </c>
      <c r="W54" s="60">
        <f t="shared" si="13"/>
        <v>424.2</v>
      </c>
      <c r="X54" s="60">
        <f t="shared" si="13"/>
        <v>510.2</v>
      </c>
      <c r="Y54" s="60">
        <f t="shared" si="13"/>
        <v>510.2</v>
      </c>
      <c r="Z54" s="60">
        <f t="shared" si="13"/>
        <v>434.2</v>
      </c>
      <c r="AA54" s="60">
        <f t="shared" si="13"/>
        <v>264.2</v>
      </c>
      <c r="AB54" s="60">
        <f t="shared" ref="AB54:AC54" si="18">SUM(AB51:AB53)</f>
        <v>264.2</v>
      </c>
      <c r="AC54" s="60">
        <f t="shared" si="18"/>
        <v>204.2</v>
      </c>
      <c r="AD54" s="60">
        <f t="shared" ref="AD54:AE54" si="19">SUM(AD51:AD53)</f>
        <v>164.2</v>
      </c>
      <c r="AE54" s="60">
        <f t="shared" si="19"/>
        <v>74.2</v>
      </c>
      <c r="AF54" s="60">
        <f t="shared" ref="AF54" si="20">SUM(AF51:AF53)</f>
        <v>54.2</v>
      </c>
      <c r="AG54" s="61">
        <f t="shared" si="13"/>
        <v>538.1</v>
      </c>
      <c r="AH54" s="47">
        <f t="shared" si="2"/>
        <v>511.7</v>
      </c>
      <c r="AI54" s="48">
        <f t="shared" si="3"/>
        <v>54.2</v>
      </c>
      <c r="AK54" s="50"/>
    </row>
    <row r="55" spans="1:41" x14ac:dyDescent="0.25">
      <c r="A55" s="44" t="s">
        <v>63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47</v>
      </c>
      <c r="H55" s="45">
        <v>61</v>
      </c>
      <c r="I55" s="45">
        <v>61</v>
      </c>
      <c r="J55" s="45">
        <v>90</v>
      </c>
      <c r="K55" s="45">
        <v>144</v>
      </c>
      <c r="L55" s="45">
        <v>144</v>
      </c>
      <c r="M55" s="45">
        <v>145.30000000000001</v>
      </c>
      <c r="N55" s="45">
        <v>145.30000000000001</v>
      </c>
      <c r="O55" s="45">
        <v>145.30000000000001</v>
      </c>
      <c r="P55" s="45">
        <v>90</v>
      </c>
      <c r="Q55" s="45">
        <v>60</v>
      </c>
      <c r="R55" s="45">
        <v>60.9</v>
      </c>
      <c r="S55" s="45">
        <v>60</v>
      </c>
      <c r="T55" s="45">
        <v>48.8</v>
      </c>
      <c r="U55" s="45">
        <v>91.4</v>
      </c>
      <c r="V55" s="45">
        <v>91.4</v>
      </c>
      <c r="W55" s="45">
        <v>144</v>
      </c>
      <c r="X55" s="45">
        <v>144</v>
      </c>
      <c r="Y55" s="45">
        <v>144</v>
      </c>
      <c r="Z55" s="45">
        <v>144</v>
      </c>
      <c r="AA55" s="45">
        <v>144</v>
      </c>
      <c r="AB55" s="45">
        <v>144</v>
      </c>
      <c r="AC55" s="45">
        <v>120</v>
      </c>
      <c r="AD55" s="45">
        <v>100</v>
      </c>
      <c r="AE55" s="45">
        <v>60</v>
      </c>
      <c r="AF55" s="45">
        <v>30</v>
      </c>
      <c r="AG55" s="52">
        <v>144</v>
      </c>
      <c r="AH55" s="47">
        <f t="shared" si="2"/>
        <v>145.30000000000001</v>
      </c>
      <c r="AI55" s="48">
        <f t="shared" si="3"/>
        <v>0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25</v>
      </c>
      <c r="E56" s="65">
        <v>25</v>
      </c>
      <c r="F56" s="65">
        <v>25</v>
      </c>
      <c r="G56" s="65">
        <v>35</v>
      </c>
      <c r="H56" s="65">
        <v>25</v>
      </c>
      <c r="I56" s="65">
        <v>27.4</v>
      </c>
      <c r="J56" s="65">
        <v>70</v>
      </c>
      <c r="K56" s="65">
        <v>70</v>
      </c>
      <c r="L56" s="65">
        <v>70</v>
      </c>
      <c r="M56" s="65">
        <v>69.099999999999994</v>
      </c>
      <c r="N56" s="65">
        <v>69.099999999999994</v>
      </c>
      <c r="O56" s="65">
        <v>69.099999999999994</v>
      </c>
      <c r="P56" s="65">
        <v>69.099999999999994</v>
      </c>
      <c r="Q56" s="65">
        <v>54</v>
      </c>
      <c r="R56" s="65">
        <v>26.8</v>
      </c>
      <c r="S56" s="45">
        <v>25.3</v>
      </c>
      <c r="T56" s="45">
        <v>66</v>
      </c>
      <c r="U56" s="45">
        <v>52.5</v>
      </c>
      <c r="V56" s="45">
        <v>52.5</v>
      </c>
      <c r="W56" s="45">
        <v>71</v>
      </c>
      <c r="X56" s="45">
        <v>71</v>
      </c>
      <c r="Y56" s="45">
        <v>71</v>
      </c>
      <c r="Z56" s="45">
        <v>59</v>
      </c>
      <c r="AA56" s="45">
        <v>65.7</v>
      </c>
      <c r="AB56" s="45">
        <v>65.7</v>
      </c>
      <c r="AC56" s="45">
        <v>50</v>
      </c>
      <c r="AD56" s="45">
        <v>33</v>
      </c>
      <c r="AE56" s="45">
        <v>33</v>
      </c>
      <c r="AF56" s="45">
        <v>25.6</v>
      </c>
      <c r="AG56" s="55">
        <v>70</v>
      </c>
      <c r="AH56" s="47">
        <f t="shared" si="2"/>
        <v>71</v>
      </c>
      <c r="AI56" s="48">
        <f t="shared" si="3"/>
        <v>0</v>
      </c>
      <c r="AK56" s="50"/>
    </row>
    <row r="57" spans="1:41" x14ac:dyDescent="0.25">
      <c r="A57" s="54" t="s">
        <v>65</v>
      </c>
      <c r="B57" s="65">
        <v>34</v>
      </c>
      <c r="C57" s="65">
        <v>34</v>
      </c>
      <c r="D57" s="65">
        <v>34</v>
      </c>
      <c r="E57" s="65">
        <v>32</v>
      </c>
      <c r="F57" s="65">
        <v>32</v>
      </c>
      <c r="G57" s="65">
        <v>22</v>
      </c>
      <c r="H57" s="65">
        <v>16.5</v>
      </c>
      <c r="I57" s="65">
        <v>33.4</v>
      </c>
      <c r="J57" s="65">
        <v>55</v>
      </c>
      <c r="K57" s="65">
        <v>69</v>
      </c>
      <c r="L57" s="65">
        <v>69</v>
      </c>
      <c r="M57" s="65">
        <v>67.599999999999994</v>
      </c>
      <c r="N57" s="65">
        <v>67.599999999999994</v>
      </c>
      <c r="O57" s="65">
        <v>67.599999999999994</v>
      </c>
      <c r="P57" s="65">
        <v>67.599999999999994</v>
      </c>
      <c r="Q57" s="65">
        <v>52</v>
      </c>
      <c r="R57" s="65">
        <v>16</v>
      </c>
      <c r="S57" s="45">
        <v>23</v>
      </c>
      <c r="T57" s="45">
        <v>45</v>
      </c>
      <c r="U57" s="45">
        <v>45</v>
      </c>
      <c r="V57" s="45">
        <v>45</v>
      </c>
      <c r="W57" s="45">
        <v>67.099999999999994</v>
      </c>
      <c r="X57" s="45">
        <v>67.099999999999994</v>
      </c>
      <c r="Y57" s="45">
        <v>67.099999999999994</v>
      </c>
      <c r="Z57" s="45">
        <v>67.099999999999994</v>
      </c>
      <c r="AA57" s="45">
        <v>67.099999999999994</v>
      </c>
      <c r="AB57" s="45">
        <v>67.099999999999994</v>
      </c>
      <c r="AC57" s="45">
        <v>56</v>
      </c>
      <c r="AD57" s="45">
        <v>67</v>
      </c>
      <c r="AE57" s="45">
        <v>35</v>
      </c>
      <c r="AF57" s="45">
        <v>43</v>
      </c>
      <c r="AG57" s="55">
        <v>69</v>
      </c>
      <c r="AH57" s="47">
        <f t="shared" si="2"/>
        <v>69</v>
      </c>
      <c r="AI57" s="48">
        <f t="shared" si="3"/>
        <v>16</v>
      </c>
      <c r="AK57" s="50"/>
    </row>
    <row r="58" spans="1:41" x14ac:dyDescent="0.25">
      <c r="A58" s="54" t="s">
        <v>66</v>
      </c>
      <c r="B58" s="65">
        <v>58.5</v>
      </c>
      <c r="C58" s="65">
        <v>58.5</v>
      </c>
      <c r="D58" s="65">
        <v>58.5</v>
      </c>
      <c r="E58" s="65">
        <v>57.4</v>
      </c>
      <c r="F58" s="65">
        <v>57.4</v>
      </c>
      <c r="G58" s="57">
        <v>57.4</v>
      </c>
      <c r="H58" s="57">
        <v>57.4</v>
      </c>
      <c r="I58" s="57">
        <v>57.4</v>
      </c>
      <c r="J58" s="57">
        <v>57.4</v>
      </c>
      <c r="K58" s="57">
        <v>57.4</v>
      </c>
      <c r="L58" s="57">
        <v>57.4</v>
      </c>
      <c r="M58" s="57">
        <v>60</v>
      </c>
      <c r="N58" s="57">
        <v>60</v>
      </c>
      <c r="O58" s="57">
        <v>60</v>
      </c>
      <c r="P58" s="57">
        <v>60</v>
      </c>
      <c r="Q58" s="57">
        <v>60</v>
      </c>
      <c r="R58" s="57">
        <v>58.3</v>
      </c>
      <c r="S58" s="45">
        <v>55.7</v>
      </c>
      <c r="T58" s="45">
        <v>55.7</v>
      </c>
      <c r="U58" s="45">
        <v>55.7</v>
      </c>
      <c r="V58" s="45">
        <v>55.7</v>
      </c>
      <c r="W58" s="45">
        <v>55.7</v>
      </c>
      <c r="X58" s="45">
        <v>55.7</v>
      </c>
      <c r="Y58" s="45">
        <v>55.7</v>
      </c>
      <c r="Z58" s="45">
        <v>55.7</v>
      </c>
      <c r="AA58" s="45">
        <v>55.7</v>
      </c>
      <c r="AB58" s="45">
        <v>55.7</v>
      </c>
      <c r="AC58" s="45">
        <v>55.7</v>
      </c>
      <c r="AD58" s="45">
        <v>60</v>
      </c>
      <c r="AE58" s="45">
        <v>60</v>
      </c>
      <c r="AF58" s="45">
        <v>60</v>
      </c>
      <c r="AG58" s="55">
        <v>60</v>
      </c>
      <c r="AH58" s="47">
        <f t="shared" si="2"/>
        <v>60</v>
      </c>
      <c r="AI58" s="48">
        <f t="shared" si="3"/>
        <v>55.7</v>
      </c>
      <c r="AK58" s="50"/>
    </row>
    <row r="59" spans="1:41" x14ac:dyDescent="0.25">
      <c r="A59" s="54" t="s">
        <v>67</v>
      </c>
      <c r="B59" s="65">
        <v>0</v>
      </c>
      <c r="C59" s="65">
        <v>0</v>
      </c>
      <c r="D59" s="65">
        <v>0</v>
      </c>
      <c r="E59" s="65">
        <v>0</v>
      </c>
      <c r="F59" s="65">
        <v>15</v>
      </c>
      <c r="G59" s="57">
        <v>15</v>
      </c>
      <c r="H59" s="57">
        <v>15</v>
      </c>
      <c r="I59" s="57">
        <v>15</v>
      </c>
      <c r="J59" s="57">
        <v>15</v>
      </c>
      <c r="K59" s="57">
        <v>27</v>
      </c>
      <c r="L59" s="57">
        <v>27</v>
      </c>
      <c r="M59" s="57">
        <v>27</v>
      </c>
      <c r="N59" s="57">
        <v>15</v>
      </c>
      <c r="O59" s="57">
        <v>10</v>
      </c>
      <c r="P59" s="57">
        <v>10</v>
      </c>
      <c r="Q59" s="57">
        <v>10</v>
      </c>
      <c r="R59" s="57">
        <v>10</v>
      </c>
      <c r="S59" s="57">
        <v>10</v>
      </c>
      <c r="T59" s="45">
        <v>10</v>
      </c>
      <c r="U59" s="45">
        <v>10</v>
      </c>
      <c r="V59" s="45">
        <v>0</v>
      </c>
      <c r="W59" s="45">
        <v>15</v>
      </c>
      <c r="X59" s="45">
        <v>15</v>
      </c>
      <c r="Y59" s="45">
        <v>15</v>
      </c>
      <c r="Z59" s="45">
        <v>15</v>
      </c>
      <c r="AA59" s="45">
        <v>15</v>
      </c>
      <c r="AB59" s="45">
        <v>15</v>
      </c>
      <c r="AC59" s="45">
        <v>15</v>
      </c>
      <c r="AD59" s="45">
        <v>10</v>
      </c>
      <c r="AE59" s="45">
        <v>10</v>
      </c>
      <c r="AF59" s="45">
        <v>0</v>
      </c>
      <c r="AG59" s="55">
        <v>30</v>
      </c>
      <c r="AH59" s="47">
        <f t="shared" si="2"/>
        <v>27</v>
      </c>
      <c r="AI59" s="48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1.5</v>
      </c>
      <c r="N60" s="65">
        <v>2.5</v>
      </c>
      <c r="O60" s="65">
        <v>2.5</v>
      </c>
      <c r="P60" s="65">
        <v>12</v>
      </c>
      <c r="Q60" s="65">
        <v>14</v>
      </c>
      <c r="R60" s="65">
        <v>14</v>
      </c>
      <c r="S60" s="65">
        <v>10</v>
      </c>
      <c r="T60" s="65">
        <v>6</v>
      </c>
      <c r="U60" s="65">
        <v>2</v>
      </c>
      <c r="V60" s="65">
        <v>0.8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25</v>
      </c>
      <c r="AH60" s="47">
        <f t="shared" si="2"/>
        <v>14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4" t="s">
        <v>70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5">
        <v>15</v>
      </c>
      <c r="AH62" s="47">
        <f t="shared" si="2"/>
        <v>0</v>
      </c>
      <c r="AI62" s="48">
        <f t="shared" si="3"/>
        <v>0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13.7</v>
      </c>
      <c r="C63" s="65">
        <v>13.7</v>
      </c>
      <c r="D63" s="65">
        <v>13.7</v>
      </c>
      <c r="E63" s="65">
        <v>13.7</v>
      </c>
      <c r="F63" s="65">
        <v>13.7</v>
      </c>
      <c r="G63" s="65">
        <v>12.8</v>
      </c>
      <c r="H63" s="65">
        <v>12.8</v>
      </c>
      <c r="I63" s="65">
        <v>12.8</v>
      </c>
      <c r="J63" s="65">
        <v>12.8</v>
      </c>
      <c r="K63" s="65">
        <v>12.8</v>
      </c>
      <c r="L63" s="65">
        <v>12.8</v>
      </c>
      <c r="M63" s="65">
        <v>12.2</v>
      </c>
      <c r="N63" s="65">
        <v>12.2</v>
      </c>
      <c r="O63" s="65">
        <v>12.2</v>
      </c>
      <c r="P63" s="65">
        <v>12.2</v>
      </c>
      <c r="Q63" s="65">
        <v>12.2</v>
      </c>
      <c r="R63" s="65">
        <v>12.9</v>
      </c>
      <c r="S63" s="65">
        <v>12.9</v>
      </c>
      <c r="T63" s="65">
        <v>12.9</v>
      </c>
      <c r="U63" s="65">
        <v>12.9</v>
      </c>
      <c r="V63" s="65">
        <v>12.9</v>
      </c>
      <c r="W63" s="65">
        <v>12.9</v>
      </c>
      <c r="X63" s="65">
        <v>12.9</v>
      </c>
      <c r="Y63" s="65">
        <v>12.9</v>
      </c>
      <c r="Z63" s="65">
        <v>12.9</v>
      </c>
      <c r="AA63" s="65">
        <v>12.9</v>
      </c>
      <c r="AB63" s="65">
        <v>12.9</v>
      </c>
      <c r="AC63" s="65">
        <v>12.9</v>
      </c>
      <c r="AD63" s="65">
        <v>12.9</v>
      </c>
      <c r="AE63" s="65">
        <v>12.9</v>
      </c>
      <c r="AF63" s="65">
        <v>12.9</v>
      </c>
      <c r="AG63" s="55">
        <v>14.1</v>
      </c>
      <c r="AH63" s="47">
        <f t="shared" si="2"/>
        <v>13.7</v>
      </c>
      <c r="AI63" s="48">
        <f t="shared" si="3"/>
        <v>12.2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6.7</v>
      </c>
      <c r="C64" s="65">
        <v>6.7</v>
      </c>
      <c r="D64" s="65">
        <v>6.7</v>
      </c>
      <c r="E64" s="65">
        <v>6.7</v>
      </c>
      <c r="F64" s="65">
        <v>6.7</v>
      </c>
      <c r="G64" s="65">
        <v>6.7</v>
      </c>
      <c r="H64" s="65">
        <v>6.7</v>
      </c>
      <c r="I64" s="65">
        <v>6.7</v>
      </c>
      <c r="J64" s="65">
        <v>6.7</v>
      </c>
      <c r="K64" s="65">
        <v>6.7</v>
      </c>
      <c r="L64" s="65">
        <v>6.7</v>
      </c>
      <c r="M64" s="65">
        <v>6.6</v>
      </c>
      <c r="N64" s="65">
        <v>6.6</v>
      </c>
      <c r="O64" s="65">
        <v>6.6</v>
      </c>
      <c r="P64" s="65">
        <v>6.6</v>
      </c>
      <c r="Q64" s="65">
        <v>6.6</v>
      </c>
      <c r="R64" s="65">
        <v>5.5</v>
      </c>
      <c r="S64" s="65">
        <v>5.5</v>
      </c>
      <c r="T64" s="65">
        <v>5.5</v>
      </c>
      <c r="U64" s="65">
        <v>5.7</v>
      </c>
      <c r="V64" s="65">
        <v>5.7</v>
      </c>
      <c r="W64" s="65">
        <v>5.7</v>
      </c>
      <c r="X64" s="65">
        <v>5.7</v>
      </c>
      <c r="Y64" s="65">
        <v>5.7</v>
      </c>
      <c r="Z64" s="65">
        <v>5.7</v>
      </c>
      <c r="AA64" s="65">
        <v>5.7</v>
      </c>
      <c r="AB64" s="65">
        <v>5.7</v>
      </c>
      <c r="AC64" s="65">
        <v>5.7</v>
      </c>
      <c r="AD64" s="65">
        <v>5.7</v>
      </c>
      <c r="AE64" s="65">
        <v>5.7</v>
      </c>
      <c r="AF64" s="65">
        <v>5.7</v>
      </c>
      <c r="AG64" s="55">
        <v>14</v>
      </c>
      <c r="AH64" s="47">
        <f t="shared" si="2"/>
        <v>6.7</v>
      </c>
      <c r="AI64" s="48">
        <f t="shared" si="3"/>
        <v>5.5</v>
      </c>
      <c r="AK64" s="50"/>
    </row>
    <row r="65" spans="1:40" x14ac:dyDescent="0.25">
      <c r="A65" s="54" t="s">
        <v>73</v>
      </c>
      <c r="B65" s="65">
        <v>6.5</v>
      </c>
      <c r="C65" s="65">
        <v>6.5</v>
      </c>
      <c r="D65" s="65">
        <v>6.5</v>
      </c>
      <c r="E65" s="65">
        <v>6.5</v>
      </c>
      <c r="F65" s="65">
        <v>6.5</v>
      </c>
      <c r="G65" s="65">
        <v>6.5</v>
      </c>
      <c r="H65" s="65">
        <v>6.5</v>
      </c>
      <c r="I65" s="65">
        <v>6.5</v>
      </c>
      <c r="J65" s="65">
        <v>6.5</v>
      </c>
      <c r="K65" s="65">
        <v>6.5</v>
      </c>
      <c r="L65" s="65">
        <v>6.5</v>
      </c>
      <c r="M65" s="65">
        <v>6.5</v>
      </c>
      <c r="N65" s="65">
        <v>6.5</v>
      </c>
      <c r="O65" s="65">
        <v>6.5</v>
      </c>
      <c r="P65" s="65">
        <v>6.5</v>
      </c>
      <c r="Q65" s="65">
        <v>6.5</v>
      </c>
      <c r="R65" s="65">
        <v>6.5</v>
      </c>
      <c r="S65" s="65">
        <v>6.5</v>
      </c>
      <c r="T65" s="65">
        <v>6.5</v>
      </c>
      <c r="U65" s="65">
        <v>6.5</v>
      </c>
      <c r="V65" s="65">
        <v>6.5</v>
      </c>
      <c r="W65" s="65">
        <v>6.5</v>
      </c>
      <c r="X65" s="65">
        <v>6.5</v>
      </c>
      <c r="Y65" s="65">
        <v>6.5</v>
      </c>
      <c r="Z65" s="65">
        <v>6.5</v>
      </c>
      <c r="AA65" s="65">
        <v>6.5</v>
      </c>
      <c r="AB65" s="65">
        <v>6.5</v>
      </c>
      <c r="AC65" s="65">
        <v>6.5</v>
      </c>
      <c r="AD65" s="65">
        <v>6.5</v>
      </c>
      <c r="AE65" s="65">
        <v>6.5</v>
      </c>
      <c r="AF65" s="65">
        <v>6.5</v>
      </c>
      <c r="AG65" s="55">
        <v>10.050000000000001</v>
      </c>
      <c r="AH65" s="47">
        <f t="shared" si="2"/>
        <v>6.5</v>
      </c>
      <c r="AI65" s="48">
        <f t="shared" si="3"/>
        <v>6.5</v>
      </c>
      <c r="AK65" s="50"/>
    </row>
    <row r="66" spans="1:40" x14ac:dyDescent="0.25">
      <c r="A66" s="54" t="s">
        <v>74</v>
      </c>
      <c r="B66" s="65">
        <v>3.52</v>
      </c>
      <c r="C66" s="65">
        <v>3.52</v>
      </c>
      <c r="D66" s="65">
        <v>3.52</v>
      </c>
      <c r="E66" s="65">
        <v>3.52</v>
      </c>
      <c r="F66" s="65">
        <v>3.52</v>
      </c>
      <c r="G66" s="65">
        <v>3.52</v>
      </c>
      <c r="H66" s="65">
        <v>3.52</v>
      </c>
      <c r="I66" s="65">
        <v>3.52</v>
      </c>
      <c r="J66" s="65">
        <v>3.52</v>
      </c>
      <c r="K66" s="65">
        <v>3.52</v>
      </c>
      <c r="L66" s="65">
        <v>3.52</v>
      </c>
      <c r="M66" s="65">
        <v>3.52</v>
      </c>
      <c r="N66" s="65">
        <v>3.52</v>
      </c>
      <c r="O66" s="65">
        <v>3.52</v>
      </c>
      <c r="P66" s="65">
        <v>3.52</v>
      </c>
      <c r="Q66" s="65">
        <v>3.52</v>
      </c>
      <c r="R66" s="65">
        <v>3.52</v>
      </c>
      <c r="S66" s="65">
        <v>3.52</v>
      </c>
      <c r="T66" s="65">
        <v>3.52</v>
      </c>
      <c r="U66" s="65">
        <v>3.52</v>
      </c>
      <c r="V66" s="65">
        <v>3.52</v>
      </c>
      <c r="W66" s="65">
        <v>3.52</v>
      </c>
      <c r="X66" s="65">
        <v>3.52</v>
      </c>
      <c r="Y66" s="65">
        <v>3.52</v>
      </c>
      <c r="Z66" s="65">
        <v>3.52</v>
      </c>
      <c r="AA66" s="65">
        <v>3.52</v>
      </c>
      <c r="AB66" s="65">
        <v>3.52</v>
      </c>
      <c r="AC66" s="65">
        <v>3.52</v>
      </c>
      <c r="AD66" s="65">
        <v>3.52</v>
      </c>
      <c r="AE66" s="65">
        <v>3.52</v>
      </c>
      <c r="AF66" s="65">
        <v>3.52</v>
      </c>
      <c r="AG66" s="55">
        <v>6.2</v>
      </c>
      <c r="AH66" s="47">
        <f t="shared" si="2"/>
        <v>3.52</v>
      </c>
      <c r="AI66" s="48">
        <f t="shared" si="3"/>
        <v>3.52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4" t="s">
        <v>76</v>
      </c>
      <c r="B68" s="60">
        <f t="shared" ref="B68:AG68" si="21">SUM(B55:B67)</f>
        <v>142.46</v>
      </c>
      <c r="C68" s="60">
        <f t="shared" si="21"/>
        <v>142.46</v>
      </c>
      <c r="D68" s="60">
        <f t="shared" si="21"/>
        <v>167.45999999999998</v>
      </c>
      <c r="E68" s="60">
        <f t="shared" si="21"/>
        <v>164.35999999999999</v>
      </c>
      <c r="F68" s="60">
        <f t="shared" si="21"/>
        <v>179.35999999999999</v>
      </c>
      <c r="G68" s="60">
        <f t="shared" si="21"/>
        <v>225.46</v>
      </c>
      <c r="H68" s="60">
        <f t="shared" si="21"/>
        <v>223.96</v>
      </c>
      <c r="I68" s="60">
        <f t="shared" si="21"/>
        <v>243.26000000000002</v>
      </c>
      <c r="J68" s="60">
        <f t="shared" si="21"/>
        <v>336.46</v>
      </c>
      <c r="K68" s="60">
        <f t="shared" si="21"/>
        <v>416.46</v>
      </c>
      <c r="L68" s="60">
        <f t="shared" si="21"/>
        <v>416.46</v>
      </c>
      <c r="M68" s="60">
        <f t="shared" ref="M68:O68" si="22">SUM(M55:M67)</f>
        <v>418.86</v>
      </c>
      <c r="N68" s="60">
        <f t="shared" si="22"/>
        <v>407.86</v>
      </c>
      <c r="O68" s="60">
        <f t="shared" si="22"/>
        <v>402.86</v>
      </c>
      <c r="P68" s="60">
        <f t="shared" ref="P68:Q68" si="23">SUM(P55:P67)</f>
        <v>357.06</v>
      </c>
      <c r="Q68" s="60">
        <f t="shared" si="23"/>
        <v>298.36</v>
      </c>
      <c r="R68" s="60">
        <f t="shared" si="21"/>
        <v>233.96</v>
      </c>
      <c r="S68" s="60">
        <f t="shared" si="21"/>
        <v>231.96</v>
      </c>
      <c r="T68" s="60">
        <f t="shared" si="21"/>
        <v>279.45999999999998</v>
      </c>
      <c r="U68" s="60">
        <f t="shared" si="21"/>
        <v>304.76</v>
      </c>
      <c r="V68" s="60">
        <f t="shared" si="21"/>
        <v>293.56</v>
      </c>
      <c r="W68" s="60">
        <f t="shared" si="21"/>
        <v>400.96</v>
      </c>
      <c r="X68" s="60">
        <f t="shared" si="21"/>
        <v>400.96</v>
      </c>
      <c r="Y68" s="60">
        <f t="shared" si="21"/>
        <v>400.96</v>
      </c>
      <c r="Z68" s="60">
        <f t="shared" si="21"/>
        <v>388.96</v>
      </c>
      <c r="AA68" s="60">
        <f t="shared" si="21"/>
        <v>395.65999999999991</v>
      </c>
      <c r="AB68" s="60">
        <f t="shared" ref="AB68:AC68" si="24">SUM(AB55:AB67)</f>
        <v>395.65999999999991</v>
      </c>
      <c r="AC68" s="60">
        <f t="shared" si="24"/>
        <v>344.85999999999996</v>
      </c>
      <c r="AD68" s="60">
        <f t="shared" ref="AD68:AE68" si="25">SUM(AD55:AD67)</f>
        <v>318.15999999999997</v>
      </c>
      <c r="AE68" s="60">
        <f t="shared" si="25"/>
        <v>246.16</v>
      </c>
      <c r="AF68" s="60">
        <f t="shared" ref="AF68" si="26">SUM(AF55:AF67)</f>
        <v>206.76</v>
      </c>
      <c r="AG68" s="61">
        <f t="shared" si="21"/>
        <v>489.91</v>
      </c>
      <c r="AH68" s="47">
        <f t="shared" si="2"/>
        <v>418.86</v>
      </c>
      <c r="AI68" s="48">
        <f t="shared" si="3"/>
        <v>142.46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0</v>
      </c>
      <c r="N69" s="45">
        <v>14</v>
      </c>
      <c r="O69" s="45">
        <v>14</v>
      </c>
      <c r="P69" s="45">
        <v>14</v>
      </c>
      <c r="Q69" s="45">
        <v>14</v>
      </c>
      <c r="R69" s="45">
        <v>0</v>
      </c>
      <c r="S69" s="45">
        <v>0</v>
      </c>
      <c r="T69" s="45">
        <v>0</v>
      </c>
      <c r="U69" s="45">
        <v>0.1</v>
      </c>
      <c r="V69" s="45">
        <v>0</v>
      </c>
      <c r="W69" s="45">
        <v>14.1</v>
      </c>
      <c r="X69" s="45">
        <v>59.3</v>
      </c>
      <c r="Y69" s="45">
        <v>40.299999999999997</v>
      </c>
      <c r="Z69" s="45">
        <v>10.4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2">
        <v>60</v>
      </c>
      <c r="AH69" s="47">
        <f t="shared" si="2"/>
        <v>59.3</v>
      </c>
      <c r="AI69" s="48">
        <f t="shared" si="3"/>
        <v>0</v>
      </c>
      <c r="AK69" s="50"/>
    </row>
    <row r="70" spans="1:40" x14ac:dyDescent="0.25">
      <c r="A70" s="54" t="s">
        <v>78</v>
      </c>
      <c r="B70" s="45"/>
      <c r="C70" s="45"/>
      <c r="D70" s="65"/>
      <c r="E70" s="65"/>
      <c r="F70" s="65"/>
      <c r="G70" s="65"/>
      <c r="H70" s="65"/>
      <c r="I70" s="65"/>
      <c r="J70" s="65"/>
      <c r="K70" s="65"/>
      <c r="L70" s="65"/>
      <c r="M70" s="65">
        <v>0</v>
      </c>
      <c r="N70" s="65">
        <v>7</v>
      </c>
      <c r="O70" s="65">
        <v>7</v>
      </c>
      <c r="P70" s="65">
        <v>7</v>
      </c>
      <c r="Q70" s="65">
        <v>7</v>
      </c>
      <c r="R70" s="65">
        <v>0</v>
      </c>
      <c r="S70" s="65">
        <v>0</v>
      </c>
      <c r="T70" s="65">
        <v>0</v>
      </c>
      <c r="U70" s="65">
        <v>5.2</v>
      </c>
      <c r="V70" s="65">
        <v>0</v>
      </c>
      <c r="W70" s="65">
        <v>1.7</v>
      </c>
      <c r="X70" s="65">
        <v>26.3</v>
      </c>
      <c r="Y70" s="65">
        <v>17.399999999999999</v>
      </c>
      <c r="Z70" s="65">
        <v>13.5</v>
      </c>
      <c r="AA70" s="65">
        <v>4.5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55">
        <v>32</v>
      </c>
      <c r="AH70" s="47">
        <f t="shared" si="2"/>
        <v>26.3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45"/>
      <c r="C71" s="45"/>
      <c r="D71" s="67"/>
      <c r="E71" s="67"/>
      <c r="F71" s="67"/>
      <c r="G71" s="67"/>
      <c r="H71" s="67"/>
      <c r="I71" s="67"/>
      <c r="J71" s="67"/>
      <c r="K71" s="67"/>
      <c r="L71" s="67"/>
      <c r="M71" s="67">
        <v>0</v>
      </c>
      <c r="N71" s="67">
        <v>2</v>
      </c>
      <c r="O71" s="67">
        <v>2</v>
      </c>
      <c r="P71" s="67">
        <v>2</v>
      </c>
      <c r="Q71" s="67">
        <v>2</v>
      </c>
      <c r="R71" s="67">
        <v>0</v>
      </c>
      <c r="S71" s="67">
        <v>0</v>
      </c>
      <c r="T71" s="67">
        <v>0</v>
      </c>
      <c r="U71" s="67">
        <v>1.9</v>
      </c>
      <c r="V71" s="67">
        <v>0</v>
      </c>
      <c r="W71" s="67">
        <v>0</v>
      </c>
      <c r="X71" s="67">
        <v>9.6</v>
      </c>
      <c r="Y71" s="67">
        <v>6.3</v>
      </c>
      <c r="Z71" s="67">
        <v>4.9000000000000004</v>
      </c>
      <c r="AA71" s="67">
        <v>1.6</v>
      </c>
      <c r="AB71" s="67">
        <v>0</v>
      </c>
      <c r="AC71" s="67">
        <v>0</v>
      </c>
      <c r="AD71" s="67">
        <v>0</v>
      </c>
      <c r="AE71" s="67">
        <v>0</v>
      </c>
      <c r="AF71" s="67">
        <v>0</v>
      </c>
      <c r="AG71" s="68">
        <v>14</v>
      </c>
      <c r="AH71" s="47">
        <f t="shared" si="2"/>
        <v>9.6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 t="shared" ref="B72:AA72" si="27">B69+B70+B71</f>
        <v>0</v>
      </c>
      <c r="C72" s="60">
        <f t="shared" si="27"/>
        <v>0</v>
      </c>
      <c r="D72" s="60">
        <f t="shared" si="27"/>
        <v>0</v>
      </c>
      <c r="E72" s="60">
        <f t="shared" si="27"/>
        <v>0</v>
      </c>
      <c r="F72" s="60">
        <f t="shared" si="27"/>
        <v>0</v>
      </c>
      <c r="G72" s="60">
        <f t="shared" si="27"/>
        <v>0</v>
      </c>
      <c r="H72" s="60">
        <f t="shared" si="27"/>
        <v>0</v>
      </c>
      <c r="I72" s="60">
        <f t="shared" si="27"/>
        <v>0</v>
      </c>
      <c r="J72" s="60">
        <f t="shared" si="27"/>
        <v>0</v>
      </c>
      <c r="K72" s="60">
        <f t="shared" si="27"/>
        <v>0</v>
      </c>
      <c r="L72" s="60">
        <f t="shared" si="27"/>
        <v>0</v>
      </c>
      <c r="M72" s="60">
        <f t="shared" ref="M72:O72" si="28">M69+M70+M71</f>
        <v>0</v>
      </c>
      <c r="N72" s="60">
        <f t="shared" si="28"/>
        <v>23</v>
      </c>
      <c r="O72" s="60">
        <f t="shared" si="28"/>
        <v>23</v>
      </c>
      <c r="P72" s="60">
        <f t="shared" ref="P72:Q72" si="29">P69+P70+P71</f>
        <v>23</v>
      </c>
      <c r="Q72" s="60">
        <f t="shared" si="29"/>
        <v>23</v>
      </c>
      <c r="R72" s="60">
        <f t="shared" si="27"/>
        <v>0</v>
      </c>
      <c r="S72" s="60">
        <f t="shared" si="27"/>
        <v>0</v>
      </c>
      <c r="T72" s="60">
        <f t="shared" si="27"/>
        <v>0</v>
      </c>
      <c r="U72" s="60">
        <f t="shared" si="27"/>
        <v>7.1999999999999993</v>
      </c>
      <c r="V72" s="60">
        <f t="shared" si="27"/>
        <v>0</v>
      </c>
      <c r="W72" s="60">
        <f t="shared" si="27"/>
        <v>15.799999999999999</v>
      </c>
      <c r="X72" s="60">
        <f t="shared" si="27"/>
        <v>95.199999999999989</v>
      </c>
      <c r="Y72" s="60">
        <f t="shared" si="27"/>
        <v>63.999999999999993</v>
      </c>
      <c r="Z72" s="60">
        <f t="shared" si="27"/>
        <v>28.799999999999997</v>
      </c>
      <c r="AA72" s="60">
        <f t="shared" si="27"/>
        <v>6.1</v>
      </c>
      <c r="AB72" s="60">
        <f t="shared" ref="AB72:AC72" si="30">AB69+AB70+AB71</f>
        <v>0</v>
      </c>
      <c r="AC72" s="60">
        <f t="shared" si="30"/>
        <v>0</v>
      </c>
      <c r="AD72" s="60">
        <f t="shared" ref="AD72:AE72" si="31">AD69+AD70+AD71</f>
        <v>0</v>
      </c>
      <c r="AE72" s="60">
        <f t="shared" si="31"/>
        <v>0</v>
      </c>
      <c r="AF72" s="60">
        <f t="shared" ref="AF72" si="32">AF69+AF70+AF71</f>
        <v>0</v>
      </c>
      <c r="AG72" s="61">
        <f>SUM(AG69:AG71)</f>
        <v>106</v>
      </c>
      <c r="AH72" s="47">
        <f t="shared" si="2"/>
        <v>95.199999999999989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26</v>
      </c>
      <c r="C73" s="45">
        <v>30</v>
      </c>
      <c r="D73" s="45">
        <v>44</v>
      </c>
      <c r="E73" s="45">
        <v>48</v>
      </c>
      <c r="F73" s="45">
        <v>59</v>
      </c>
      <c r="G73" s="45">
        <v>56</v>
      </c>
      <c r="H73" s="45">
        <v>52</v>
      </c>
      <c r="I73" s="45">
        <v>53.9</v>
      </c>
      <c r="J73" s="45">
        <v>54</v>
      </c>
      <c r="K73" s="45">
        <v>59</v>
      </c>
      <c r="L73" s="45">
        <v>57.3</v>
      </c>
      <c r="M73" s="45">
        <v>50.7</v>
      </c>
      <c r="N73" s="45">
        <v>20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45">
        <v>0</v>
      </c>
      <c r="AC73" s="45">
        <v>0</v>
      </c>
      <c r="AD73" s="45">
        <v>0</v>
      </c>
      <c r="AE73" s="45">
        <v>0</v>
      </c>
      <c r="AF73" s="45">
        <v>0</v>
      </c>
      <c r="AG73" s="52"/>
      <c r="AH73" s="47">
        <f t="shared" si="2"/>
        <v>59</v>
      </c>
      <c r="AI73" s="48">
        <f t="shared" si="3"/>
        <v>0</v>
      </c>
      <c r="AK73" s="50"/>
    </row>
    <row r="74" spans="1:40" x14ac:dyDescent="0.25">
      <c r="A74" s="54" t="s">
        <v>82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190</v>
      </c>
      <c r="C75" s="65">
        <v>142</v>
      </c>
      <c r="D75" s="65">
        <v>146</v>
      </c>
      <c r="E75" s="65">
        <v>160</v>
      </c>
      <c r="F75" s="65">
        <v>156</v>
      </c>
      <c r="G75" s="65">
        <v>186</v>
      </c>
      <c r="H75" s="65">
        <v>208</v>
      </c>
      <c r="I75" s="65">
        <v>215</v>
      </c>
      <c r="J75" s="65">
        <v>225</v>
      </c>
      <c r="K75" s="65">
        <v>159</v>
      </c>
      <c r="L75" s="65">
        <v>59.8</v>
      </c>
      <c r="M75" s="65">
        <v>22.7</v>
      </c>
      <c r="N75" s="65">
        <v>50</v>
      </c>
      <c r="O75" s="65">
        <v>280</v>
      </c>
      <c r="P75" s="65">
        <v>290</v>
      </c>
      <c r="Q75" s="65">
        <v>300</v>
      </c>
      <c r="R75" s="65">
        <v>315</v>
      </c>
      <c r="S75" s="65">
        <v>321.60000000000002</v>
      </c>
      <c r="T75" s="65">
        <v>300</v>
      </c>
      <c r="U75" s="65">
        <v>306</v>
      </c>
      <c r="V75" s="65">
        <v>124</v>
      </c>
      <c r="W75" s="65">
        <v>6.2</v>
      </c>
      <c r="X75" s="65">
        <v>-3.5</v>
      </c>
      <c r="Y75" s="65">
        <v>7.8</v>
      </c>
      <c r="Z75" s="65">
        <v>34</v>
      </c>
      <c r="AA75" s="65">
        <v>138</v>
      </c>
      <c r="AB75" s="65">
        <v>160</v>
      </c>
      <c r="AC75" s="65">
        <v>161</v>
      </c>
      <c r="AD75" s="65">
        <v>166</v>
      </c>
      <c r="AE75" s="65">
        <v>155</v>
      </c>
      <c r="AF75" s="65">
        <v>175</v>
      </c>
      <c r="AG75" s="75"/>
      <c r="AH75" s="47">
        <f t="shared" si="2"/>
        <v>321.60000000000002</v>
      </c>
      <c r="AI75" s="48">
        <f t="shared" si="3"/>
        <v>-3.5</v>
      </c>
      <c r="AK75" s="50"/>
    </row>
    <row r="76" spans="1:40" x14ac:dyDescent="0.25">
      <c r="A76" s="54" t="s">
        <v>84</v>
      </c>
      <c r="B76" s="65"/>
      <c r="C76" s="65"/>
      <c r="D76" s="65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/>
      <c r="C77" s="45"/>
      <c r="D77" s="6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2" si="33">MAX(B77:AF77)</f>
        <v>0</v>
      </c>
      <c r="AI77" s="48">
        <f t="shared" ref="AI77:AI122" si="34">MIN(B77:AF77)</f>
        <v>0</v>
      </c>
      <c r="AK77" s="50"/>
    </row>
    <row r="78" spans="1:40" x14ac:dyDescent="0.25">
      <c r="A78" s="54" t="s">
        <v>86</v>
      </c>
      <c r="B78" s="45"/>
      <c r="C78" s="77"/>
      <c r="D78" s="65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33"/>
        <v>0</v>
      </c>
      <c r="AI78" s="48">
        <f t="shared" si="34"/>
        <v>0</v>
      </c>
      <c r="AK78" s="50"/>
    </row>
    <row r="79" spans="1:40" ht="15.75" thickBot="1" x14ac:dyDescent="0.3">
      <c r="A79" s="54" t="s">
        <v>87</v>
      </c>
      <c r="B79" s="45"/>
      <c r="C79" s="77"/>
      <c r="D79" s="65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33"/>
        <v>0</v>
      </c>
      <c r="AI79" s="48">
        <f t="shared" si="34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/>
      <c r="C80" s="77"/>
      <c r="D80" s="65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33"/>
        <v>0</v>
      </c>
      <c r="AI80" s="48">
        <f t="shared" si="34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/>
      <c r="C81" s="77"/>
      <c r="D81" s="65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33"/>
        <v>0</v>
      </c>
      <c r="AI81" s="48">
        <f t="shared" si="34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/>
      <c r="C82" s="77"/>
      <c r="D82" s="65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33"/>
        <v>0</v>
      </c>
      <c r="AI82" s="48">
        <f t="shared" si="34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/>
      <c r="C83" s="77"/>
      <c r="D83" s="65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33"/>
        <v>0</v>
      </c>
      <c r="AI83" s="48">
        <f t="shared" si="34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AA84" si="35">SUMIF(B73:B83,"&gt;0")</f>
        <v>216</v>
      </c>
      <c r="C84" s="60">
        <f t="shared" si="35"/>
        <v>172</v>
      </c>
      <c r="D84" s="60">
        <f t="shared" si="35"/>
        <v>190</v>
      </c>
      <c r="E84" s="60">
        <f t="shared" si="35"/>
        <v>208</v>
      </c>
      <c r="F84" s="60">
        <f t="shared" si="35"/>
        <v>215</v>
      </c>
      <c r="G84" s="60">
        <f t="shared" si="35"/>
        <v>242</v>
      </c>
      <c r="H84" s="60">
        <f t="shared" si="35"/>
        <v>260</v>
      </c>
      <c r="I84" s="60">
        <f t="shared" si="35"/>
        <v>268.89999999999998</v>
      </c>
      <c r="J84" s="60">
        <f t="shared" si="35"/>
        <v>279</v>
      </c>
      <c r="K84" s="60">
        <f t="shared" si="35"/>
        <v>218</v>
      </c>
      <c r="L84" s="60">
        <f t="shared" si="35"/>
        <v>117.1</v>
      </c>
      <c r="M84" s="60">
        <f t="shared" si="35"/>
        <v>73.400000000000006</v>
      </c>
      <c r="N84" s="60">
        <f t="shared" ref="N84:O84" si="36">SUMIF(N73:N83,"&gt;0")</f>
        <v>70</v>
      </c>
      <c r="O84" s="60">
        <f t="shared" si="36"/>
        <v>280</v>
      </c>
      <c r="P84" s="60">
        <f t="shared" ref="P84:Q84" si="37">SUMIF(P73:P83,"&gt;0")</f>
        <v>290</v>
      </c>
      <c r="Q84" s="60">
        <f t="shared" si="37"/>
        <v>300</v>
      </c>
      <c r="R84" s="60">
        <f t="shared" si="35"/>
        <v>315</v>
      </c>
      <c r="S84" s="60">
        <f t="shared" si="35"/>
        <v>321.60000000000002</v>
      </c>
      <c r="T84" s="60">
        <f t="shared" si="35"/>
        <v>300</v>
      </c>
      <c r="U84" s="60">
        <f t="shared" si="35"/>
        <v>306</v>
      </c>
      <c r="V84" s="60">
        <f t="shared" si="35"/>
        <v>124</v>
      </c>
      <c r="W84" s="60">
        <f t="shared" si="35"/>
        <v>6.2</v>
      </c>
      <c r="X84" s="60">
        <f t="shared" si="35"/>
        <v>0</v>
      </c>
      <c r="Y84" s="60">
        <f t="shared" si="35"/>
        <v>7.8</v>
      </c>
      <c r="Z84" s="60">
        <f t="shared" si="35"/>
        <v>34</v>
      </c>
      <c r="AA84" s="60">
        <f t="shared" si="35"/>
        <v>138</v>
      </c>
      <c r="AB84" s="60">
        <f t="shared" ref="AB84:AC84" si="38">SUMIF(AB73:AB83,"&gt;0")</f>
        <v>160</v>
      </c>
      <c r="AC84" s="60">
        <f t="shared" si="38"/>
        <v>161</v>
      </c>
      <c r="AD84" s="60">
        <f t="shared" ref="AD84:AE84" si="39">SUMIF(AD73:AD83,"&gt;0")</f>
        <v>166</v>
      </c>
      <c r="AE84" s="60">
        <f t="shared" si="39"/>
        <v>155</v>
      </c>
      <c r="AF84" s="60">
        <f t="shared" ref="AF84" si="40">SUMIF(AF73:AF83,"&gt;0")</f>
        <v>175</v>
      </c>
      <c r="AG84" s="88">
        <f>SUM(AG73:AG83)</f>
        <v>0</v>
      </c>
      <c r="AH84" s="47">
        <f t="shared" si="33"/>
        <v>321.60000000000002</v>
      </c>
      <c r="AI84" s="48">
        <f t="shared" si="34"/>
        <v>0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33"/>
        <v>0</v>
      </c>
      <c r="AI85" s="48">
        <f t="shared" si="34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33"/>
        <v>0</v>
      </c>
      <c r="AI86" s="48">
        <f t="shared" si="34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33"/>
        <v>0</v>
      </c>
      <c r="AI87" s="48">
        <f t="shared" si="34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33"/>
        <v>0</v>
      </c>
      <c r="AI88" s="48">
        <f t="shared" si="34"/>
        <v>0</v>
      </c>
    </row>
    <row r="89" spans="1:40" ht="15.75" thickBot="1" x14ac:dyDescent="0.3">
      <c r="A89" s="74" t="s">
        <v>100</v>
      </c>
      <c r="B89" s="95">
        <f t="shared" ref="B89:AG89" si="41">B50+B54+B72+B68+B84+B88</f>
        <v>1092.3600000000001</v>
      </c>
      <c r="C89" s="95">
        <f t="shared" si="41"/>
        <v>1048.3600000000001</v>
      </c>
      <c r="D89" s="95">
        <f t="shared" si="41"/>
        <v>1076.3600000000001</v>
      </c>
      <c r="E89" s="95">
        <f t="shared" si="41"/>
        <v>1118.46</v>
      </c>
      <c r="F89" s="95">
        <f t="shared" si="41"/>
        <v>1140.46</v>
      </c>
      <c r="G89" s="95">
        <f t="shared" si="41"/>
        <v>1213.46</v>
      </c>
      <c r="H89" s="95">
        <f t="shared" si="41"/>
        <v>1259.02</v>
      </c>
      <c r="I89" s="95">
        <f t="shared" si="41"/>
        <v>1343.2599999999998</v>
      </c>
      <c r="J89" s="95">
        <f t="shared" si="41"/>
        <v>1506.56</v>
      </c>
      <c r="K89" s="95">
        <f t="shared" si="41"/>
        <v>1675.56</v>
      </c>
      <c r="L89" s="95">
        <f t="shared" si="41"/>
        <v>1707.26</v>
      </c>
      <c r="M89" s="95">
        <f t="shared" si="41"/>
        <v>1689.3600000000001</v>
      </c>
      <c r="N89" s="95">
        <f t="shared" ref="N89:O89" si="42">N50+N54+N72+N68+N84+N88</f>
        <v>1541.96</v>
      </c>
      <c r="O89" s="95">
        <f t="shared" si="42"/>
        <v>1566.96</v>
      </c>
      <c r="P89" s="95">
        <f t="shared" ref="P89:Q89" si="43">P50+P54+P72+P68+P84+P88</f>
        <v>1471.16</v>
      </c>
      <c r="Q89" s="95">
        <f t="shared" si="43"/>
        <v>1362.46</v>
      </c>
      <c r="R89" s="95">
        <f t="shared" si="41"/>
        <v>1284.3599999999999</v>
      </c>
      <c r="S89" s="95">
        <f t="shared" si="41"/>
        <v>1288.8600000000001</v>
      </c>
      <c r="T89" s="95">
        <f t="shared" si="41"/>
        <v>1312.16</v>
      </c>
      <c r="U89" s="95">
        <f t="shared" si="41"/>
        <v>1361.66</v>
      </c>
      <c r="V89" s="95">
        <f t="shared" si="41"/>
        <v>1330.26</v>
      </c>
      <c r="W89" s="95">
        <f t="shared" si="41"/>
        <v>1525.66</v>
      </c>
      <c r="X89" s="95">
        <f t="shared" si="41"/>
        <v>1684.8600000000001</v>
      </c>
      <c r="Y89" s="95">
        <f t="shared" si="41"/>
        <v>1661.46</v>
      </c>
      <c r="Z89" s="95">
        <f t="shared" si="41"/>
        <v>1564.46</v>
      </c>
      <c r="AA89" s="95">
        <f t="shared" si="41"/>
        <v>1482.46</v>
      </c>
      <c r="AB89" s="95">
        <f t="shared" ref="AB89:AC89" si="44">AB50+AB54+AB72+AB68+AB84+AB88</f>
        <v>1498.36</v>
      </c>
      <c r="AC89" s="95">
        <f t="shared" si="44"/>
        <v>1388.56</v>
      </c>
      <c r="AD89" s="95">
        <f t="shared" ref="AD89:AE89" si="45">AD50+AD54+AD72+AD68+AD84+AD88</f>
        <v>1326.8600000000001</v>
      </c>
      <c r="AE89" s="95">
        <f t="shared" si="45"/>
        <v>1153.8600000000001</v>
      </c>
      <c r="AF89" s="95">
        <f t="shared" ref="AF89" si="46">AF50+AF54+AF72+AF68+AF84+AF88</f>
        <v>1114.46</v>
      </c>
      <c r="AG89" s="61">
        <f t="shared" si="41"/>
        <v>2111.5500000000002</v>
      </c>
      <c r="AH89" s="47">
        <f t="shared" si="33"/>
        <v>1707.26</v>
      </c>
      <c r="AI89" s="48">
        <f t="shared" si="34"/>
        <v>1048.3600000000001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33"/>
        <v>0</v>
      </c>
      <c r="AI90" s="48">
        <f t="shared" si="34"/>
        <v>0</v>
      </c>
    </row>
    <row r="91" spans="1:40" ht="15.75" thickBot="1" x14ac:dyDescent="0.3">
      <c r="A91" s="74" t="s">
        <v>102</v>
      </c>
      <c r="B91" s="95">
        <f t="shared" ref="B91:AA91" si="47">B89+B90</f>
        <v>1092.3600000000001</v>
      </c>
      <c r="C91" s="95">
        <f t="shared" si="47"/>
        <v>1048.3600000000001</v>
      </c>
      <c r="D91" s="95">
        <f t="shared" si="47"/>
        <v>1076.3600000000001</v>
      </c>
      <c r="E91" s="95">
        <f t="shared" si="47"/>
        <v>1118.46</v>
      </c>
      <c r="F91" s="95">
        <f t="shared" si="47"/>
        <v>1140.46</v>
      </c>
      <c r="G91" s="95">
        <f t="shared" si="47"/>
        <v>1213.46</v>
      </c>
      <c r="H91" s="95">
        <f t="shared" si="47"/>
        <v>1259.02</v>
      </c>
      <c r="I91" s="95">
        <f t="shared" si="47"/>
        <v>1343.2599999999998</v>
      </c>
      <c r="J91" s="95">
        <f t="shared" si="47"/>
        <v>1506.56</v>
      </c>
      <c r="K91" s="95">
        <f t="shared" si="47"/>
        <v>1675.56</v>
      </c>
      <c r="L91" s="95">
        <f t="shared" si="47"/>
        <v>1707.26</v>
      </c>
      <c r="M91" s="95">
        <f t="shared" si="47"/>
        <v>1689.3600000000001</v>
      </c>
      <c r="N91" s="95">
        <f t="shared" ref="N91:O91" si="48">N89+N90</f>
        <v>1541.96</v>
      </c>
      <c r="O91" s="95">
        <f t="shared" si="48"/>
        <v>1566.96</v>
      </c>
      <c r="P91" s="95">
        <f t="shared" ref="P91:Q91" si="49">P89+P90</f>
        <v>1471.16</v>
      </c>
      <c r="Q91" s="95">
        <f t="shared" si="49"/>
        <v>1362.46</v>
      </c>
      <c r="R91" s="95">
        <f t="shared" si="47"/>
        <v>1284.3599999999999</v>
      </c>
      <c r="S91" s="95">
        <f t="shared" si="47"/>
        <v>1288.8600000000001</v>
      </c>
      <c r="T91" s="95">
        <f t="shared" si="47"/>
        <v>1312.16</v>
      </c>
      <c r="U91" s="95">
        <f t="shared" si="47"/>
        <v>1361.66</v>
      </c>
      <c r="V91" s="95">
        <f t="shared" si="47"/>
        <v>1330.26</v>
      </c>
      <c r="W91" s="95">
        <f t="shared" si="47"/>
        <v>1525.66</v>
      </c>
      <c r="X91" s="95">
        <f t="shared" si="47"/>
        <v>1684.8600000000001</v>
      </c>
      <c r="Y91" s="95">
        <f t="shared" si="47"/>
        <v>1661.46</v>
      </c>
      <c r="Z91" s="95">
        <f t="shared" si="47"/>
        <v>1564.46</v>
      </c>
      <c r="AA91" s="95">
        <f t="shared" si="47"/>
        <v>1482.46</v>
      </c>
      <c r="AB91" s="95">
        <f t="shared" ref="AB91:AC91" si="50">AB89+AB90</f>
        <v>1498.36</v>
      </c>
      <c r="AC91" s="95">
        <f t="shared" si="50"/>
        <v>1388.56</v>
      </c>
      <c r="AD91" s="95">
        <f t="shared" ref="AD91:AE91" si="51">AD89+AD90</f>
        <v>1326.8600000000001</v>
      </c>
      <c r="AE91" s="95">
        <f t="shared" si="51"/>
        <v>1153.8600000000001</v>
      </c>
      <c r="AF91" s="95">
        <f t="shared" ref="AF91" si="52">AF89+AF90</f>
        <v>1114.46</v>
      </c>
      <c r="AG91" s="88">
        <f>AG88+AG84+AG72+AG68+AG50+AG90</f>
        <v>1573.45</v>
      </c>
      <c r="AH91" s="47">
        <f t="shared" si="33"/>
        <v>1707.26</v>
      </c>
      <c r="AI91" s="48">
        <f t="shared" si="34"/>
        <v>1048.3600000000001</v>
      </c>
    </row>
    <row r="92" spans="1:40" ht="15.75" thickBot="1" x14ac:dyDescent="0.3">
      <c r="A92" s="74" t="s">
        <v>103</v>
      </c>
      <c r="B92" s="95">
        <f>B91-(-B99)</f>
        <v>1092.3600000000001</v>
      </c>
      <c r="C92" s="95">
        <f t="shared" ref="C92:AA92" si="53">C91-(-C99)</f>
        <v>1048.3600000000001</v>
      </c>
      <c r="D92" s="95">
        <f t="shared" si="53"/>
        <v>1076.3600000000001</v>
      </c>
      <c r="E92" s="95">
        <f t="shared" si="53"/>
        <v>1118.46</v>
      </c>
      <c r="F92" s="95">
        <f t="shared" si="53"/>
        <v>1140.46</v>
      </c>
      <c r="G92" s="95">
        <f t="shared" si="53"/>
        <v>1213.46</v>
      </c>
      <c r="H92" s="95">
        <f t="shared" si="53"/>
        <v>1259.02</v>
      </c>
      <c r="I92" s="95">
        <f t="shared" si="53"/>
        <v>1343.2599999999998</v>
      </c>
      <c r="J92" s="95">
        <f t="shared" si="53"/>
        <v>1506.56</v>
      </c>
      <c r="K92" s="95">
        <f t="shared" si="53"/>
        <v>1675.56</v>
      </c>
      <c r="L92" s="95">
        <f t="shared" si="53"/>
        <v>1707.26</v>
      </c>
      <c r="M92" s="95">
        <f t="shared" si="53"/>
        <v>1689.3600000000001</v>
      </c>
      <c r="N92" s="95">
        <f t="shared" ref="N92:O92" si="54">N91-(-N99)</f>
        <v>1541.96</v>
      </c>
      <c r="O92" s="95">
        <f t="shared" si="54"/>
        <v>1566.96</v>
      </c>
      <c r="P92" s="95">
        <f t="shared" ref="P92:Q92" si="55">P91-(-P99)</f>
        <v>1471.16</v>
      </c>
      <c r="Q92" s="95">
        <f t="shared" si="55"/>
        <v>1362.46</v>
      </c>
      <c r="R92" s="95">
        <f t="shared" si="53"/>
        <v>1284.3599999999999</v>
      </c>
      <c r="S92" s="95">
        <f t="shared" si="53"/>
        <v>1288.8600000000001</v>
      </c>
      <c r="T92" s="95">
        <f t="shared" si="53"/>
        <v>1312.16</v>
      </c>
      <c r="U92" s="95">
        <f t="shared" si="53"/>
        <v>1361.66</v>
      </c>
      <c r="V92" s="95">
        <f t="shared" si="53"/>
        <v>1330.26</v>
      </c>
      <c r="W92" s="95">
        <f t="shared" si="53"/>
        <v>1525.66</v>
      </c>
      <c r="X92" s="95">
        <f t="shared" si="53"/>
        <v>1684.8600000000001</v>
      </c>
      <c r="Y92" s="95">
        <f t="shared" si="53"/>
        <v>1661.46</v>
      </c>
      <c r="Z92" s="95">
        <f t="shared" si="53"/>
        <v>1564.46</v>
      </c>
      <c r="AA92" s="95">
        <f t="shared" si="53"/>
        <v>1482.46</v>
      </c>
      <c r="AB92" s="95">
        <f t="shared" ref="AB92:AC92" si="56">AB91-(-AB99)</f>
        <v>1498.36</v>
      </c>
      <c r="AC92" s="95">
        <f t="shared" si="56"/>
        <v>1388.56</v>
      </c>
      <c r="AD92" s="95">
        <f t="shared" ref="AD92:AE92" si="57">AD91-(-AD99)</f>
        <v>1326.8600000000001</v>
      </c>
      <c r="AE92" s="95">
        <f t="shared" si="57"/>
        <v>1153.8600000000001</v>
      </c>
      <c r="AF92" s="95">
        <f t="shared" ref="AF92" si="58">AF91-(-AF99)</f>
        <v>1114.46</v>
      </c>
      <c r="AG92" s="88"/>
      <c r="AH92" s="47">
        <f t="shared" si="33"/>
        <v>1707.26</v>
      </c>
      <c r="AI92" s="48">
        <f t="shared" si="34"/>
        <v>1048.3600000000001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33"/>
        <v>0</v>
      </c>
      <c r="AI93" s="48">
        <f t="shared" si="34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33"/>
        <v>0</v>
      </c>
      <c r="AI94" s="48">
        <f t="shared" si="34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33"/>
        <v>0</v>
      </c>
      <c r="AI95" s="48">
        <f t="shared" si="34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33"/>
        <v>0</v>
      </c>
      <c r="AI96" s="48">
        <f t="shared" si="34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33"/>
        <v>0</v>
      </c>
      <c r="AI97" s="48">
        <f t="shared" si="34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33"/>
        <v>0</v>
      </c>
      <c r="AI98" s="48">
        <f t="shared" si="34"/>
        <v>0</v>
      </c>
    </row>
    <row r="99" spans="1:37" ht="15.75" thickBot="1" x14ac:dyDescent="0.3">
      <c r="A99" s="99" t="s">
        <v>107</v>
      </c>
      <c r="B99" s="60">
        <f t="shared" ref="B99:AA99" si="59">IF(B84&lt;0,B75+B73,0)</f>
        <v>0</v>
      </c>
      <c r="C99" s="60">
        <f t="shared" si="59"/>
        <v>0</v>
      </c>
      <c r="D99" s="60">
        <f t="shared" si="59"/>
        <v>0</v>
      </c>
      <c r="E99" s="60">
        <f t="shared" si="59"/>
        <v>0</v>
      </c>
      <c r="F99" s="60">
        <f t="shared" si="59"/>
        <v>0</v>
      </c>
      <c r="G99" s="60">
        <f t="shared" si="59"/>
        <v>0</v>
      </c>
      <c r="H99" s="60">
        <f t="shared" si="59"/>
        <v>0</v>
      </c>
      <c r="I99" s="60">
        <f t="shared" si="59"/>
        <v>0</v>
      </c>
      <c r="J99" s="60">
        <f t="shared" si="59"/>
        <v>0</v>
      </c>
      <c r="K99" s="60">
        <f t="shared" si="59"/>
        <v>0</v>
      </c>
      <c r="L99" s="60">
        <f t="shared" si="59"/>
        <v>0</v>
      </c>
      <c r="M99" s="60">
        <f t="shared" si="59"/>
        <v>0</v>
      </c>
      <c r="N99" s="60">
        <f t="shared" ref="N99:O99" si="60">IF(N84&lt;0,N75+N73,0)</f>
        <v>0</v>
      </c>
      <c r="O99" s="60">
        <f t="shared" si="60"/>
        <v>0</v>
      </c>
      <c r="P99" s="60">
        <f t="shared" ref="P99:Q99" si="61">IF(P84&lt;0,P75+P73,0)</f>
        <v>0</v>
      </c>
      <c r="Q99" s="60">
        <f t="shared" si="61"/>
        <v>0</v>
      </c>
      <c r="R99" s="60">
        <f t="shared" si="59"/>
        <v>0</v>
      </c>
      <c r="S99" s="60">
        <f t="shared" si="59"/>
        <v>0</v>
      </c>
      <c r="T99" s="60">
        <f t="shared" si="59"/>
        <v>0</v>
      </c>
      <c r="U99" s="60">
        <f t="shared" si="59"/>
        <v>0</v>
      </c>
      <c r="V99" s="60">
        <f t="shared" si="59"/>
        <v>0</v>
      </c>
      <c r="W99" s="60">
        <f t="shared" si="59"/>
        <v>0</v>
      </c>
      <c r="X99" s="60">
        <f t="shared" si="59"/>
        <v>0</v>
      </c>
      <c r="Y99" s="60">
        <f t="shared" si="59"/>
        <v>0</v>
      </c>
      <c r="Z99" s="60">
        <f t="shared" si="59"/>
        <v>0</v>
      </c>
      <c r="AA99" s="60">
        <f t="shared" si="59"/>
        <v>0</v>
      </c>
      <c r="AB99" s="60">
        <f t="shared" ref="AB99:AC99" si="62">IF(AB84&lt;0,AB75+AB73,0)</f>
        <v>0</v>
      </c>
      <c r="AC99" s="60">
        <f t="shared" si="62"/>
        <v>0</v>
      </c>
      <c r="AD99" s="60">
        <f t="shared" ref="AD99:AE99" si="63">IF(AD84&lt;0,AD75+AD73,0)</f>
        <v>0</v>
      </c>
      <c r="AE99" s="60">
        <f t="shared" si="63"/>
        <v>0</v>
      </c>
      <c r="AF99" s="60">
        <f t="shared" ref="AF99" si="64">IF(AF84&lt;0,AF75+AF73,0)</f>
        <v>0</v>
      </c>
      <c r="AG99" s="88"/>
      <c r="AH99" s="47">
        <f t="shared" si="33"/>
        <v>0</v>
      </c>
      <c r="AI99" s="48">
        <f t="shared" si="34"/>
        <v>0</v>
      </c>
      <c r="AK99" s="50"/>
    </row>
    <row r="100" spans="1:37" ht="15.75" thickBot="1" x14ac:dyDescent="0.3">
      <c r="A100" s="74" t="s">
        <v>108</v>
      </c>
      <c r="B100" s="60">
        <f t="shared" ref="B100:AA100" si="65">B84-B99</f>
        <v>216</v>
      </c>
      <c r="C100" s="60">
        <f t="shared" si="65"/>
        <v>172</v>
      </c>
      <c r="D100" s="60">
        <f t="shared" si="65"/>
        <v>190</v>
      </c>
      <c r="E100" s="60">
        <f t="shared" si="65"/>
        <v>208</v>
      </c>
      <c r="F100" s="60">
        <f t="shared" si="65"/>
        <v>215</v>
      </c>
      <c r="G100" s="60">
        <f t="shared" si="65"/>
        <v>242</v>
      </c>
      <c r="H100" s="60">
        <f t="shared" si="65"/>
        <v>260</v>
      </c>
      <c r="I100" s="60">
        <f t="shared" si="65"/>
        <v>268.89999999999998</v>
      </c>
      <c r="J100" s="60">
        <f t="shared" si="65"/>
        <v>279</v>
      </c>
      <c r="K100" s="60">
        <f t="shared" si="65"/>
        <v>218</v>
      </c>
      <c r="L100" s="60">
        <f t="shared" si="65"/>
        <v>117.1</v>
      </c>
      <c r="M100" s="60">
        <f t="shared" si="65"/>
        <v>73.400000000000006</v>
      </c>
      <c r="N100" s="60">
        <f t="shared" ref="N100:O100" si="66">N84-N99</f>
        <v>70</v>
      </c>
      <c r="O100" s="60">
        <f t="shared" si="66"/>
        <v>280</v>
      </c>
      <c r="P100" s="60">
        <f t="shared" ref="P100:Q100" si="67">P84-P99</f>
        <v>290</v>
      </c>
      <c r="Q100" s="60">
        <f t="shared" si="67"/>
        <v>300</v>
      </c>
      <c r="R100" s="60">
        <f t="shared" si="65"/>
        <v>315</v>
      </c>
      <c r="S100" s="60">
        <f t="shared" si="65"/>
        <v>321.60000000000002</v>
      </c>
      <c r="T100" s="60">
        <f t="shared" si="65"/>
        <v>300</v>
      </c>
      <c r="U100" s="60">
        <f t="shared" si="65"/>
        <v>306</v>
      </c>
      <c r="V100" s="60">
        <f t="shared" si="65"/>
        <v>124</v>
      </c>
      <c r="W100" s="60">
        <f t="shared" si="65"/>
        <v>6.2</v>
      </c>
      <c r="X100" s="60">
        <f t="shared" si="65"/>
        <v>0</v>
      </c>
      <c r="Y100" s="60">
        <f t="shared" si="65"/>
        <v>7.8</v>
      </c>
      <c r="Z100" s="60">
        <f t="shared" si="65"/>
        <v>34</v>
      </c>
      <c r="AA100" s="60">
        <f t="shared" si="65"/>
        <v>138</v>
      </c>
      <c r="AB100" s="60">
        <f t="shared" ref="AB100:AC100" si="68">AB84-AB99</f>
        <v>160</v>
      </c>
      <c r="AC100" s="60">
        <f t="shared" si="68"/>
        <v>161</v>
      </c>
      <c r="AD100" s="60">
        <f t="shared" ref="AD100:AE100" si="69">AD84-AD99</f>
        <v>166</v>
      </c>
      <c r="AE100" s="60">
        <f t="shared" si="69"/>
        <v>155</v>
      </c>
      <c r="AF100" s="60">
        <f t="shared" ref="AF100" si="70">AF84-AF99</f>
        <v>175</v>
      </c>
      <c r="AG100" s="88"/>
      <c r="AH100" s="47">
        <f t="shared" si="33"/>
        <v>321.60000000000002</v>
      </c>
      <c r="AI100" s="48">
        <f t="shared" si="34"/>
        <v>0</v>
      </c>
    </row>
    <row r="101" spans="1:37" x14ac:dyDescent="0.25">
      <c r="A101" s="100" t="s">
        <v>109</v>
      </c>
      <c r="B101" s="101">
        <v>50.048999999999999</v>
      </c>
      <c r="C101" s="101">
        <v>50.005000000000003</v>
      </c>
      <c r="D101" s="101">
        <v>50.064</v>
      </c>
      <c r="E101" s="101">
        <v>49.968800000000002</v>
      </c>
      <c r="F101" s="101">
        <v>49.993000000000002</v>
      </c>
      <c r="G101" s="101">
        <v>50.115000000000002</v>
      </c>
      <c r="H101" s="101">
        <v>49.959000000000003</v>
      </c>
      <c r="I101" s="101">
        <v>49.975999999999999</v>
      </c>
      <c r="J101" s="101">
        <v>49.975999999999999</v>
      </c>
      <c r="K101" s="101">
        <v>50.01</v>
      </c>
      <c r="L101" s="101">
        <v>50.002000000000002</v>
      </c>
      <c r="M101" s="101">
        <v>50.05</v>
      </c>
      <c r="N101" s="101">
        <v>50</v>
      </c>
      <c r="O101" s="101">
        <v>49.9</v>
      </c>
      <c r="P101" s="101">
        <v>49.9</v>
      </c>
      <c r="Q101" s="101">
        <v>50.02</v>
      </c>
      <c r="R101" s="101">
        <v>49.8</v>
      </c>
      <c r="S101" s="101">
        <v>49.936</v>
      </c>
      <c r="T101" s="101">
        <v>50.03</v>
      </c>
      <c r="U101" s="101">
        <v>49.912999999999997</v>
      </c>
      <c r="V101" s="101">
        <v>49.962000000000003</v>
      </c>
      <c r="W101" s="101">
        <v>49.984999999999999</v>
      </c>
      <c r="X101" s="101">
        <v>49.957000000000001</v>
      </c>
      <c r="Y101" s="101">
        <v>50.005000000000003</v>
      </c>
      <c r="Z101" s="101">
        <v>50.033000000000001</v>
      </c>
      <c r="AA101" s="101">
        <v>50.097000000000001</v>
      </c>
      <c r="AB101" s="101">
        <v>49.97</v>
      </c>
      <c r="AC101" s="101">
        <v>49.98</v>
      </c>
      <c r="AD101" s="101">
        <v>50.06</v>
      </c>
      <c r="AE101" s="101">
        <v>49.92</v>
      </c>
      <c r="AF101" s="101">
        <v>49.99</v>
      </c>
      <c r="AG101" s="102"/>
      <c r="AH101" s="47">
        <f t="shared" si="33"/>
        <v>50.115000000000002</v>
      </c>
      <c r="AI101" s="48">
        <f t="shared" si="34"/>
        <v>49.8</v>
      </c>
    </row>
    <row r="102" spans="1:37" x14ac:dyDescent="0.25">
      <c r="A102" s="103" t="s">
        <v>110</v>
      </c>
      <c r="B102" s="65">
        <v>127</v>
      </c>
      <c r="C102" s="65">
        <v>129.1</v>
      </c>
      <c r="D102" s="65">
        <v>128.4</v>
      </c>
      <c r="E102" s="65">
        <v>126.8</v>
      </c>
      <c r="F102" s="65">
        <v>128.19999999999999</v>
      </c>
      <c r="G102" s="65">
        <v>125.1</v>
      </c>
      <c r="H102" s="65">
        <v>126.4</v>
      </c>
      <c r="I102" s="65">
        <v>125.4</v>
      </c>
      <c r="J102" s="65">
        <v>125.4</v>
      </c>
      <c r="K102" s="65">
        <v>122</v>
      </c>
      <c r="L102" s="65">
        <v>121.7</v>
      </c>
      <c r="M102" s="65">
        <v>120.7</v>
      </c>
      <c r="N102" s="65">
        <v>120.7</v>
      </c>
      <c r="O102" s="65">
        <v>122.7</v>
      </c>
      <c r="P102" s="65">
        <v>122.7</v>
      </c>
      <c r="Q102" s="65">
        <v>122.7</v>
      </c>
      <c r="R102" s="65">
        <v>124.8</v>
      </c>
      <c r="S102" s="65">
        <v>125</v>
      </c>
      <c r="T102" s="65">
        <v>125.9</v>
      </c>
      <c r="U102" s="65">
        <v>125.2</v>
      </c>
      <c r="V102" s="65">
        <v>125.7</v>
      </c>
      <c r="W102" s="65">
        <v>127.1</v>
      </c>
      <c r="X102" s="65">
        <v>125.8</v>
      </c>
      <c r="Y102" s="65">
        <v>126.3</v>
      </c>
      <c r="Z102" s="65">
        <v>126.5</v>
      </c>
      <c r="AA102" s="65">
        <v>127.1</v>
      </c>
      <c r="AB102" s="65">
        <v>127.1</v>
      </c>
      <c r="AC102" s="65">
        <v>127.1</v>
      </c>
      <c r="AD102" s="65">
        <v>127.1</v>
      </c>
      <c r="AE102" s="65">
        <v>129</v>
      </c>
      <c r="AF102" s="65">
        <v>129</v>
      </c>
      <c r="AG102" s="104"/>
      <c r="AH102" s="47">
        <f t="shared" si="33"/>
        <v>129.1</v>
      </c>
      <c r="AI102" s="48">
        <f t="shared" si="34"/>
        <v>120.7</v>
      </c>
    </row>
    <row r="103" spans="1:37" x14ac:dyDescent="0.25">
      <c r="A103" s="103" t="s">
        <v>111</v>
      </c>
      <c r="B103" s="65">
        <v>131</v>
      </c>
      <c r="C103" s="65">
        <v>133.6</v>
      </c>
      <c r="D103" s="65">
        <v>133.30000000000001</v>
      </c>
      <c r="E103" s="65">
        <v>132.80000000000001</v>
      </c>
      <c r="F103" s="65">
        <v>132.80000000000001</v>
      </c>
      <c r="G103" s="65">
        <v>130</v>
      </c>
      <c r="H103" s="65">
        <v>130.5</v>
      </c>
      <c r="I103" s="65">
        <v>129.5</v>
      </c>
      <c r="J103" s="65">
        <v>129.5</v>
      </c>
      <c r="K103" s="65">
        <v>125.9</v>
      </c>
      <c r="L103" s="65">
        <v>124.3</v>
      </c>
      <c r="M103" s="65">
        <v>124.1</v>
      </c>
      <c r="N103" s="65">
        <v>124.1</v>
      </c>
      <c r="O103" s="65">
        <v>124.1</v>
      </c>
      <c r="P103" s="65">
        <v>124.1</v>
      </c>
      <c r="Q103" s="65">
        <v>124.1</v>
      </c>
      <c r="R103" s="65">
        <v>128.19999999999999</v>
      </c>
      <c r="S103" s="65">
        <v>128.30000000000001</v>
      </c>
      <c r="T103" s="65">
        <v>129</v>
      </c>
      <c r="U103" s="65">
        <v>128.19999999999999</v>
      </c>
      <c r="V103" s="65">
        <v>128.5</v>
      </c>
      <c r="W103" s="65">
        <v>129.69999999999999</v>
      </c>
      <c r="X103" s="65">
        <v>127.5</v>
      </c>
      <c r="Y103" s="65">
        <v>128.1</v>
      </c>
      <c r="Z103" s="65">
        <v>128.5</v>
      </c>
      <c r="AA103" s="65">
        <v>129</v>
      </c>
      <c r="AB103" s="65">
        <v>129</v>
      </c>
      <c r="AC103" s="65">
        <v>129</v>
      </c>
      <c r="AD103" s="65">
        <v>129</v>
      </c>
      <c r="AE103" s="65">
        <v>132</v>
      </c>
      <c r="AF103" s="65">
        <v>132</v>
      </c>
      <c r="AG103" s="104"/>
      <c r="AH103" s="47">
        <f t="shared" si="33"/>
        <v>133.6</v>
      </c>
      <c r="AI103" s="48">
        <f t="shared" si="34"/>
        <v>124.1</v>
      </c>
    </row>
    <row r="104" spans="1:37" x14ac:dyDescent="0.25">
      <c r="A104" s="103" t="s">
        <v>112</v>
      </c>
      <c r="B104" s="65">
        <v>131</v>
      </c>
      <c r="C104" s="65">
        <v>132.30000000000001</v>
      </c>
      <c r="D104" s="65">
        <v>131</v>
      </c>
      <c r="E104" s="65">
        <v>130.9</v>
      </c>
      <c r="F104" s="65">
        <v>130.30000000000001</v>
      </c>
      <c r="G104" s="65">
        <v>124.3</v>
      </c>
      <c r="H104" s="65">
        <v>123.7</v>
      </c>
      <c r="I104" s="65">
        <v>125.74</v>
      </c>
      <c r="J104" s="65">
        <v>125.74</v>
      </c>
      <c r="K104" s="65">
        <v>127.3</v>
      </c>
      <c r="L104" s="65">
        <v>125.6</v>
      </c>
      <c r="M104" s="65">
        <v>126.8</v>
      </c>
      <c r="N104" s="65">
        <v>126.8</v>
      </c>
      <c r="O104" s="65">
        <v>126.8</v>
      </c>
      <c r="P104" s="65">
        <v>126.8</v>
      </c>
      <c r="Q104" s="65">
        <v>126.8</v>
      </c>
      <c r="R104" s="65">
        <v>129.1</v>
      </c>
      <c r="S104" s="65">
        <v>125.3</v>
      </c>
      <c r="T104" s="65">
        <v>127.7</v>
      </c>
      <c r="U104" s="65">
        <v>127.9</v>
      </c>
      <c r="V104" s="65">
        <v>129.4</v>
      </c>
      <c r="W104" s="65">
        <v>124.5</v>
      </c>
      <c r="X104" s="65">
        <v>130</v>
      </c>
      <c r="Y104" s="65">
        <v>130</v>
      </c>
      <c r="Z104" s="65">
        <v>131.69999999999999</v>
      </c>
      <c r="AA104" s="65">
        <v>132.30000000000001</v>
      </c>
      <c r="AB104" s="65">
        <v>132.30000000000001</v>
      </c>
      <c r="AC104" s="65">
        <v>131</v>
      </c>
      <c r="AD104" s="65">
        <v>131</v>
      </c>
      <c r="AE104" s="65">
        <v>132</v>
      </c>
      <c r="AF104" s="65">
        <v>132</v>
      </c>
      <c r="AG104" s="104"/>
      <c r="AH104" s="47">
        <f t="shared" si="33"/>
        <v>132.30000000000001</v>
      </c>
      <c r="AI104" s="48">
        <f t="shared" si="34"/>
        <v>123.7</v>
      </c>
    </row>
    <row r="105" spans="1:37" x14ac:dyDescent="0.25">
      <c r="A105" s="105" t="s">
        <v>113</v>
      </c>
      <c r="B105" s="65">
        <v>134</v>
      </c>
      <c r="C105" s="65">
        <v>133.19999999999999</v>
      </c>
      <c r="D105" s="65">
        <v>132.1</v>
      </c>
      <c r="E105" s="65">
        <v>131.19999999999999</v>
      </c>
      <c r="F105" s="65">
        <v>131.80000000000001</v>
      </c>
      <c r="G105" s="65">
        <v>128.30000000000001</v>
      </c>
      <c r="H105" s="65">
        <v>127.4</v>
      </c>
      <c r="I105" s="65">
        <v>128.80000000000001</v>
      </c>
      <c r="J105" s="65">
        <v>128.80000000000001</v>
      </c>
      <c r="K105" s="65">
        <v>130.30000000000001</v>
      </c>
      <c r="L105" s="65">
        <v>127</v>
      </c>
      <c r="M105" s="65">
        <v>127.4</v>
      </c>
      <c r="N105" s="65">
        <v>127.4</v>
      </c>
      <c r="O105" s="65">
        <v>127.4</v>
      </c>
      <c r="P105" s="65">
        <v>127.4</v>
      </c>
      <c r="Q105" s="65">
        <v>127.4</v>
      </c>
      <c r="R105" s="65">
        <v>130.9</v>
      </c>
      <c r="S105" s="65">
        <v>128.4</v>
      </c>
      <c r="T105" s="65">
        <v>129.69999999999999</v>
      </c>
      <c r="U105" s="65">
        <v>128.6</v>
      </c>
      <c r="V105" s="65">
        <v>130</v>
      </c>
      <c r="W105" s="65">
        <v>124.3</v>
      </c>
      <c r="X105" s="65">
        <v>130.19999999999999</v>
      </c>
      <c r="Y105" s="65">
        <v>131.4</v>
      </c>
      <c r="Z105" s="65">
        <v>133.5</v>
      </c>
      <c r="AA105" s="65">
        <v>134.5</v>
      </c>
      <c r="AB105" s="65">
        <v>134.5</v>
      </c>
      <c r="AC105" s="65">
        <v>135</v>
      </c>
      <c r="AD105" s="65">
        <v>135</v>
      </c>
      <c r="AE105" s="65">
        <v>133</v>
      </c>
      <c r="AF105" s="65">
        <v>133</v>
      </c>
      <c r="AG105" s="104"/>
      <c r="AH105" s="47">
        <f t="shared" si="33"/>
        <v>135</v>
      </c>
      <c r="AI105" s="48">
        <f t="shared" si="34"/>
        <v>124.3</v>
      </c>
    </row>
    <row r="106" spans="1:37" x14ac:dyDescent="0.25">
      <c r="A106" s="105" t="s">
        <v>114</v>
      </c>
      <c r="B106" s="106">
        <v>132</v>
      </c>
      <c r="C106" s="106">
        <v>134.5</v>
      </c>
      <c r="D106" s="106">
        <v>132.6</v>
      </c>
      <c r="E106" s="106">
        <v>132.4</v>
      </c>
      <c r="F106" s="106">
        <v>132.9</v>
      </c>
      <c r="G106" s="106">
        <v>130.9</v>
      </c>
      <c r="H106" s="106">
        <v>132</v>
      </c>
      <c r="I106" s="106">
        <v>130.30000000000001</v>
      </c>
      <c r="J106" s="106">
        <v>130.30000000000001</v>
      </c>
      <c r="K106" s="106">
        <v>131.9</v>
      </c>
      <c r="L106" s="106">
        <v>132.1</v>
      </c>
      <c r="M106" s="106">
        <v>131.4</v>
      </c>
      <c r="N106" s="106">
        <v>131.4</v>
      </c>
      <c r="O106" s="106">
        <v>131.4</v>
      </c>
      <c r="P106" s="106">
        <v>131.4</v>
      </c>
      <c r="Q106" s="106">
        <v>131.4</v>
      </c>
      <c r="R106" s="106">
        <v>134.80000000000001</v>
      </c>
      <c r="S106" s="106">
        <v>132.5</v>
      </c>
      <c r="T106" s="106">
        <v>132.1</v>
      </c>
      <c r="U106" s="106">
        <v>132.9</v>
      </c>
      <c r="V106" s="106">
        <v>135.69999999999999</v>
      </c>
      <c r="W106" s="106">
        <v>135.69999999999999</v>
      </c>
      <c r="X106" s="106">
        <v>133.5</v>
      </c>
      <c r="Y106" s="106">
        <v>134.69999999999999</v>
      </c>
      <c r="Z106" s="106">
        <v>135.4</v>
      </c>
      <c r="AA106" s="106">
        <v>135.1</v>
      </c>
      <c r="AB106" s="106">
        <v>135.1</v>
      </c>
      <c r="AC106" s="106">
        <v>135</v>
      </c>
      <c r="AD106" s="106">
        <v>135</v>
      </c>
      <c r="AE106" s="106">
        <v>135</v>
      </c>
      <c r="AF106" s="106">
        <v>135</v>
      </c>
      <c r="AG106" s="107"/>
      <c r="AH106" s="47">
        <f t="shared" si="33"/>
        <v>135.69999999999999</v>
      </c>
      <c r="AI106" s="48">
        <f t="shared" si="34"/>
        <v>130.30000000000001</v>
      </c>
    </row>
    <row r="107" spans="1:37" x14ac:dyDescent="0.25">
      <c r="A107" s="103" t="s">
        <v>115</v>
      </c>
      <c r="B107" s="65">
        <v>133.6</v>
      </c>
      <c r="C107" s="65">
        <v>135.6</v>
      </c>
      <c r="D107" s="65">
        <v>131.1</v>
      </c>
      <c r="E107" s="65">
        <v>131.69999999999999</v>
      </c>
      <c r="F107" s="65">
        <v>134.9</v>
      </c>
      <c r="G107" s="65">
        <v>134.4</v>
      </c>
      <c r="H107" s="65">
        <v>133.6</v>
      </c>
      <c r="I107" s="65">
        <v>138.30000000000001</v>
      </c>
      <c r="J107" s="65">
        <v>138.30000000000001</v>
      </c>
      <c r="K107" s="65">
        <v>138.5</v>
      </c>
      <c r="L107" s="65">
        <v>133.69999999999999</v>
      </c>
      <c r="M107" s="65">
        <v>129.9</v>
      </c>
      <c r="N107" s="65">
        <v>129.9</v>
      </c>
      <c r="O107" s="65">
        <v>129.9</v>
      </c>
      <c r="P107" s="65">
        <v>129.9</v>
      </c>
      <c r="Q107" s="65">
        <v>129.9</v>
      </c>
      <c r="R107" s="65">
        <v>133.69999999999999</v>
      </c>
      <c r="S107" s="65">
        <v>131</v>
      </c>
      <c r="T107" s="65">
        <v>129.30000000000001</v>
      </c>
      <c r="U107" s="65">
        <v>128.9</v>
      </c>
      <c r="V107" s="65">
        <v>133.80000000000001</v>
      </c>
      <c r="W107" s="65">
        <v>132.1</v>
      </c>
      <c r="X107" s="65">
        <v>129.5</v>
      </c>
      <c r="Y107" s="65">
        <v>131.4</v>
      </c>
      <c r="Z107" s="65">
        <v>130.80000000000001</v>
      </c>
      <c r="AA107" s="65">
        <v>133.19999999999999</v>
      </c>
      <c r="AB107" s="65">
        <v>133.19999999999999</v>
      </c>
      <c r="AC107" s="65">
        <v>134</v>
      </c>
      <c r="AD107" s="65">
        <v>134</v>
      </c>
      <c r="AE107" s="65">
        <v>135</v>
      </c>
      <c r="AF107" s="65">
        <v>135</v>
      </c>
      <c r="AG107" s="104"/>
      <c r="AH107" s="47">
        <f t="shared" si="33"/>
        <v>138.5</v>
      </c>
      <c r="AI107" s="48">
        <f t="shared" si="34"/>
        <v>128.9</v>
      </c>
    </row>
    <row r="108" spans="1:37" ht="15.75" thickBot="1" x14ac:dyDescent="0.3">
      <c r="A108" s="103" t="s">
        <v>116</v>
      </c>
      <c r="B108" s="92">
        <v>66.2</v>
      </c>
      <c r="C108" s="92">
        <v>67.2</v>
      </c>
      <c r="D108" s="92">
        <v>66.7</v>
      </c>
      <c r="E108" s="92">
        <v>66.8</v>
      </c>
      <c r="F108" s="92">
        <v>66.7</v>
      </c>
      <c r="G108" s="92">
        <v>65.2</v>
      </c>
      <c r="H108" s="92">
        <v>65.400000000000006</v>
      </c>
      <c r="I108" s="92">
        <v>64.900000000000006</v>
      </c>
      <c r="J108" s="92">
        <v>64.900000000000006</v>
      </c>
      <c r="K108" s="92">
        <v>63.5</v>
      </c>
      <c r="L108" s="92">
        <v>62.4</v>
      </c>
      <c r="M108" s="92">
        <v>62.5</v>
      </c>
      <c r="N108" s="92">
        <v>62.5</v>
      </c>
      <c r="O108" s="92">
        <v>62.5</v>
      </c>
      <c r="P108" s="92">
        <v>62.5</v>
      </c>
      <c r="Q108" s="92">
        <v>62.5</v>
      </c>
      <c r="R108" s="92">
        <v>63.9</v>
      </c>
      <c r="S108" s="92">
        <v>64.5</v>
      </c>
      <c r="T108" s="92">
        <v>64.8</v>
      </c>
      <c r="U108" s="92">
        <v>64.3</v>
      </c>
      <c r="V108" s="92">
        <v>64.400000000000006</v>
      </c>
      <c r="W108" s="92">
        <v>64.8</v>
      </c>
      <c r="X108" s="92">
        <v>63.8</v>
      </c>
      <c r="Y108" s="92">
        <v>64</v>
      </c>
      <c r="Z108" s="92">
        <v>64.3</v>
      </c>
      <c r="AA108" s="92">
        <v>64.400000000000006</v>
      </c>
      <c r="AB108" s="92">
        <v>64.400000000000006</v>
      </c>
      <c r="AC108" s="92">
        <v>64.7</v>
      </c>
      <c r="AD108" s="92">
        <v>64.7</v>
      </c>
      <c r="AE108" s="92">
        <v>66</v>
      </c>
      <c r="AF108" s="92">
        <v>66</v>
      </c>
      <c r="AG108" s="108"/>
      <c r="AH108" s="47">
        <f t="shared" si="33"/>
        <v>67.2</v>
      </c>
      <c r="AI108" s="48">
        <f t="shared" si="34"/>
        <v>62.4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117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33"/>
        <v>0</v>
      </c>
      <c r="AI109" s="48">
        <f t="shared" si="34"/>
        <v>0</v>
      </c>
    </row>
    <row r="110" spans="1:37" ht="15.75" thickBot="1" x14ac:dyDescent="0.3">
      <c r="A110" s="110" t="s">
        <v>118</v>
      </c>
      <c r="B110" s="111">
        <f t="shared" ref="B110:M110" si="71">SUM(B20,B26,B29:B30,B58,B60:B61,B63,B65,B111:B115,B140,B146,B152,B161,B163,B175,B182,B185:B186,B193,B195,B197,B201:B203,B205:B207,B212,B218:B219,B221:B223,B231,B236)</f>
        <v>120.14000000000001</v>
      </c>
      <c r="C110" s="111">
        <f t="shared" si="71"/>
        <v>94.740000000000023</v>
      </c>
      <c r="D110" s="111">
        <f t="shared" si="71"/>
        <v>79.54000000000002</v>
      </c>
      <c r="E110" s="111">
        <f t="shared" si="71"/>
        <v>90.264999999999986</v>
      </c>
      <c r="F110" s="111">
        <f t="shared" si="71"/>
        <v>92.489999999999981</v>
      </c>
      <c r="G110" s="111">
        <f t="shared" si="71"/>
        <v>153.11999999999998</v>
      </c>
      <c r="H110" s="111">
        <f>SUM(H20,H26,H29:H30,H58,H60:H61,H63,H65,H111:H115,H140,H146,H152,H161,H163,H175,H182,H185:H186,H193,H195,H197,H201:H203,H205:H207,H212,H218:H219,H221:H223,H231,H236)</f>
        <v>166.79</v>
      </c>
      <c r="I110" s="111">
        <f t="shared" si="71"/>
        <v>202.68999999999997</v>
      </c>
      <c r="J110" s="111">
        <f t="shared" si="71"/>
        <v>202.68999999999997</v>
      </c>
      <c r="K110" s="111">
        <f t="shared" si="71"/>
        <v>321.09999999999997</v>
      </c>
      <c r="L110" s="111">
        <f t="shared" si="71"/>
        <v>365.64</v>
      </c>
      <c r="M110" s="111">
        <f t="shared" si="71"/>
        <v>352.79</v>
      </c>
      <c r="N110" s="111">
        <f t="shared" ref="N110:O110" si="72">SUM(N20,N26,N29:N30,N58,N60:N61,N63,N65,N111:N115,N140,N146,N152,N161,N163,N175,N182,N185:N186,N193,N195,N197,N201:N203,N205:N207,N212,N218:N219,N221:N223,N231,N236)</f>
        <v>354.79</v>
      </c>
      <c r="O110" s="111">
        <f t="shared" si="72"/>
        <v>346.34</v>
      </c>
      <c r="P110" s="111">
        <f t="shared" ref="P110:Q110" si="73">SUM(P20,P26,P29:P30,P58,P60:P61,P63,P65,P111:P115,P140,P146,P152,P161,P163,P175,P182,P185:P186,P193,P195,P197,P201:P203,P205:P207,P212,P218:P219,P221:P223,P231,P236)</f>
        <v>355.84</v>
      </c>
      <c r="Q110" s="111">
        <f t="shared" si="73"/>
        <v>288.44</v>
      </c>
      <c r="R110" s="111">
        <f t="shared" ref="R110:AA110" si="74">SUM(R20,R26,R29:R30,R58,R60:R61,R63,R65,R111:R115,R140,R146,R152,R161,R163,R175,R182,R185:R186,R193,R195,R197,R201:R203,R205:R207,R212,R218:R219,R221:R223,R231,R236)</f>
        <v>253.23999999999998</v>
      </c>
      <c r="S110" s="111">
        <f t="shared" si="74"/>
        <v>248.44</v>
      </c>
      <c r="T110" s="111">
        <f t="shared" si="74"/>
        <v>260.04000000000002</v>
      </c>
      <c r="U110" s="111">
        <f t="shared" si="74"/>
        <v>295.79000000000002</v>
      </c>
      <c r="V110" s="111">
        <f t="shared" si="74"/>
        <v>123.49000000000002</v>
      </c>
      <c r="W110" s="111">
        <f t="shared" si="74"/>
        <v>364.49</v>
      </c>
      <c r="X110" s="111">
        <f t="shared" si="74"/>
        <v>419.72</v>
      </c>
      <c r="Y110" s="111">
        <f t="shared" si="74"/>
        <v>137.33300000000003</v>
      </c>
      <c r="Z110" s="111">
        <f t="shared" si="74"/>
        <v>398.48999999999995</v>
      </c>
      <c r="AA110" s="111">
        <f t="shared" si="74"/>
        <v>369.57699999999994</v>
      </c>
      <c r="AB110" s="111">
        <f t="shared" ref="AB110:AC110" si="75">SUM(AB20,AB26,AB29:AB30,AB58,AB60:AB61,AB63,AB65,AB111:AB115,AB140,AB146,AB152,AB161,AB163,AB175,AB182,AB185:AB186,AB193,AB195,AB197,AB201:AB203,AB205:AB207,AB212,AB218:AB219,AB221:AB223,AB231,AB236)</f>
        <v>332.94</v>
      </c>
      <c r="AC110" s="111">
        <f t="shared" si="75"/>
        <v>325.94</v>
      </c>
      <c r="AD110" s="111">
        <f t="shared" ref="AD110:AE110" si="76">SUM(AD20,AD26,AD29:AD30,AD58,AD60:AD61,AD63,AD65,AD111:AD115,AD140,AD146,AD152,AD161,AD163,AD175,AD182,AD185:AD186,AD193,AD195,AD197,AD201:AD203,AD205:AD207,AD212,AD218:AD219,AD221:AD223,AD231,AD236)</f>
        <v>288.24</v>
      </c>
      <c r="AE110" s="111">
        <f t="shared" si="76"/>
        <v>177.74</v>
      </c>
      <c r="AF110" s="111">
        <f t="shared" ref="AF110" si="77">SUM(AF20,AF26,AF29:AF30,AF58,AF60:AF61,AF63,AF65,AF111:AF115,AF140,AF146,AF152,AF161,AF163,AF175,AF182,AF185:AF186,AF193,AF195,AF197,AF201:AF203,AF205:AF207,AF212,AF218:AF219,AF221:AF223,AF231,AF236)</f>
        <v>140.24</v>
      </c>
      <c r="AG110" s="112"/>
      <c r="AH110" s="47">
        <f t="shared" si="33"/>
        <v>419.72</v>
      </c>
      <c r="AI110" s="48">
        <f t="shared" si="34"/>
        <v>79.54000000000002</v>
      </c>
    </row>
    <row r="111" spans="1:37" x14ac:dyDescent="0.25">
      <c r="A111" s="181" t="s">
        <v>119</v>
      </c>
      <c r="B111" s="113">
        <v>4.7</v>
      </c>
      <c r="C111" s="113">
        <v>10.4</v>
      </c>
      <c r="D111" s="113">
        <v>13</v>
      </c>
      <c r="E111" s="113">
        <v>2.7</v>
      </c>
      <c r="F111" s="113">
        <v>5.9</v>
      </c>
      <c r="G111" s="113">
        <v>19.600000000000001</v>
      </c>
      <c r="H111" s="113">
        <v>17.7</v>
      </c>
      <c r="I111" s="113">
        <v>15.7</v>
      </c>
      <c r="J111" s="113">
        <v>15.7</v>
      </c>
      <c r="K111" s="113">
        <v>40</v>
      </c>
      <c r="L111" s="113">
        <v>38.799999999999997</v>
      </c>
      <c r="M111" s="113">
        <v>41.3</v>
      </c>
      <c r="N111" s="113">
        <v>41.3</v>
      </c>
      <c r="O111" s="113">
        <v>38</v>
      </c>
      <c r="P111" s="113">
        <v>38</v>
      </c>
      <c r="Q111" s="113">
        <v>30</v>
      </c>
      <c r="R111" s="113">
        <v>19.399999999999999</v>
      </c>
      <c r="S111" s="113">
        <v>15.9</v>
      </c>
      <c r="T111" s="113">
        <v>28.4</v>
      </c>
      <c r="U111" s="113">
        <v>31.6</v>
      </c>
      <c r="V111" s="113">
        <v>47.3</v>
      </c>
      <c r="W111" s="113">
        <v>40.299999999999997</v>
      </c>
      <c r="X111" s="113">
        <v>34.299999999999997</v>
      </c>
      <c r="Y111" s="113">
        <v>40.9</v>
      </c>
      <c r="Z111" s="113">
        <v>41.7</v>
      </c>
      <c r="AA111" s="113">
        <v>47.5</v>
      </c>
      <c r="AB111" s="113">
        <v>45</v>
      </c>
      <c r="AC111" s="113">
        <v>42</v>
      </c>
      <c r="AD111" s="113">
        <v>40</v>
      </c>
      <c r="AE111" s="113">
        <v>21</v>
      </c>
      <c r="AF111" s="113">
        <v>20</v>
      </c>
      <c r="AG111" s="114">
        <v>75</v>
      </c>
      <c r="AH111" s="47">
        <f t="shared" si="33"/>
        <v>47.5</v>
      </c>
      <c r="AI111" s="48">
        <f t="shared" si="34"/>
        <v>2.7</v>
      </c>
    </row>
    <row r="112" spans="1:37" x14ac:dyDescent="0.25">
      <c r="A112" s="182" t="s">
        <v>120</v>
      </c>
      <c r="B112" s="115">
        <v>-3</v>
      </c>
      <c r="C112" s="115">
        <v>5.5</v>
      </c>
      <c r="D112" s="115">
        <v>9</v>
      </c>
      <c r="E112" s="115">
        <v>-2.2000000000000002</v>
      </c>
      <c r="F112" s="115">
        <v>2.7</v>
      </c>
      <c r="G112" s="115">
        <v>18.63</v>
      </c>
      <c r="H112" s="115">
        <v>16</v>
      </c>
      <c r="I112" s="115">
        <v>13.6</v>
      </c>
      <c r="J112" s="115">
        <v>13.6</v>
      </c>
      <c r="K112" s="115">
        <v>43.5</v>
      </c>
      <c r="L112" s="115">
        <v>41.2</v>
      </c>
      <c r="M112" s="115">
        <v>44.3</v>
      </c>
      <c r="N112" s="115">
        <v>44.3</v>
      </c>
      <c r="O112" s="115">
        <v>39.4</v>
      </c>
      <c r="P112" s="115">
        <v>39.4</v>
      </c>
      <c r="Q112" s="115">
        <v>30</v>
      </c>
      <c r="R112" s="115">
        <v>14.7</v>
      </c>
      <c r="S112" s="115">
        <v>11.5</v>
      </c>
      <c r="T112" s="115">
        <v>29.4</v>
      </c>
      <c r="U112" s="115">
        <v>32.4</v>
      </c>
      <c r="V112" s="115">
        <v>54</v>
      </c>
      <c r="W112" s="115">
        <v>43.6</v>
      </c>
      <c r="X112" s="115">
        <v>34.4</v>
      </c>
      <c r="Y112" s="115">
        <v>43.6</v>
      </c>
      <c r="Z112" s="115">
        <v>43.6</v>
      </c>
      <c r="AA112" s="115">
        <v>52.5</v>
      </c>
      <c r="AB112" s="115">
        <v>50</v>
      </c>
      <c r="AC112" s="115">
        <v>46</v>
      </c>
      <c r="AD112" s="115">
        <v>42</v>
      </c>
      <c r="AE112" s="115">
        <v>19</v>
      </c>
      <c r="AF112" s="115">
        <v>17</v>
      </c>
      <c r="AG112" s="114">
        <v>240</v>
      </c>
      <c r="AH112" s="47">
        <f t="shared" si="33"/>
        <v>54</v>
      </c>
      <c r="AI112" s="48">
        <f t="shared" si="34"/>
        <v>-3</v>
      </c>
    </row>
    <row r="113" spans="1:37" x14ac:dyDescent="0.25">
      <c r="A113" s="182" t="s">
        <v>121</v>
      </c>
      <c r="B113" s="115">
        <v>-65</v>
      </c>
      <c r="C113" s="115">
        <v>-75</v>
      </c>
      <c r="D113" s="115">
        <v>-80</v>
      </c>
      <c r="E113" s="115">
        <v>-76.2</v>
      </c>
      <c r="F113" s="115">
        <v>-78.2</v>
      </c>
      <c r="G113" s="115">
        <v>-69.5</v>
      </c>
      <c r="H113" s="115">
        <v>-58.9</v>
      </c>
      <c r="I113" s="115">
        <v>-48.5</v>
      </c>
      <c r="J113" s="115">
        <v>-48.5</v>
      </c>
      <c r="K113" s="115">
        <v>-34.200000000000003</v>
      </c>
      <c r="L113" s="115">
        <v>-17</v>
      </c>
      <c r="M113" s="115">
        <f>-11.4-13.4</f>
        <v>-24.8</v>
      </c>
      <c r="N113" s="115">
        <f t="shared" ref="N113" si="78">-11.4-13.4</f>
        <v>-24.8</v>
      </c>
      <c r="O113" s="115">
        <v>-27</v>
      </c>
      <c r="P113" s="115">
        <v>-27</v>
      </c>
      <c r="Q113" s="115">
        <v>-40</v>
      </c>
      <c r="R113" s="115">
        <f>-11.4-13.9</f>
        <v>-25.3</v>
      </c>
      <c r="S113" s="115">
        <f>-7.4-8.6</f>
        <v>-16</v>
      </c>
      <c r="T113" s="115">
        <f>-11-12.5</f>
        <v>-23.5</v>
      </c>
      <c r="U113" s="115">
        <v>-13</v>
      </c>
      <c r="V113" s="115">
        <v>-15</v>
      </c>
      <c r="W113" s="115">
        <v>-5.7</v>
      </c>
      <c r="X113" s="115">
        <v>22</v>
      </c>
      <c r="Y113" s="115">
        <v>13</v>
      </c>
      <c r="Z113" s="115">
        <v>11.3</v>
      </c>
      <c r="AA113" s="115">
        <v>0.7</v>
      </c>
      <c r="AB113" s="115">
        <v>-10</v>
      </c>
      <c r="AC113" s="115">
        <v>-10</v>
      </c>
      <c r="AD113" s="115">
        <v>-25</v>
      </c>
      <c r="AE113" s="115">
        <v>-44</v>
      </c>
      <c r="AF113" s="115">
        <v>-62</v>
      </c>
      <c r="AG113" s="114">
        <v>240</v>
      </c>
      <c r="AH113" s="47">
        <f t="shared" si="33"/>
        <v>22</v>
      </c>
      <c r="AI113" s="48">
        <f t="shared" si="34"/>
        <v>-80</v>
      </c>
    </row>
    <row r="114" spans="1:37" ht="15.75" thickBot="1" x14ac:dyDescent="0.3">
      <c r="A114" s="182" t="s">
        <v>122</v>
      </c>
      <c r="B114" s="115">
        <v>-12</v>
      </c>
      <c r="C114" s="115">
        <v>-12.7</v>
      </c>
      <c r="D114" s="115">
        <v>-16</v>
      </c>
      <c r="E114" s="115">
        <v>-10.6</v>
      </c>
      <c r="F114" s="115">
        <v>-13.2</v>
      </c>
      <c r="G114" s="115">
        <v>-10.4</v>
      </c>
      <c r="H114" s="115">
        <v>-6.6</v>
      </c>
      <c r="I114" s="115">
        <v>1.6</v>
      </c>
      <c r="J114" s="115">
        <v>1.6</v>
      </c>
      <c r="K114" s="115">
        <v>5.0999999999999996</v>
      </c>
      <c r="L114" s="115">
        <v>11.3</v>
      </c>
      <c r="M114" s="115">
        <v>18.7</v>
      </c>
      <c r="N114" s="115">
        <v>19.7</v>
      </c>
      <c r="O114" s="115">
        <v>31</v>
      </c>
      <c r="P114" s="115">
        <v>31</v>
      </c>
      <c r="Q114" s="115">
        <v>22</v>
      </c>
      <c r="R114" s="115">
        <v>3.6</v>
      </c>
      <c r="S114" s="115">
        <v>7</v>
      </c>
      <c r="T114" s="115">
        <v>11.3</v>
      </c>
      <c r="U114" s="115">
        <v>16.5</v>
      </c>
      <c r="V114" s="115">
        <v>18</v>
      </c>
      <c r="W114" s="115">
        <v>27</v>
      </c>
      <c r="X114" s="115">
        <v>56.2</v>
      </c>
      <c r="Y114" s="115">
        <v>48</v>
      </c>
      <c r="Z114" s="115">
        <v>31</v>
      </c>
      <c r="AA114" s="115">
        <v>21.2</v>
      </c>
      <c r="AB114" s="115">
        <v>9</v>
      </c>
      <c r="AC114" s="115">
        <v>9</v>
      </c>
      <c r="AD114" s="115">
        <v>8</v>
      </c>
      <c r="AE114" s="115">
        <v>-1.5</v>
      </c>
      <c r="AF114" s="115">
        <v>-8</v>
      </c>
      <c r="AG114" s="114">
        <v>60</v>
      </c>
      <c r="AH114" s="47">
        <f t="shared" si="33"/>
        <v>56.2</v>
      </c>
      <c r="AI114" s="48">
        <f t="shared" si="34"/>
        <v>-16</v>
      </c>
    </row>
    <row r="115" spans="1:37" x14ac:dyDescent="0.25">
      <c r="A115" s="181" t="s">
        <v>267</v>
      </c>
      <c r="B115" s="117">
        <f>37*1.7</f>
        <v>62.9</v>
      </c>
      <c r="C115" s="117">
        <f>1.7*20</f>
        <v>34</v>
      </c>
      <c r="D115" s="117">
        <v>21</v>
      </c>
      <c r="E115" s="117">
        <f>1.7*26.25</f>
        <v>44.625</v>
      </c>
      <c r="F115" s="117">
        <f>1.7*25.5</f>
        <v>43.35</v>
      </c>
      <c r="G115" s="117">
        <f>1.7*37.5</f>
        <v>63.75</v>
      </c>
      <c r="H115" s="117">
        <f>1.7*39.7</f>
        <v>67.490000000000009</v>
      </c>
      <c r="I115" s="117">
        <f>1.7*52.5</f>
        <v>89.25</v>
      </c>
      <c r="J115" s="117">
        <f>1.7*52.5</f>
        <v>89.25</v>
      </c>
      <c r="K115" s="117">
        <f>1.7*79.8</f>
        <v>135.66</v>
      </c>
      <c r="L115" s="117">
        <v>161</v>
      </c>
      <c r="M115" s="117">
        <f>92.9*1.5</f>
        <v>139.35000000000002</v>
      </c>
      <c r="N115" s="117">
        <f t="shared" ref="N115" si="79">92.9*1.5</f>
        <v>139.35000000000002</v>
      </c>
      <c r="O115" s="117">
        <v>130</v>
      </c>
      <c r="P115" s="117">
        <v>130</v>
      </c>
      <c r="Q115" s="117">
        <v>100</v>
      </c>
      <c r="R115" s="117">
        <f>63.6*1.5</f>
        <v>95.4</v>
      </c>
      <c r="S115" s="117">
        <f>60.8*1.5</f>
        <v>91.199999999999989</v>
      </c>
      <c r="T115" s="117">
        <f>53*1.5</f>
        <v>79.5</v>
      </c>
      <c r="U115" s="117">
        <f>59*1.65</f>
        <v>97.35</v>
      </c>
      <c r="V115" s="117">
        <f>-67*1.65</f>
        <v>-110.55</v>
      </c>
      <c r="W115" s="117">
        <f>79*1.65</f>
        <v>130.35</v>
      </c>
      <c r="X115" s="117">
        <f>87.2*1.65</f>
        <v>143.88</v>
      </c>
      <c r="Y115" s="117">
        <f>-82.1*1.67</f>
        <v>-137.10699999999997</v>
      </c>
      <c r="Z115" s="117">
        <f>85*1.67</f>
        <v>141.94999999999999</v>
      </c>
      <c r="AA115" s="117">
        <f>71.1*1.67</f>
        <v>118.73699999999998</v>
      </c>
      <c r="AB115" s="117">
        <v>110</v>
      </c>
      <c r="AC115" s="117">
        <v>110</v>
      </c>
      <c r="AD115" s="117">
        <v>90</v>
      </c>
      <c r="AE115" s="117">
        <v>50</v>
      </c>
      <c r="AF115" s="117">
        <v>40</v>
      </c>
      <c r="AG115" s="118">
        <v>120</v>
      </c>
      <c r="AH115" s="47">
        <f t="shared" si="33"/>
        <v>161</v>
      </c>
      <c r="AI115" s="48">
        <f t="shared" si="34"/>
        <v>-137.10699999999997</v>
      </c>
    </row>
    <row r="116" spans="1:37" x14ac:dyDescent="0.25">
      <c r="A116" s="182" t="s">
        <v>266</v>
      </c>
      <c r="B116" s="117">
        <v>66</v>
      </c>
      <c r="C116" s="117">
        <v>53</v>
      </c>
      <c r="D116" s="117">
        <v>53</v>
      </c>
      <c r="E116" s="117">
        <v>56.8</v>
      </c>
      <c r="F116" s="117">
        <v>56.4</v>
      </c>
      <c r="G116" s="117">
        <v>65.7</v>
      </c>
      <c r="H116" s="117">
        <v>68.400000000000006</v>
      </c>
      <c r="I116" s="117">
        <v>78.599999999999994</v>
      </c>
      <c r="J116" s="117">
        <v>78.599999999999994</v>
      </c>
      <c r="K116" s="117">
        <v>100.3</v>
      </c>
      <c r="L116" s="117">
        <v>113.3</v>
      </c>
      <c r="M116" s="117">
        <v>110.8</v>
      </c>
      <c r="N116" s="117">
        <v>110.8</v>
      </c>
      <c r="O116" s="117">
        <v>110.8</v>
      </c>
      <c r="P116" s="117">
        <v>110.8</v>
      </c>
      <c r="Q116" s="117">
        <v>81</v>
      </c>
      <c r="R116" s="117">
        <v>86.9</v>
      </c>
      <c r="S116" s="117">
        <v>84.9</v>
      </c>
      <c r="T116" s="117">
        <v>77</v>
      </c>
      <c r="U116" s="117">
        <v>84</v>
      </c>
      <c r="V116" s="117">
        <v>91</v>
      </c>
      <c r="W116" s="117">
        <v>101</v>
      </c>
      <c r="X116" s="117">
        <v>107</v>
      </c>
      <c r="Y116" s="117">
        <v>103</v>
      </c>
      <c r="Z116" s="117">
        <v>105.3</v>
      </c>
      <c r="AA116" s="117">
        <v>94</v>
      </c>
      <c r="AB116" s="117">
        <v>94</v>
      </c>
      <c r="AC116" s="117">
        <v>94</v>
      </c>
      <c r="AD116" s="117">
        <v>78</v>
      </c>
      <c r="AE116" s="117">
        <v>63</v>
      </c>
      <c r="AF116" s="117">
        <v>61</v>
      </c>
      <c r="AG116" s="118"/>
      <c r="AH116" s="47">
        <f t="shared" si="33"/>
        <v>113.3</v>
      </c>
      <c r="AI116" s="48">
        <f t="shared" si="34"/>
        <v>53</v>
      </c>
    </row>
    <row r="117" spans="1:37" x14ac:dyDescent="0.25">
      <c r="A117" s="182" t="s">
        <v>263</v>
      </c>
      <c r="B117" s="117">
        <v>-47</v>
      </c>
      <c r="C117" s="117">
        <v>-35</v>
      </c>
      <c r="D117" s="117">
        <v>-36</v>
      </c>
      <c r="E117" s="117">
        <v>-47.6</v>
      </c>
      <c r="F117" s="117">
        <v>-42.5</v>
      </c>
      <c r="G117" s="117">
        <v>-25.8</v>
      </c>
      <c r="H117" s="117">
        <v>-24.1</v>
      </c>
      <c r="I117" s="117">
        <v>-25.2</v>
      </c>
      <c r="J117" s="117">
        <v>-25.2</v>
      </c>
      <c r="K117" s="117">
        <v>3.2</v>
      </c>
      <c r="L117" s="117">
        <v>-8</v>
      </c>
      <c r="M117" s="117">
        <v>-4.9000000000000004</v>
      </c>
      <c r="N117" s="117">
        <v>-4.9000000000000004</v>
      </c>
      <c r="O117" s="117">
        <v>-10</v>
      </c>
      <c r="P117" s="117">
        <v>-10</v>
      </c>
      <c r="Q117" s="117">
        <v>-1</v>
      </c>
      <c r="R117" s="117">
        <v>25</v>
      </c>
      <c r="S117" s="117">
        <v>20.5</v>
      </c>
      <c r="T117" s="117">
        <v>0.5</v>
      </c>
      <c r="U117" s="117">
        <v>-6</v>
      </c>
      <c r="V117" s="117">
        <v>-34</v>
      </c>
      <c r="W117" s="117">
        <v>-35</v>
      </c>
      <c r="X117" s="117">
        <v>-29</v>
      </c>
      <c r="Y117" s="117">
        <v>-35.1</v>
      </c>
      <c r="Z117" s="117">
        <v>-30.1</v>
      </c>
      <c r="AA117" s="117">
        <v>-36</v>
      </c>
      <c r="AB117" s="117">
        <v>-22</v>
      </c>
      <c r="AC117" s="117">
        <v>-22</v>
      </c>
      <c r="AD117" s="117">
        <v>-17</v>
      </c>
      <c r="AE117" s="117">
        <v>11</v>
      </c>
      <c r="AF117" s="117">
        <v>21</v>
      </c>
      <c r="AG117" s="118"/>
      <c r="AH117" s="47">
        <f t="shared" si="33"/>
        <v>25</v>
      </c>
      <c r="AI117" s="48">
        <f t="shared" si="34"/>
        <v>-47.6</v>
      </c>
    </row>
    <row r="118" spans="1:37" ht="15.75" thickBot="1" x14ac:dyDescent="0.3">
      <c r="A118" s="182" t="s">
        <v>260</v>
      </c>
      <c r="B118" s="117">
        <v>72</v>
      </c>
      <c r="C118" s="117">
        <v>53</v>
      </c>
      <c r="D118" s="117">
        <v>55</v>
      </c>
      <c r="E118" s="117">
        <v>59.1</v>
      </c>
      <c r="F118" s="117">
        <v>58.6</v>
      </c>
      <c r="G118" s="117">
        <v>66</v>
      </c>
      <c r="H118" s="117">
        <v>69.8</v>
      </c>
      <c r="I118" s="117">
        <v>77.900000000000006</v>
      </c>
      <c r="J118" s="117">
        <v>77.900000000000006</v>
      </c>
      <c r="K118" s="117">
        <v>99.6</v>
      </c>
      <c r="L118" s="117">
        <v>102</v>
      </c>
      <c r="M118" s="117">
        <v>108.3</v>
      </c>
      <c r="N118" s="117">
        <v>108.3</v>
      </c>
      <c r="O118" s="117">
        <v>100</v>
      </c>
      <c r="P118" s="117">
        <v>100</v>
      </c>
      <c r="Q118" s="117">
        <v>84</v>
      </c>
      <c r="R118" s="117">
        <v>89.9</v>
      </c>
      <c r="S118" s="117">
        <v>87.2</v>
      </c>
      <c r="T118" s="117">
        <v>74</v>
      </c>
      <c r="U118" s="117">
        <v>80</v>
      </c>
      <c r="V118" s="117">
        <v>74</v>
      </c>
      <c r="W118" s="117">
        <v>79</v>
      </c>
      <c r="X118" s="117">
        <v>82</v>
      </c>
      <c r="Y118" s="117">
        <v>76.400000000000006</v>
      </c>
      <c r="Z118" s="117">
        <v>84</v>
      </c>
      <c r="AA118" s="117">
        <v>75.2</v>
      </c>
      <c r="AB118" s="117">
        <v>83</v>
      </c>
      <c r="AC118" s="117">
        <v>83</v>
      </c>
      <c r="AD118" s="117">
        <v>69</v>
      </c>
      <c r="AE118" s="117">
        <v>58</v>
      </c>
      <c r="AF118" s="117">
        <v>55</v>
      </c>
      <c r="AG118" s="114"/>
      <c r="AH118" s="47">
        <f t="shared" si="33"/>
        <v>108.3</v>
      </c>
      <c r="AI118" s="48">
        <f t="shared" si="34"/>
        <v>53</v>
      </c>
    </row>
    <row r="119" spans="1:37" x14ac:dyDescent="0.25">
      <c r="A119" s="181" t="s">
        <v>264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4"/>
      <c r="AH119" s="47">
        <f t="shared" si="33"/>
        <v>0</v>
      </c>
      <c r="AI119" s="48">
        <f t="shared" si="34"/>
        <v>0</v>
      </c>
    </row>
    <row r="120" spans="1:37" x14ac:dyDescent="0.25">
      <c r="A120" s="182" t="s">
        <v>126</v>
      </c>
      <c r="B120" s="106">
        <v>9</v>
      </c>
      <c r="C120" s="106">
        <v>12.8</v>
      </c>
      <c r="D120" s="106">
        <v>13</v>
      </c>
      <c r="E120" s="106">
        <v>13.3</v>
      </c>
      <c r="F120" s="106">
        <v>12</v>
      </c>
      <c r="G120" s="106">
        <v>4</v>
      </c>
      <c r="H120" s="106">
        <v>2.1</v>
      </c>
      <c r="I120" s="106">
        <v>-3.2</v>
      </c>
      <c r="J120" s="106">
        <v>-3.2</v>
      </c>
      <c r="K120" s="106">
        <v>-19.600000000000001</v>
      </c>
      <c r="L120" s="106">
        <v>-24.2</v>
      </c>
      <c r="M120" s="106">
        <v>-22.3</v>
      </c>
      <c r="N120" s="106">
        <v>-22.3</v>
      </c>
      <c r="O120" s="106">
        <v>-12</v>
      </c>
      <c r="P120" s="106">
        <v>-12</v>
      </c>
      <c r="Q120" s="106">
        <v>-6</v>
      </c>
      <c r="R120" s="106">
        <v>-4.3</v>
      </c>
      <c r="S120" s="106">
        <v>-2.7</v>
      </c>
      <c r="T120" s="106">
        <v>-11</v>
      </c>
      <c r="U120" s="106">
        <v>-15.1</v>
      </c>
      <c r="V120" s="106">
        <v>-30</v>
      </c>
      <c r="W120" s="106">
        <v>-40</v>
      </c>
      <c r="X120" s="106">
        <v>-35</v>
      </c>
      <c r="Y120" s="106">
        <v>-27.3</v>
      </c>
      <c r="Z120" s="106">
        <v>-22</v>
      </c>
      <c r="AA120" s="106">
        <v>-18</v>
      </c>
      <c r="AB120" s="106">
        <v>-11</v>
      </c>
      <c r="AC120" s="106">
        <v>-11</v>
      </c>
      <c r="AD120" s="106">
        <v>-2.4</v>
      </c>
      <c r="AE120" s="106">
        <v>6</v>
      </c>
      <c r="AF120" s="106">
        <v>6</v>
      </c>
      <c r="AG120" s="114"/>
      <c r="AH120" s="47">
        <f t="shared" si="33"/>
        <v>13.3</v>
      </c>
      <c r="AI120" s="48">
        <f t="shared" si="34"/>
        <v>-40</v>
      </c>
    </row>
    <row r="121" spans="1:37" x14ac:dyDescent="0.25">
      <c r="A121" s="182" t="s">
        <v>268</v>
      </c>
      <c r="B121" s="106">
        <v>32</v>
      </c>
      <c r="C121" s="106">
        <v>39</v>
      </c>
      <c r="D121" s="106">
        <v>47</v>
      </c>
      <c r="E121" s="106">
        <v>40.299999999999997</v>
      </c>
      <c r="F121" s="106">
        <v>43.6</v>
      </c>
      <c r="G121" s="106">
        <v>43.3</v>
      </c>
      <c r="H121" s="106">
        <v>36</v>
      </c>
      <c r="I121" s="106">
        <v>28.8</v>
      </c>
      <c r="J121" s="106">
        <v>28.8</v>
      </c>
      <c r="K121" s="106">
        <v>27</v>
      </c>
      <c r="L121" s="106">
        <v>2.9</v>
      </c>
      <c r="M121" s="106">
        <v>23.1</v>
      </c>
      <c r="N121" s="106">
        <v>23.1</v>
      </c>
      <c r="O121" s="106">
        <v>22</v>
      </c>
      <c r="P121" s="106">
        <v>22</v>
      </c>
      <c r="Q121" s="106">
        <v>25</v>
      </c>
      <c r="R121" s="106">
        <v>8.8000000000000007</v>
      </c>
      <c r="S121" s="106">
        <v>0.9</v>
      </c>
      <c r="T121" s="106">
        <v>17.7</v>
      </c>
      <c r="U121" s="106">
        <v>15</v>
      </c>
      <c r="V121" s="106">
        <v>22</v>
      </c>
      <c r="W121" s="106">
        <v>12.6</v>
      </c>
      <c r="X121" s="106">
        <v>14</v>
      </c>
      <c r="Y121" s="106">
        <v>16.100000000000001</v>
      </c>
      <c r="Z121" s="106">
        <v>5</v>
      </c>
      <c r="AA121" s="106">
        <v>14</v>
      </c>
      <c r="AB121" s="106">
        <v>11</v>
      </c>
      <c r="AC121" s="106">
        <v>11</v>
      </c>
      <c r="AD121" s="106">
        <v>22</v>
      </c>
      <c r="AE121" s="106">
        <v>21</v>
      </c>
      <c r="AF121" s="106">
        <v>32</v>
      </c>
      <c r="AG121" s="114"/>
      <c r="AH121" s="47">
        <f t="shared" si="33"/>
        <v>47</v>
      </c>
      <c r="AI121" s="48">
        <f t="shared" si="34"/>
        <v>0.9</v>
      </c>
    </row>
    <row r="122" spans="1:37" x14ac:dyDescent="0.25">
      <c r="A122" s="182" t="s">
        <v>265</v>
      </c>
      <c r="B122" s="106">
        <v>75</v>
      </c>
      <c r="C122" s="106">
        <v>63.8</v>
      </c>
      <c r="D122" s="106">
        <v>66</v>
      </c>
      <c r="E122" s="106">
        <v>45.9</v>
      </c>
      <c r="F122" s="106">
        <v>41.9</v>
      </c>
      <c r="G122" s="106">
        <v>54.5</v>
      </c>
      <c r="H122" s="106">
        <v>59</v>
      </c>
      <c r="I122" s="106">
        <v>62.5</v>
      </c>
      <c r="J122" s="106">
        <v>62.5</v>
      </c>
      <c r="K122" s="106">
        <v>75</v>
      </c>
      <c r="L122" s="106">
        <v>87.8</v>
      </c>
      <c r="M122" s="106">
        <v>109.2</v>
      </c>
      <c r="N122" s="106">
        <v>109.2</v>
      </c>
      <c r="O122" s="106">
        <v>98</v>
      </c>
      <c r="P122" s="106">
        <v>98</v>
      </c>
      <c r="Q122" s="106">
        <v>82</v>
      </c>
      <c r="R122" s="106">
        <v>53.8</v>
      </c>
      <c r="S122" s="106">
        <v>77.2</v>
      </c>
      <c r="T122" s="106">
        <v>90.2</v>
      </c>
      <c r="U122" s="106">
        <v>94</v>
      </c>
      <c r="V122" s="106">
        <v>102</v>
      </c>
      <c r="W122" s="106">
        <v>116</v>
      </c>
      <c r="X122" s="106">
        <v>110</v>
      </c>
      <c r="Y122" s="106">
        <v>109</v>
      </c>
      <c r="Z122" s="106">
        <v>101</v>
      </c>
      <c r="AA122" s="106">
        <v>105</v>
      </c>
      <c r="AB122" s="106">
        <v>98</v>
      </c>
      <c r="AC122" s="106">
        <v>98</v>
      </c>
      <c r="AD122" s="106">
        <v>54</v>
      </c>
      <c r="AE122" s="106">
        <v>74</v>
      </c>
      <c r="AF122" s="106">
        <v>75</v>
      </c>
      <c r="AG122" s="114"/>
      <c r="AH122" s="47">
        <f t="shared" si="33"/>
        <v>116</v>
      </c>
      <c r="AI122" s="48">
        <f t="shared" si="34"/>
        <v>41.9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76" t="s">
        <v>258</v>
      </c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83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80">SUM(B124:B228)</f>
        <v>0</v>
      </c>
      <c r="C229" s="137">
        <f t="shared" si="80"/>
        <v>0</v>
      </c>
      <c r="D229" s="137">
        <f t="shared" si="80"/>
        <v>0</v>
      </c>
      <c r="E229" s="137">
        <f t="shared" si="80"/>
        <v>0</v>
      </c>
      <c r="F229" s="137">
        <f t="shared" si="80"/>
        <v>0</v>
      </c>
      <c r="G229" s="137">
        <f t="shared" si="80"/>
        <v>0</v>
      </c>
      <c r="H229" s="137">
        <f t="shared" si="80"/>
        <v>0</v>
      </c>
      <c r="I229" s="137">
        <f t="shared" si="80"/>
        <v>0</v>
      </c>
      <c r="J229" s="137">
        <f t="shared" si="80"/>
        <v>0</v>
      </c>
      <c r="K229" s="137">
        <f t="shared" si="80"/>
        <v>0</v>
      </c>
      <c r="L229" s="137">
        <f t="shared" si="80"/>
        <v>0</v>
      </c>
      <c r="M229" s="137">
        <f t="shared" si="80"/>
        <v>0</v>
      </c>
      <c r="N229" s="137">
        <f t="shared" si="80"/>
        <v>0</v>
      </c>
      <c r="O229" s="137">
        <f t="shared" si="80"/>
        <v>0</v>
      </c>
      <c r="P229" s="137">
        <f t="shared" si="80"/>
        <v>0</v>
      </c>
      <c r="Q229" s="137">
        <f t="shared" si="80"/>
        <v>0</v>
      </c>
      <c r="R229" s="137">
        <f t="shared" si="80"/>
        <v>0</v>
      </c>
      <c r="S229" s="137">
        <f t="shared" si="80"/>
        <v>0</v>
      </c>
      <c r="T229" s="137">
        <f t="shared" si="80"/>
        <v>0</v>
      </c>
      <c r="U229" s="137">
        <f t="shared" si="80"/>
        <v>0</v>
      </c>
      <c r="V229" s="137">
        <f t="shared" si="80"/>
        <v>0</v>
      </c>
      <c r="W229" s="137">
        <f t="shared" si="80"/>
        <v>0</v>
      </c>
      <c r="X229" s="137">
        <f t="shared" si="80"/>
        <v>0</v>
      </c>
      <c r="Y229" s="137">
        <f t="shared" si="80"/>
        <v>0</v>
      </c>
      <c r="Z229" s="137">
        <f t="shared" si="80"/>
        <v>0</v>
      </c>
      <c r="AA229" s="137">
        <f t="shared" si="80"/>
        <v>0</v>
      </c>
      <c r="AB229" s="137">
        <f t="shared" si="80"/>
        <v>0</v>
      </c>
      <c r="AC229" s="137">
        <f t="shared" si="80"/>
        <v>0</v>
      </c>
      <c r="AD229" s="137">
        <f t="shared" si="80"/>
        <v>0</v>
      </c>
      <c r="AE229" s="137">
        <f t="shared" si="80"/>
        <v>0</v>
      </c>
      <c r="AF229" s="138">
        <f t="shared" si="80"/>
        <v>0</v>
      </c>
      <c r="AG229" s="139">
        <f t="shared" si="80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81">AF231</f>
        <v>0.3</v>
      </c>
      <c r="C231" s="141">
        <v>0.3</v>
      </c>
      <c r="D231" s="141">
        <f t="shared" ref="D231:S236" si="82">C231</f>
        <v>0.3</v>
      </c>
      <c r="E231" s="141">
        <f t="shared" si="82"/>
        <v>0.3</v>
      </c>
      <c r="F231" s="141">
        <f t="shared" si="82"/>
        <v>0.3</v>
      </c>
      <c r="G231" s="141">
        <f t="shared" si="82"/>
        <v>0.3</v>
      </c>
      <c r="H231" s="141">
        <f t="shared" si="82"/>
        <v>0.3</v>
      </c>
      <c r="I231" s="141">
        <f t="shared" si="82"/>
        <v>0.3</v>
      </c>
      <c r="J231" s="141">
        <f t="shared" si="82"/>
        <v>0.3</v>
      </c>
      <c r="K231" s="141">
        <f t="shared" si="82"/>
        <v>0.3</v>
      </c>
      <c r="L231" s="141">
        <f t="shared" si="82"/>
        <v>0.3</v>
      </c>
      <c r="M231" s="141">
        <f t="shared" si="82"/>
        <v>0.3</v>
      </c>
      <c r="N231" s="141">
        <f t="shared" si="82"/>
        <v>0.3</v>
      </c>
      <c r="O231" s="141">
        <f t="shared" si="82"/>
        <v>0.3</v>
      </c>
      <c r="P231" s="141">
        <f t="shared" si="82"/>
        <v>0.3</v>
      </c>
      <c r="Q231" s="141">
        <f t="shared" si="82"/>
        <v>0.3</v>
      </c>
      <c r="R231" s="141">
        <f t="shared" si="82"/>
        <v>0.3</v>
      </c>
      <c r="S231" s="141">
        <f t="shared" si="82"/>
        <v>0.3</v>
      </c>
      <c r="T231" s="141">
        <f t="shared" ref="T231:AF236" si="83">S231</f>
        <v>0.3</v>
      </c>
      <c r="U231" s="141">
        <f t="shared" si="83"/>
        <v>0.3</v>
      </c>
      <c r="V231" s="141">
        <f t="shared" si="83"/>
        <v>0.3</v>
      </c>
      <c r="W231" s="141">
        <f t="shared" si="83"/>
        <v>0.3</v>
      </c>
      <c r="X231" s="141">
        <f t="shared" si="83"/>
        <v>0.3</v>
      </c>
      <c r="Y231" s="141">
        <f t="shared" si="83"/>
        <v>0.3</v>
      </c>
      <c r="Z231" s="141">
        <f t="shared" si="83"/>
        <v>0.3</v>
      </c>
      <c r="AA231" s="141">
        <f t="shared" si="83"/>
        <v>0.3</v>
      </c>
      <c r="AB231" s="141">
        <f t="shared" si="83"/>
        <v>0.3</v>
      </c>
      <c r="AC231" s="141">
        <f t="shared" si="83"/>
        <v>0.3</v>
      </c>
      <c r="AD231" s="141">
        <f t="shared" si="83"/>
        <v>0.3</v>
      </c>
      <c r="AE231" s="141">
        <f t="shared" si="83"/>
        <v>0.3</v>
      </c>
      <c r="AF231" s="141">
        <f t="shared" si="83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81"/>
        <v>0.4</v>
      </c>
      <c r="C232" s="129">
        <v>0.4</v>
      </c>
      <c r="D232" s="129">
        <f t="shared" si="82"/>
        <v>0.4</v>
      </c>
      <c r="E232" s="129">
        <f t="shared" si="82"/>
        <v>0.4</v>
      </c>
      <c r="F232" s="129">
        <f t="shared" si="82"/>
        <v>0.4</v>
      </c>
      <c r="G232" s="129">
        <f t="shared" si="82"/>
        <v>0.4</v>
      </c>
      <c r="H232" s="129">
        <f t="shared" si="82"/>
        <v>0.4</v>
      </c>
      <c r="I232" s="129">
        <f t="shared" si="82"/>
        <v>0.4</v>
      </c>
      <c r="J232" s="129">
        <f t="shared" si="82"/>
        <v>0.4</v>
      </c>
      <c r="K232" s="129">
        <f t="shared" si="82"/>
        <v>0.4</v>
      </c>
      <c r="L232" s="129">
        <f t="shared" si="82"/>
        <v>0.4</v>
      </c>
      <c r="M232" s="129">
        <f t="shared" si="82"/>
        <v>0.4</v>
      </c>
      <c r="N232" s="129">
        <f t="shared" si="82"/>
        <v>0.4</v>
      </c>
      <c r="O232" s="129">
        <f t="shared" si="82"/>
        <v>0.4</v>
      </c>
      <c r="P232" s="129">
        <f t="shared" si="82"/>
        <v>0.4</v>
      </c>
      <c r="Q232" s="129">
        <f t="shared" si="82"/>
        <v>0.4</v>
      </c>
      <c r="R232" s="129">
        <f t="shared" si="82"/>
        <v>0.4</v>
      </c>
      <c r="S232" s="129">
        <f t="shared" si="82"/>
        <v>0.4</v>
      </c>
      <c r="T232" s="129">
        <f t="shared" si="83"/>
        <v>0.4</v>
      </c>
      <c r="U232" s="129">
        <f t="shared" si="83"/>
        <v>0.4</v>
      </c>
      <c r="V232" s="129">
        <f t="shared" si="83"/>
        <v>0.4</v>
      </c>
      <c r="W232" s="129">
        <f t="shared" si="83"/>
        <v>0.4</v>
      </c>
      <c r="X232" s="129">
        <f t="shared" si="83"/>
        <v>0.4</v>
      </c>
      <c r="Y232" s="129">
        <f t="shared" si="83"/>
        <v>0.4</v>
      </c>
      <c r="Z232" s="129">
        <f t="shared" si="83"/>
        <v>0.4</v>
      </c>
      <c r="AA232" s="129">
        <f t="shared" si="83"/>
        <v>0.4</v>
      </c>
      <c r="AB232" s="129">
        <f t="shared" si="83"/>
        <v>0.4</v>
      </c>
      <c r="AC232" s="129">
        <f t="shared" si="83"/>
        <v>0.4</v>
      </c>
      <c r="AD232" s="129">
        <f t="shared" si="83"/>
        <v>0.4</v>
      </c>
      <c r="AE232" s="129">
        <f t="shared" si="83"/>
        <v>0.4</v>
      </c>
      <c r="AF232" s="129">
        <f t="shared" si="83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81"/>
        <v>1.5</v>
      </c>
      <c r="C233" s="129">
        <v>1.5</v>
      </c>
      <c r="D233" s="129">
        <f t="shared" si="82"/>
        <v>1.5</v>
      </c>
      <c r="E233" s="129">
        <f t="shared" si="82"/>
        <v>1.5</v>
      </c>
      <c r="F233" s="129">
        <f t="shared" si="82"/>
        <v>1.5</v>
      </c>
      <c r="G233" s="129">
        <f t="shared" si="82"/>
        <v>1.5</v>
      </c>
      <c r="H233" s="129">
        <f t="shared" si="82"/>
        <v>1.5</v>
      </c>
      <c r="I233" s="129">
        <f t="shared" si="82"/>
        <v>1.5</v>
      </c>
      <c r="J233" s="129">
        <f t="shared" si="82"/>
        <v>1.5</v>
      </c>
      <c r="K233" s="129">
        <f t="shared" si="82"/>
        <v>1.5</v>
      </c>
      <c r="L233" s="129">
        <f t="shared" si="82"/>
        <v>1.5</v>
      </c>
      <c r="M233" s="129">
        <f t="shared" si="82"/>
        <v>1.5</v>
      </c>
      <c r="N233" s="129">
        <f t="shared" si="82"/>
        <v>1.5</v>
      </c>
      <c r="O233" s="129">
        <f t="shared" si="82"/>
        <v>1.5</v>
      </c>
      <c r="P233" s="129">
        <f t="shared" si="82"/>
        <v>1.5</v>
      </c>
      <c r="Q233" s="129">
        <f t="shared" si="82"/>
        <v>1.5</v>
      </c>
      <c r="R233" s="129">
        <f t="shared" si="82"/>
        <v>1.5</v>
      </c>
      <c r="S233" s="129">
        <f t="shared" si="82"/>
        <v>1.5</v>
      </c>
      <c r="T233" s="129">
        <f t="shared" si="83"/>
        <v>1.5</v>
      </c>
      <c r="U233" s="129">
        <f t="shared" si="83"/>
        <v>1.5</v>
      </c>
      <c r="V233" s="129">
        <f t="shared" si="83"/>
        <v>1.5</v>
      </c>
      <c r="W233" s="129">
        <f t="shared" si="83"/>
        <v>1.5</v>
      </c>
      <c r="X233" s="129">
        <f t="shared" si="83"/>
        <v>1.5</v>
      </c>
      <c r="Y233" s="129">
        <f t="shared" si="83"/>
        <v>1.5</v>
      </c>
      <c r="Z233" s="129">
        <f t="shared" si="83"/>
        <v>1.5</v>
      </c>
      <c r="AA233" s="129">
        <f t="shared" si="83"/>
        <v>1.5</v>
      </c>
      <c r="AB233" s="129">
        <f t="shared" si="83"/>
        <v>1.5</v>
      </c>
      <c r="AC233" s="129">
        <f t="shared" si="83"/>
        <v>1.5</v>
      </c>
      <c r="AD233" s="129">
        <f t="shared" si="83"/>
        <v>1.5</v>
      </c>
      <c r="AE233" s="129">
        <f t="shared" si="83"/>
        <v>1.5</v>
      </c>
      <c r="AF233" s="129">
        <f t="shared" si="83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81"/>
        <v>0.3</v>
      </c>
      <c r="C234" s="129">
        <v>0.3</v>
      </c>
      <c r="D234" s="129">
        <f t="shared" si="82"/>
        <v>0.3</v>
      </c>
      <c r="E234" s="129">
        <f t="shared" si="82"/>
        <v>0.3</v>
      </c>
      <c r="F234" s="129">
        <f t="shared" si="82"/>
        <v>0.3</v>
      </c>
      <c r="G234" s="129">
        <f t="shared" si="82"/>
        <v>0.3</v>
      </c>
      <c r="H234" s="129">
        <f t="shared" si="82"/>
        <v>0.3</v>
      </c>
      <c r="I234" s="129">
        <f t="shared" si="82"/>
        <v>0.3</v>
      </c>
      <c r="J234" s="129">
        <f t="shared" si="82"/>
        <v>0.3</v>
      </c>
      <c r="K234" s="129">
        <f t="shared" si="82"/>
        <v>0.3</v>
      </c>
      <c r="L234" s="129">
        <f t="shared" si="82"/>
        <v>0.3</v>
      </c>
      <c r="M234" s="129">
        <f t="shared" si="82"/>
        <v>0.3</v>
      </c>
      <c r="N234" s="129">
        <f t="shared" si="82"/>
        <v>0.3</v>
      </c>
      <c r="O234" s="129">
        <f t="shared" si="82"/>
        <v>0.3</v>
      </c>
      <c r="P234" s="129">
        <f t="shared" si="82"/>
        <v>0.3</v>
      </c>
      <c r="Q234" s="129">
        <f t="shared" si="82"/>
        <v>0.3</v>
      </c>
      <c r="R234" s="129">
        <f t="shared" si="82"/>
        <v>0.3</v>
      </c>
      <c r="S234" s="129">
        <f t="shared" si="82"/>
        <v>0.3</v>
      </c>
      <c r="T234" s="129">
        <f t="shared" si="83"/>
        <v>0.3</v>
      </c>
      <c r="U234" s="129">
        <f t="shared" si="83"/>
        <v>0.3</v>
      </c>
      <c r="V234" s="129">
        <f t="shared" si="83"/>
        <v>0.3</v>
      </c>
      <c r="W234" s="129">
        <f t="shared" si="83"/>
        <v>0.3</v>
      </c>
      <c r="X234" s="129">
        <f t="shared" si="83"/>
        <v>0.3</v>
      </c>
      <c r="Y234" s="129">
        <f t="shared" si="83"/>
        <v>0.3</v>
      </c>
      <c r="Z234" s="129">
        <f t="shared" si="83"/>
        <v>0.3</v>
      </c>
      <c r="AA234" s="129">
        <f t="shared" si="83"/>
        <v>0.3</v>
      </c>
      <c r="AB234" s="129">
        <f t="shared" si="83"/>
        <v>0.3</v>
      </c>
      <c r="AC234" s="129">
        <f t="shared" si="83"/>
        <v>0.3</v>
      </c>
      <c r="AD234" s="129">
        <f t="shared" si="83"/>
        <v>0.3</v>
      </c>
      <c r="AE234" s="129">
        <f t="shared" si="83"/>
        <v>0.3</v>
      </c>
      <c r="AF234" s="129">
        <f t="shared" si="83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81"/>
        <v>0.4</v>
      </c>
      <c r="C235" s="129">
        <v>0.4</v>
      </c>
      <c r="D235" s="129">
        <f t="shared" si="82"/>
        <v>0.4</v>
      </c>
      <c r="E235" s="129">
        <f t="shared" si="82"/>
        <v>0.4</v>
      </c>
      <c r="F235" s="129">
        <f t="shared" si="82"/>
        <v>0.4</v>
      </c>
      <c r="G235" s="129">
        <f t="shared" si="82"/>
        <v>0.4</v>
      </c>
      <c r="H235" s="129">
        <f t="shared" si="82"/>
        <v>0.4</v>
      </c>
      <c r="I235" s="129">
        <f t="shared" si="82"/>
        <v>0.4</v>
      </c>
      <c r="J235" s="129">
        <f t="shared" si="82"/>
        <v>0.4</v>
      </c>
      <c r="K235" s="129">
        <f t="shared" si="82"/>
        <v>0.4</v>
      </c>
      <c r="L235" s="129">
        <f t="shared" si="82"/>
        <v>0.4</v>
      </c>
      <c r="M235" s="129">
        <f t="shared" si="82"/>
        <v>0.4</v>
      </c>
      <c r="N235" s="129">
        <f t="shared" si="82"/>
        <v>0.4</v>
      </c>
      <c r="O235" s="129">
        <f t="shared" si="82"/>
        <v>0.4</v>
      </c>
      <c r="P235" s="129">
        <f t="shared" si="82"/>
        <v>0.4</v>
      </c>
      <c r="Q235" s="129">
        <f t="shared" si="82"/>
        <v>0.4</v>
      </c>
      <c r="R235" s="129">
        <f t="shared" si="82"/>
        <v>0.4</v>
      </c>
      <c r="S235" s="129">
        <f t="shared" si="82"/>
        <v>0.4</v>
      </c>
      <c r="T235" s="129">
        <f t="shared" si="83"/>
        <v>0.4</v>
      </c>
      <c r="U235" s="129">
        <f t="shared" si="83"/>
        <v>0.4</v>
      </c>
      <c r="V235" s="129">
        <f t="shared" si="83"/>
        <v>0.4</v>
      </c>
      <c r="W235" s="129">
        <f t="shared" si="83"/>
        <v>0.4</v>
      </c>
      <c r="X235" s="129">
        <f t="shared" si="83"/>
        <v>0.4</v>
      </c>
      <c r="Y235" s="129">
        <f t="shared" si="83"/>
        <v>0.4</v>
      </c>
      <c r="Z235" s="129">
        <f t="shared" si="83"/>
        <v>0.4</v>
      </c>
      <c r="AA235" s="129">
        <f t="shared" si="83"/>
        <v>0.4</v>
      </c>
      <c r="AB235" s="129">
        <f t="shared" si="83"/>
        <v>0.4</v>
      </c>
      <c r="AC235" s="129">
        <f t="shared" si="83"/>
        <v>0.4</v>
      </c>
      <c r="AD235" s="129">
        <f t="shared" si="83"/>
        <v>0.4</v>
      </c>
      <c r="AE235" s="129">
        <f t="shared" si="83"/>
        <v>0.4</v>
      </c>
      <c r="AF235" s="129">
        <f t="shared" si="83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81"/>
        <v>0.64</v>
      </c>
      <c r="C236" s="133">
        <v>0.64</v>
      </c>
      <c r="D236" s="133">
        <f t="shared" si="82"/>
        <v>0.64</v>
      </c>
      <c r="E236" s="133">
        <f t="shared" si="82"/>
        <v>0.64</v>
      </c>
      <c r="F236" s="133">
        <f t="shared" si="82"/>
        <v>0.64</v>
      </c>
      <c r="G236" s="133">
        <f t="shared" si="82"/>
        <v>0.64</v>
      </c>
      <c r="H236" s="133">
        <f t="shared" si="82"/>
        <v>0.64</v>
      </c>
      <c r="I236" s="133">
        <f t="shared" si="82"/>
        <v>0.64</v>
      </c>
      <c r="J236" s="133">
        <f t="shared" si="82"/>
        <v>0.64</v>
      </c>
      <c r="K236" s="133">
        <f t="shared" si="82"/>
        <v>0.64</v>
      </c>
      <c r="L236" s="133">
        <f t="shared" si="82"/>
        <v>0.64</v>
      </c>
      <c r="M236" s="133">
        <f t="shared" si="82"/>
        <v>0.64</v>
      </c>
      <c r="N236" s="133">
        <f t="shared" si="82"/>
        <v>0.64</v>
      </c>
      <c r="O236" s="133">
        <f t="shared" si="82"/>
        <v>0.64</v>
      </c>
      <c r="P236" s="133">
        <f t="shared" si="82"/>
        <v>0.64</v>
      </c>
      <c r="Q236" s="133">
        <f t="shared" si="82"/>
        <v>0.64</v>
      </c>
      <c r="R236" s="133">
        <f t="shared" si="82"/>
        <v>0.64</v>
      </c>
      <c r="S236" s="133">
        <f t="shared" si="82"/>
        <v>0.64</v>
      </c>
      <c r="T236" s="133">
        <f t="shared" si="83"/>
        <v>0.64</v>
      </c>
      <c r="U236" s="133">
        <f t="shared" si="83"/>
        <v>0.64</v>
      </c>
      <c r="V236" s="133">
        <f t="shared" si="83"/>
        <v>0.64</v>
      </c>
      <c r="W236" s="133">
        <f t="shared" si="83"/>
        <v>0.64</v>
      </c>
      <c r="X236" s="133">
        <f t="shared" si="83"/>
        <v>0.64</v>
      </c>
      <c r="Y236" s="133">
        <f t="shared" si="83"/>
        <v>0.64</v>
      </c>
      <c r="Z236" s="133">
        <f t="shared" si="83"/>
        <v>0.64</v>
      </c>
      <c r="AA236" s="133">
        <f t="shared" si="83"/>
        <v>0.64</v>
      </c>
      <c r="AB236" s="133">
        <f t="shared" si="83"/>
        <v>0.64</v>
      </c>
      <c r="AC236" s="133">
        <f t="shared" si="83"/>
        <v>0.64</v>
      </c>
      <c r="AD236" s="133">
        <f t="shared" si="83"/>
        <v>0.64</v>
      </c>
      <c r="AE236" s="133">
        <f t="shared" si="83"/>
        <v>0.64</v>
      </c>
      <c r="AF236" s="133">
        <f t="shared" si="83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84">SUM(B231:B236)</f>
        <v>3.54</v>
      </c>
      <c r="C237" s="137">
        <f t="shared" si="84"/>
        <v>3.54</v>
      </c>
      <c r="D237" s="137">
        <f t="shared" si="84"/>
        <v>3.54</v>
      </c>
      <c r="E237" s="137">
        <f t="shared" si="84"/>
        <v>3.54</v>
      </c>
      <c r="F237" s="137">
        <f t="shared" si="84"/>
        <v>3.54</v>
      </c>
      <c r="G237" s="137">
        <f t="shared" si="84"/>
        <v>3.54</v>
      </c>
      <c r="H237" s="137">
        <f t="shared" si="84"/>
        <v>3.54</v>
      </c>
      <c r="I237" s="137">
        <f t="shared" si="84"/>
        <v>3.54</v>
      </c>
      <c r="J237" s="137">
        <f t="shared" si="84"/>
        <v>3.54</v>
      </c>
      <c r="K237" s="137">
        <f t="shared" si="84"/>
        <v>3.54</v>
      </c>
      <c r="L237" s="137">
        <f t="shared" si="84"/>
        <v>3.54</v>
      </c>
      <c r="M237" s="137">
        <f t="shared" si="84"/>
        <v>3.54</v>
      </c>
      <c r="N237" s="137">
        <f t="shared" si="84"/>
        <v>3.54</v>
      </c>
      <c r="O237" s="137">
        <f t="shared" si="84"/>
        <v>3.54</v>
      </c>
      <c r="P237" s="137">
        <f t="shared" si="84"/>
        <v>3.54</v>
      </c>
      <c r="Q237" s="137">
        <f t="shared" si="84"/>
        <v>3.54</v>
      </c>
      <c r="R237" s="137">
        <f t="shared" si="84"/>
        <v>3.54</v>
      </c>
      <c r="S237" s="137">
        <f t="shared" si="84"/>
        <v>3.54</v>
      </c>
      <c r="T237" s="137">
        <f t="shared" si="84"/>
        <v>3.54</v>
      </c>
      <c r="U237" s="137">
        <f t="shared" si="84"/>
        <v>3.54</v>
      </c>
      <c r="V237" s="137">
        <f t="shared" si="84"/>
        <v>3.54</v>
      </c>
      <c r="W237" s="137">
        <f t="shared" si="84"/>
        <v>3.54</v>
      </c>
      <c r="X237" s="137">
        <f t="shared" si="84"/>
        <v>3.54</v>
      </c>
      <c r="Y237" s="137">
        <f t="shared" si="84"/>
        <v>3.54</v>
      </c>
      <c r="Z237" s="137">
        <f t="shared" si="84"/>
        <v>3.54</v>
      </c>
      <c r="AA237" s="137">
        <f t="shared" si="84"/>
        <v>3.54</v>
      </c>
      <c r="AB237" s="137">
        <f t="shared" si="84"/>
        <v>3.54</v>
      </c>
      <c r="AC237" s="137">
        <f t="shared" si="84"/>
        <v>3.54</v>
      </c>
      <c r="AD237" s="137">
        <f t="shared" si="84"/>
        <v>3.54</v>
      </c>
      <c r="AE237" s="137">
        <f t="shared" si="84"/>
        <v>3.54</v>
      </c>
      <c r="AF237" s="137">
        <f t="shared" si="84"/>
        <v>3.54</v>
      </c>
      <c r="AG237" s="146">
        <f t="shared" si="84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1707.26</v>
      </c>
      <c r="C246" s="162">
        <f>INDEX(G9:N9,1,MATCH(MAX(G91:N91),G91:N91,0))</f>
        <v>0.3125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4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2080/09/4)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2080/09/4)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85">B91</f>
        <v>1092.3600000000001</v>
      </c>
      <c r="U251" s="171">
        <f t="shared" si="85"/>
        <v>1048.3600000000001</v>
      </c>
      <c r="V251" s="171">
        <f t="shared" si="85"/>
        <v>1076.3600000000001</v>
      </c>
      <c r="W251" s="171">
        <f t="shared" si="85"/>
        <v>1118.46</v>
      </c>
      <c r="X251" s="171">
        <f t="shared" si="85"/>
        <v>1140.46</v>
      </c>
      <c r="Y251" s="171">
        <f t="shared" si="85"/>
        <v>1213.46</v>
      </c>
      <c r="Z251" s="171">
        <f t="shared" si="85"/>
        <v>1259.02</v>
      </c>
      <c r="AA251" s="171">
        <f t="shared" si="85"/>
        <v>1343.2599999999998</v>
      </c>
      <c r="AB251" s="171">
        <f t="shared" si="85"/>
        <v>1506.56</v>
      </c>
      <c r="AC251" s="171">
        <f t="shared" si="85"/>
        <v>1675.56</v>
      </c>
      <c r="AD251" s="171">
        <f t="shared" si="85"/>
        <v>1707.26</v>
      </c>
      <c r="AE251" s="171">
        <f t="shared" si="85"/>
        <v>1689.3600000000001</v>
      </c>
      <c r="AF251" s="171">
        <f t="shared" si="85"/>
        <v>1541.96</v>
      </c>
      <c r="AG251" s="171">
        <f t="shared" si="85"/>
        <v>1566.96</v>
      </c>
      <c r="AH251" s="171">
        <f t="shared" si="85"/>
        <v>1471.16</v>
      </c>
      <c r="AI251" s="171">
        <f t="shared" si="85"/>
        <v>1362.46</v>
      </c>
      <c r="AJ251" s="171">
        <f t="shared" si="85"/>
        <v>1284.3599999999999</v>
      </c>
      <c r="AK251" s="171">
        <f t="shared" si="85"/>
        <v>1288.8600000000001</v>
      </c>
      <c r="AL251" s="171">
        <f t="shared" si="85"/>
        <v>1312.16</v>
      </c>
      <c r="AM251" s="171">
        <f t="shared" si="85"/>
        <v>1361.66</v>
      </c>
      <c r="AN251" s="171">
        <f t="shared" si="85"/>
        <v>1330.26</v>
      </c>
      <c r="AO251" s="171">
        <f t="shared" si="85"/>
        <v>1525.66</v>
      </c>
      <c r="AP251" s="171">
        <f t="shared" si="85"/>
        <v>1684.8600000000001</v>
      </c>
      <c r="AQ251" s="171">
        <f t="shared" si="85"/>
        <v>1661.46</v>
      </c>
      <c r="AR251" s="171">
        <f t="shared" si="85"/>
        <v>1564.46</v>
      </c>
      <c r="AS251" s="171">
        <f t="shared" si="85"/>
        <v>1482.46</v>
      </c>
      <c r="AT251" s="171">
        <f t="shared" si="85"/>
        <v>1498.36</v>
      </c>
      <c r="AU251" s="171">
        <f t="shared" si="85"/>
        <v>1388.56</v>
      </c>
      <c r="AV251" s="171">
        <f t="shared" si="85"/>
        <v>1326.8600000000001</v>
      </c>
      <c r="AW251" s="171">
        <f t="shared" si="85"/>
        <v>1153.8600000000001</v>
      </c>
      <c r="AX251" s="171">
        <f t="shared" si="85"/>
        <v>1114.46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86">C236</f>
        <v>0.64</v>
      </c>
      <c r="C272" s="174">
        <f t="shared" si="86"/>
        <v>0.64</v>
      </c>
      <c r="D272" s="174">
        <f t="shared" si="86"/>
        <v>0.64</v>
      </c>
      <c r="E272" s="174">
        <f t="shared" si="86"/>
        <v>0.64</v>
      </c>
      <c r="F272" s="174">
        <f t="shared" si="86"/>
        <v>0.64</v>
      </c>
      <c r="G272" s="174">
        <f t="shared" si="86"/>
        <v>0.64</v>
      </c>
      <c r="H272" s="174">
        <f t="shared" si="86"/>
        <v>0.64</v>
      </c>
      <c r="I272" s="174">
        <f t="shared" si="86"/>
        <v>0.64</v>
      </c>
      <c r="J272" s="174">
        <f t="shared" si="86"/>
        <v>0.64</v>
      </c>
      <c r="K272" s="174">
        <f t="shared" si="86"/>
        <v>0.64</v>
      </c>
      <c r="L272" s="174">
        <f t="shared" si="86"/>
        <v>0.64</v>
      </c>
      <c r="M272" s="174">
        <f t="shared" si="86"/>
        <v>0.64</v>
      </c>
      <c r="N272" s="174">
        <f t="shared" si="86"/>
        <v>0.64</v>
      </c>
      <c r="O272" s="174">
        <f t="shared" si="86"/>
        <v>0.64</v>
      </c>
      <c r="P272" s="174">
        <f t="shared" si="86"/>
        <v>0.64</v>
      </c>
      <c r="Q272" s="174">
        <f t="shared" si="86"/>
        <v>0.64</v>
      </c>
      <c r="R272" s="174">
        <f t="shared" si="86"/>
        <v>0.64</v>
      </c>
      <c r="S272" s="174">
        <f t="shared" si="86"/>
        <v>0.64</v>
      </c>
      <c r="T272" s="174">
        <f t="shared" si="86"/>
        <v>0.64</v>
      </c>
      <c r="U272" s="174">
        <f t="shared" si="86"/>
        <v>0.64</v>
      </c>
      <c r="V272" s="174">
        <f t="shared" si="86"/>
        <v>0.64</v>
      </c>
      <c r="W272" s="174">
        <f t="shared" si="86"/>
        <v>0.64</v>
      </c>
      <c r="X272" s="174">
        <f t="shared" si="86"/>
        <v>0.64</v>
      </c>
      <c r="Y272" s="174">
        <f t="shared" si="86"/>
        <v>0.64</v>
      </c>
      <c r="Z272" s="174">
        <f t="shared" si="86"/>
        <v>0.64</v>
      </c>
      <c r="AA272" s="174">
        <f t="shared" si="86"/>
        <v>0.64</v>
      </c>
      <c r="AB272" s="174">
        <f t="shared" si="86"/>
        <v>0.64</v>
      </c>
      <c r="AC272" s="174">
        <f t="shared" si="86"/>
        <v>0.64</v>
      </c>
      <c r="AD272" s="174">
        <f t="shared" si="86"/>
        <v>0.64</v>
      </c>
      <c r="AE272" s="174">
        <f t="shared" si="86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87">IF(B240&lt;100,"",B240-520)</f>
        <v/>
      </c>
      <c r="C273" s="175" t="str">
        <f t="shared" si="87"/>
        <v/>
      </c>
      <c r="D273" s="175" t="str">
        <f t="shared" si="87"/>
        <v/>
      </c>
      <c r="E273" s="175" t="str">
        <f t="shared" si="87"/>
        <v/>
      </c>
      <c r="F273" s="175" t="str">
        <f t="shared" si="87"/>
        <v/>
      </c>
      <c r="G273" s="175" t="str">
        <f t="shared" si="87"/>
        <v/>
      </c>
      <c r="H273" s="175" t="str">
        <f t="shared" si="87"/>
        <v/>
      </c>
      <c r="I273" s="175" t="str">
        <f t="shared" si="87"/>
        <v/>
      </c>
      <c r="J273" s="175" t="str">
        <f t="shared" si="87"/>
        <v/>
      </c>
      <c r="K273" s="175" t="str">
        <f t="shared" si="87"/>
        <v/>
      </c>
      <c r="L273" s="175" t="str">
        <f t="shared" si="87"/>
        <v/>
      </c>
      <c r="M273" s="175" t="str">
        <f t="shared" si="87"/>
        <v/>
      </c>
      <c r="N273" s="175" t="str">
        <f t="shared" si="87"/>
        <v/>
      </c>
      <c r="O273" s="175" t="str">
        <f t="shared" si="87"/>
        <v/>
      </c>
      <c r="P273" s="175" t="str">
        <f t="shared" si="87"/>
        <v/>
      </c>
      <c r="Q273" s="175" t="str">
        <f t="shared" si="87"/>
        <v/>
      </c>
      <c r="R273" s="175" t="str">
        <f t="shared" si="87"/>
        <v/>
      </c>
      <c r="S273" s="175" t="str">
        <f t="shared" si="87"/>
        <v/>
      </c>
      <c r="T273" s="175" t="str">
        <f t="shared" si="87"/>
        <v/>
      </c>
      <c r="U273" s="175" t="str">
        <f t="shared" si="87"/>
        <v/>
      </c>
      <c r="V273" s="175" t="str">
        <f t="shared" si="87"/>
        <v/>
      </c>
      <c r="W273" s="175" t="str">
        <f t="shared" si="87"/>
        <v/>
      </c>
      <c r="X273" s="175" t="str">
        <f t="shared" si="87"/>
        <v/>
      </c>
      <c r="Y273" s="175" t="str">
        <f t="shared" si="87"/>
        <v/>
      </c>
      <c r="Z273" s="175" t="str">
        <f t="shared" si="87"/>
        <v/>
      </c>
      <c r="AA273" s="175" t="str">
        <f t="shared" si="87"/>
        <v/>
      </c>
      <c r="AB273" s="175" t="str">
        <f t="shared" si="87"/>
        <v/>
      </c>
      <c r="AC273" s="175" t="str">
        <f t="shared" si="87"/>
        <v/>
      </c>
      <c r="AD273" s="175" t="str">
        <f t="shared" si="87"/>
        <v/>
      </c>
      <c r="AE273" s="175" t="str">
        <f t="shared" si="87"/>
        <v/>
      </c>
      <c r="AF273" s="175" t="str">
        <f t="shared" si="87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88">IF(B241&lt;100,"",B241-620)</f>
        <v/>
      </c>
      <c r="C274" s="175" t="str">
        <f t="shared" si="88"/>
        <v/>
      </c>
      <c r="D274" s="175" t="str">
        <f t="shared" si="88"/>
        <v/>
      </c>
      <c r="E274" s="175" t="str">
        <f t="shared" si="88"/>
        <v/>
      </c>
      <c r="F274" s="175" t="str">
        <f t="shared" si="88"/>
        <v/>
      </c>
      <c r="G274" s="175" t="str">
        <f t="shared" si="88"/>
        <v/>
      </c>
      <c r="H274" s="175" t="str">
        <f t="shared" si="88"/>
        <v/>
      </c>
      <c r="I274" s="175" t="str">
        <f t="shared" si="88"/>
        <v/>
      </c>
      <c r="J274" s="175" t="str">
        <f t="shared" si="88"/>
        <v/>
      </c>
      <c r="K274" s="175" t="str">
        <f t="shared" si="88"/>
        <v/>
      </c>
      <c r="L274" s="175" t="str">
        <f t="shared" si="88"/>
        <v/>
      </c>
      <c r="M274" s="175" t="str">
        <f t="shared" si="88"/>
        <v/>
      </c>
      <c r="N274" s="175" t="str">
        <f t="shared" si="88"/>
        <v/>
      </c>
      <c r="O274" s="175" t="str">
        <f t="shared" si="88"/>
        <v/>
      </c>
      <c r="P274" s="175" t="str">
        <f t="shared" si="88"/>
        <v/>
      </c>
      <c r="Q274" s="175" t="str">
        <f t="shared" si="88"/>
        <v/>
      </c>
      <c r="R274" s="175" t="str">
        <f t="shared" si="88"/>
        <v/>
      </c>
      <c r="S274" s="175" t="str">
        <f t="shared" si="88"/>
        <v/>
      </c>
      <c r="T274" s="175" t="str">
        <f t="shared" si="88"/>
        <v/>
      </c>
      <c r="U274" s="175" t="str">
        <f t="shared" si="88"/>
        <v/>
      </c>
      <c r="V274" s="175" t="str">
        <f t="shared" si="88"/>
        <v/>
      </c>
      <c r="W274" s="175" t="str">
        <f t="shared" si="88"/>
        <v/>
      </c>
      <c r="X274" s="175" t="str">
        <f t="shared" si="88"/>
        <v/>
      </c>
      <c r="Y274" s="175" t="str">
        <f t="shared" si="88"/>
        <v/>
      </c>
      <c r="Z274" s="175" t="str">
        <f t="shared" si="88"/>
        <v/>
      </c>
      <c r="AA274" s="175" t="str">
        <f t="shared" si="88"/>
        <v/>
      </c>
      <c r="AB274" s="175" t="str">
        <f t="shared" si="88"/>
        <v/>
      </c>
      <c r="AC274" s="175" t="str">
        <f t="shared" si="88"/>
        <v/>
      </c>
      <c r="AD274" s="175" t="str">
        <f t="shared" si="88"/>
        <v/>
      </c>
      <c r="AE274" s="175" t="str">
        <f t="shared" si="88"/>
        <v/>
      </c>
      <c r="AF274" s="175" t="str">
        <f t="shared" si="88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89">IF(B242&lt;100,"",B242-330)</f>
        <v/>
      </c>
      <c r="C275" s="175" t="str">
        <f t="shared" si="89"/>
        <v/>
      </c>
      <c r="D275" s="175" t="str">
        <f t="shared" si="89"/>
        <v/>
      </c>
      <c r="E275" s="175" t="str">
        <f t="shared" si="89"/>
        <v/>
      </c>
      <c r="F275" s="175" t="str">
        <f t="shared" si="89"/>
        <v/>
      </c>
      <c r="G275" s="175" t="str">
        <f t="shared" si="89"/>
        <v/>
      </c>
      <c r="H275" s="175" t="str">
        <f t="shared" si="89"/>
        <v/>
      </c>
      <c r="I275" s="175" t="str">
        <f t="shared" si="89"/>
        <v/>
      </c>
      <c r="J275" s="175" t="str">
        <f t="shared" si="89"/>
        <v/>
      </c>
      <c r="K275" s="175" t="str">
        <f t="shared" si="89"/>
        <v/>
      </c>
      <c r="L275" s="175" t="str">
        <f t="shared" si="89"/>
        <v/>
      </c>
      <c r="M275" s="175" t="str">
        <f t="shared" si="89"/>
        <v/>
      </c>
      <c r="N275" s="175" t="str">
        <f t="shared" si="89"/>
        <v/>
      </c>
      <c r="O275" s="175" t="str">
        <f t="shared" si="89"/>
        <v/>
      </c>
      <c r="P275" s="175" t="str">
        <f t="shared" si="89"/>
        <v/>
      </c>
      <c r="Q275" s="175" t="str">
        <f t="shared" si="89"/>
        <v/>
      </c>
      <c r="R275" s="175" t="str">
        <f t="shared" si="89"/>
        <v/>
      </c>
      <c r="S275" s="175" t="str">
        <f t="shared" si="89"/>
        <v/>
      </c>
      <c r="T275" s="175" t="str">
        <f t="shared" si="89"/>
        <v/>
      </c>
      <c r="U275" s="175" t="str">
        <f t="shared" si="89"/>
        <v/>
      </c>
      <c r="V275" s="175" t="str">
        <f t="shared" si="89"/>
        <v/>
      </c>
      <c r="W275" s="175" t="str">
        <f t="shared" si="89"/>
        <v/>
      </c>
      <c r="X275" s="175" t="str">
        <f t="shared" si="89"/>
        <v/>
      </c>
      <c r="Y275" s="175" t="str">
        <f t="shared" si="89"/>
        <v/>
      </c>
      <c r="Z275" s="175" t="str">
        <f t="shared" si="89"/>
        <v/>
      </c>
      <c r="AA275" s="175" t="str">
        <f t="shared" si="89"/>
        <v/>
      </c>
      <c r="AB275" s="175" t="str">
        <f t="shared" si="89"/>
        <v/>
      </c>
      <c r="AC275" s="175" t="str">
        <f t="shared" si="89"/>
        <v/>
      </c>
      <c r="AD275" s="175" t="str">
        <f t="shared" si="89"/>
        <v/>
      </c>
      <c r="AE275" s="175" t="str">
        <f t="shared" si="89"/>
        <v/>
      </c>
      <c r="AF275" s="175" t="str">
        <f t="shared" si="89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90">IF(B243&lt;100,"",B243-1500)</f>
        <v/>
      </c>
      <c r="C276" s="175" t="str">
        <f t="shared" si="90"/>
        <v/>
      </c>
      <c r="D276" s="175" t="str">
        <f t="shared" si="90"/>
        <v/>
      </c>
      <c r="E276" s="175" t="str">
        <f t="shared" si="90"/>
        <v/>
      </c>
      <c r="F276" s="175" t="str">
        <f t="shared" si="90"/>
        <v/>
      </c>
      <c r="G276" s="175" t="str">
        <f t="shared" si="90"/>
        <v/>
      </c>
      <c r="H276" s="175" t="str">
        <f t="shared" si="90"/>
        <v/>
      </c>
      <c r="I276" s="175" t="str">
        <f t="shared" si="90"/>
        <v/>
      </c>
      <c r="J276" s="175" t="str">
        <f t="shared" si="90"/>
        <v/>
      </c>
      <c r="K276" s="175" t="str">
        <f t="shared" si="90"/>
        <v/>
      </c>
      <c r="L276" s="175" t="str">
        <f t="shared" si="90"/>
        <v/>
      </c>
      <c r="M276" s="175" t="str">
        <f t="shared" si="90"/>
        <v/>
      </c>
      <c r="N276" s="175" t="str">
        <f t="shared" si="90"/>
        <v/>
      </c>
      <c r="O276" s="175" t="str">
        <f t="shared" si="90"/>
        <v/>
      </c>
      <c r="P276" s="175" t="str">
        <f t="shared" si="90"/>
        <v/>
      </c>
      <c r="Q276" s="175" t="str">
        <f t="shared" si="90"/>
        <v/>
      </c>
      <c r="R276" s="175" t="str">
        <f t="shared" si="90"/>
        <v/>
      </c>
      <c r="S276" s="175" t="str">
        <f t="shared" si="90"/>
        <v/>
      </c>
      <c r="T276" s="175" t="str">
        <f t="shared" si="90"/>
        <v/>
      </c>
      <c r="U276" s="175" t="str">
        <f t="shared" si="90"/>
        <v/>
      </c>
      <c r="V276" s="175" t="str">
        <f t="shared" si="90"/>
        <v/>
      </c>
      <c r="W276" s="175" t="str">
        <f t="shared" si="90"/>
        <v/>
      </c>
      <c r="X276" s="175" t="str">
        <f t="shared" si="90"/>
        <v/>
      </c>
      <c r="Y276" s="175" t="str">
        <f t="shared" si="90"/>
        <v/>
      </c>
      <c r="Z276" s="175" t="str">
        <f t="shared" si="90"/>
        <v/>
      </c>
      <c r="AA276" s="175" t="str">
        <f t="shared" si="90"/>
        <v/>
      </c>
      <c r="AB276" s="175" t="str">
        <f t="shared" si="90"/>
        <v/>
      </c>
      <c r="AC276" s="175" t="str">
        <f t="shared" si="90"/>
        <v/>
      </c>
      <c r="AD276" s="175" t="str">
        <f t="shared" si="90"/>
        <v/>
      </c>
      <c r="AE276" s="175" t="str">
        <f t="shared" si="90"/>
        <v/>
      </c>
      <c r="AF276" s="175" t="str">
        <f t="shared" si="90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8:B24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8">
    <cfRule type="expression" dxfId="3360" priority="1">
      <formula>$AH11=0</formula>
    </cfRule>
  </conditionalFormatting>
  <conditionalFormatting sqref="B8 M8 S8 AB8">
    <cfRule type="expression" dxfId="3359" priority="121">
      <formula>C$9&lt;8/24</formula>
    </cfRule>
    <cfRule type="expression" dxfId="3358" priority="120">
      <formula>AND(C$9&gt;=8/24,C$9&lt;14/24)</formula>
    </cfRule>
    <cfRule type="expression" dxfId="3357" priority="119">
      <formula>AND(C$9&gt;=14/24,C$9&lt;20/24)</formula>
    </cfRule>
  </conditionalFormatting>
  <conditionalFormatting sqref="B54:C54">
    <cfRule type="expression" dxfId="3356" priority="43">
      <formula>B$9&gt;=20/24</formula>
    </cfRule>
    <cfRule type="expression" dxfId="3355" priority="44">
      <formula>AND(B$9&gt;=14/24,B$9&lt;20/24)</formula>
    </cfRule>
    <cfRule type="expression" dxfId="3354" priority="45">
      <formula>AND(B$9&gt;=8/24,B$9&lt;14/24)</formula>
    </cfRule>
    <cfRule type="expression" dxfId="3353" priority="46">
      <formula>B$9&lt;8/24</formula>
    </cfRule>
  </conditionalFormatting>
  <conditionalFormatting sqref="B54:C66">
    <cfRule type="expression" dxfId="3352" priority="38">
      <formula>B54&gt;$AG54</formula>
    </cfRule>
  </conditionalFormatting>
  <conditionalFormatting sqref="B55:D59 E58:F59">
    <cfRule type="expression" dxfId="3351" priority="67">
      <formula>AND(B$9&gt;=8/24,B$9&lt;14/24)</formula>
    </cfRule>
    <cfRule type="expression" dxfId="3350" priority="66">
      <formula>AND(B$9&gt;=14/24,B$9&lt;20/24)</formula>
    </cfRule>
    <cfRule type="expression" dxfId="3349" priority="65">
      <formula>B$9&gt;=20/24</formula>
    </cfRule>
    <cfRule type="expression" dxfId="3348" priority="68">
      <formula>B$9&lt;8/24</formula>
    </cfRule>
  </conditionalFormatting>
  <conditionalFormatting sqref="B9:AF45">
    <cfRule type="expression" dxfId="3347" priority="29">
      <formula>AND(B$9&gt;=14/24,B$9&lt;20/24)</formula>
    </cfRule>
    <cfRule type="expression" dxfId="3346" priority="28">
      <formula>B$9&gt;=20/24</formula>
    </cfRule>
    <cfRule type="expression" dxfId="3345" priority="30">
      <formula>AND(B$9&gt;=8/24,B$9&lt;14/24)</formula>
    </cfRule>
    <cfRule type="expression" dxfId="3344" priority="31">
      <formula>B$9&lt;8/24</formula>
    </cfRule>
  </conditionalFormatting>
  <conditionalFormatting sqref="B11:AF46">
    <cfRule type="expression" dxfId="3343" priority="27">
      <formula>B11&gt;$AG11</formula>
    </cfRule>
  </conditionalFormatting>
  <conditionalFormatting sqref="B46:AF46">
    <cfRule type="expression" dxfId="3342" priority="23">
      <formula>B$9&gt;=20/24</formula>
    </cfRule>
    <cfRule type="expression" dxfId="3341" priority="24">
      <formula>AND(B$9&gt;=14/24,B$9&lt;20/24)</formula>
    </cfRule>
    <cfRule type="expression" dxfId="3340" priority="25">
      <formula>AND(B$9&gt;=8/24,B$9&lt;14/24)</formula>
    </cfRule>
    <cfRule type="expression" dxfId="3339" priority="26">
      <formula>B$9&lt;8/24</formula>
    </cfRule>
  </conditionalFormatting>
  <conditionalFormatting sqref="B47:AF47">
    <cfRule type="expression" dxfId="3338" priority="37">
      <formula>B47&gt;$AG47</formula>
    </cfRule>
  </conditionalFormatting>
  <conditionalFormatting sqref="B47:AF49">
    <cfRule type="expression" dxfId="3337" priority="35">
      <formula>AND(B$9&gt;=8/24,B$9&lt;14/24)</formula>
    </cfRule>
    <cfRule type="expression" dxfId="3336" priority="33">
      <formula>B$9&gt;=20/24</formula>
    </cfRule>
    <cfRule type="expression" dxfId="3335" priority="34">
      <formula>AND(B$9&gt;=14/24,B$9&lt;20/24)</formula>
    </cfRule>
    <cfRule type="expression" dxfId="3334" priority="36">
      <formula>B$9&lt;8/24</formula>
    </cfRule>
  </conditionalFormatting>
  <conditionalFormatting sqref="B48:AF53">
    <cfRule type="expression" dxfId="3333" priority="32">
      <formula>B48&gt;$AG48</formula>
    </cfRule>
  </conditionalFormatting>
  <conditionalFormatting sqref="B51:AF53">
    <cfRule type="expression" dxfId="3332" priority="55">
      <formula>B$9&lt;8/24</formula>
    </cfRule>
    <cfRule type="expression" dxfId="3331" priority="54">
      <formula>AND(B$9&gt;=8/24,B$9&lt;14/24)</formula>
    </cfRule>
    <cfRule type="expression" dxfId="3330" priority="53">
      <formula>AND(B$9&gt;=14/24,B$9&lt;20/24)</formula>
    </cfRule>
    <cfRule type="expression" dxfId="3329" priority="52">
      <formula>B$9&gt;=20/24</formula>
    </cfRule>
  </conditionalFormatting>
  <conditionalFormatting sqref="B60:AF66">
    <cfRule type="expression" dxfId="3328" priority="41">
      <formula>AND(B$9&gt;=8/24,B$9&lt;14/24)</formula>
    </cfRule>
    <cfRule type="expression" dxfId="3327" priority="39">
      <formula>B$9&gt;=20/24</formula>
    </cfRule>
    <cfRule type="expression" dxfId="3326" priority="40">
      <formula>AND(B$9&gt;=14/24,B$9&lt;20/24)</formula>
    </cfRule>
    <cfRule type="expression" dxfId="3325" priority="42">
      <formula>B$9&lt;8/24</formula>
    </cfRule>
  </conditionalFormatting>
  <conditionalFormatting sqref="B69:AF71">
    <cfRule type="expression" dxfId="3324" priority="60">
      <formula>B69&gt;$AG69</formula>
    </cfRule>
    <cfRule type="expression" dxfId="3323" priority="61">
      <formula>B$9&gt;=20/24</formula>
    </cfRule>
    <cfRule type="expression" dxfId="3322" priority="62">
      <formula>AND(B$9&gt;=14/24,B$9&lt;20/24)</formula>
    </cfRule>
    <cfRule type="expression" dxfId="3321" priority="63">
      <formula>AND(B$9&gt;=8/24,B$9&lt;14/24)</formula>
    </cfRule>
    <cfRule type="expression" dxfId="3320" priority="64">
      <formula>B$9&lt;8/24</formula>
    </cfRule>
  </conditionalFormatting>
  <conditionalFormatting sqref="B73:AF91">
    <cfRule type="expression" dxfId="3319" priority="9">
      <formula>B$9&lt;8/24</formula>
    </cfRule>
    <cfRule type="expression" dxfId="3318" priority="6">
      <formula>B$9&gt;=20/24</formula>
    </cfRule>
    <cfRule type="expression" dxfId="3317" priority="7">
      <formula>AND(B$9&gt;=14/24,B$9&lt;20/24)</formula>
    </cfRule>
    <cfRule type="expression" dxfId="3316" priority="8">
      <formula>AND(B$9&gt;=8/24,B$9&lt;14/24)</formula>
    </cfRule>
  </conditionalFormatting>
  <conditionalFormatting sqref="B93:AF109">
    <cfRule type="expression" dxfId="3315" priority="3">
      <formula>AND(B$9&gt;=14/24,B$9&lt;20/24)</formula>
    </cfRule>
    <cfRule type="expression" dxfId="3314" priority="4">
      <formula>AND(B$9&gt;=8/24,B$9&lt;14/24)</formula>
    </cfRule>
    <cfRule type="expression" dxfId="3313" priority="5">
      <formula>B$9&lt;8/24</formula>
    </cfRule>
    <cfRule type="expression" dxfId="3312" priority="2">
      <formula>B$9&gt;=20/24</formula>
    </cfRule>
  </conditionalFormatting>
  <conditionalFormatting sqref="B111:AF122">
    <cfRule type="expression" dxfId="3311" priority="19">
      <formula>B$9&gt;=20/24</formula>
    </cfRule>
    <cfRule type="expression" dxfId="3310" priority="20">
      <formula>AND(B$9&gt;=14/24,B$9&lt;20/24)</formula>
    </cfRule>
    <cfRule type="expression" dxfId="3309" priority="22">
      <formula>B$9&lt;8/24</formula>
    </cfRule>
    <cfRule type="expression" dxfId="3308" priority="21">
      <formula>AND(B$9&gt;=8/24,B$9&lt;14/24)</formula>
    </cfRule>
  </conditionalFormatting>
  <conditionalFormatting sqref="B229:AF229 B231:B237 D231:AF237 U250:AF250">
    <cfRule type="expression" dxfId="3307" priority="115">
      <formula>B$9&lt;8/24</formula>
    </cfRule>
    <cfRule type="expression" dxfId="3306" priority="114">
      <formula>AND(B$9&gt;=8/24,B$9&lt;14/24)</formula>
    </cfRule>
    <cfRule type="expression" dxfId="3305" priority="112">
      <formula>B$9&gt;=20/24</formula>
    </cfRule>
    <cfRule type="expression" dxfId="3304" priority="113">
      <formula>AND(B$9&gt;=14/24,B$9&lt;20/24)</formula>
    </cfRule>
  </conditionalFormatting>
  <conditionalFormatting sqref="B67:AG68 B72:AG72">
    <cfRule type="expression" dxfId="3303" priority="47">
      <formula>B67&gt;$AG67</formula>
    </cfRule>
  </conditionalFormatting>
  <conditionalFormatting sqref="B72:AG72">
    <cfRule type="expression" dxfId="3302" priority="51">
      <formula>B$9&lt;8/24</formula>
    </cfRule>
    <cfRule type="expression" dxfId="3301" priority="50">
      <formula>AND(B$9&gt;=8/24,B$9&lt;14/24)</formula>
    </cfRule>
    <cfRule type="expression" dxfId="3300" priority="49">
      <formula>AND(B$9&gt;=14/24,B$9&lt;20/24)</formula>
    </cfRule>
    <cfRule type="expression" dxfId="3299" priority="48">
      <formula>B$9&gt;=20/24</formula>
    </cfRule>
  </conditionalFormatting>
  <conditionalFormatting sqref="D55:AF66 B59:D59">
    <cfRule type="expression" dxfId="3298" priority="10">
      <formula>B55&gt;$AG55</formula>
    </cfRule>
  </conditionalFormatting>
  <conditionalFormatting sqref="D54:AG54">
    <cfRule type="expression" dxfId="3297" priority="82">
      <formula>AND(D$9&gt;=14/24,D$9&lt;20/24)</formula>
    </cfRule>
    <cfRule type="expression" dxfId="3296" priority="81">
      <formula>D$9&gt;=20/24</formula>
    </cfRule>
    <cfRule type="expression" dxfId="3295" priority="80">
      <formula>D54&gt;$AG54</formula>
    </cfRule>
    <cfRule type="expression" dxfId="3294" priority="83">
      <formula>AND(D$9&gt;=8/24,D$9&lt;14/24)</formula>
    </cfRule>
    <cfRule type="expression" dxfId="3293" priority="84">
      <formula>D$9&lt;8/24</formula>
    </cfRule>
  </conditionalFormatting>
  <conditionalFormatting sqref="E55:R57">
    <cfRule type="expression" dxfId="3292" priority="95">
      <formula>AND(E$9&gt;=8/24,E$9&lt;14/24)</formula>
    </cfRule>
    <cfRule type="expression" dxfId="3291" priority="94">
      <formula>AND(E$9&gt;=14/24,E$9&lt;20/24)</formula>
    </cfRule>
    <cfRule type="expression" dxfId="3290" priority="96">
      <formula>E$9&lt;8/24</formula>
    </cfRule>
    <cfRule type="expression" dxfId="3289" priority="93">
      <formula>E$9&gt;=20/24</formula>
    </cfRule>
  </conditionalFormatting>
  <conditionalFormatting sqref="O3:P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288" priority="118">
      <formula>C$9&gt;=20/24</formula>
    </cfRule>
  </conditionalFormatting>
  <conditionalFormatting sqref="S8">
    <cfRule type="expression" dxfId="3287" priority="105">
      <formula>U$9&gt;=20/24</formula>
    </cfRule>
    <cfRule type="expression" dxfId="3286" priority="106">
      <formula>AND(U$9&gt;=14/24,U$9&lt;20/24)</formula>
    </cfRule>
    <cfRule type="expression" dxfId="3285" priority="107">
      <formula>AND(U$9&gt;=8/24,U$9&lt;14/24)</formula>
    </cfRule>
    <cfRule type="expression" dxfId="3284" priority="108">
      <formula>U$9&lt;8/24</formula>
    </cfRule>
  </conditionalFormatting>
  <conditionalFormatting sqref="S55:AF60">
    <cfRule type="expression" dxfId="3283" priority="18">
      <formula>S$9&lt;8/24</formula>
    </cfRule>
    <cfRule type="expression" dxfId="3282" priority="16">
      <formula>AND(S$9&gt;=14/24,S$9&lt;20/24)</formula>
    </cfRule>
    <cfRule type="expression" dxfId="3281" priority="15">
      <formula>S$9&gt;=20/24</formula>
    </cfRule>
    <cfRule type="expression" dxfId="3280" priority="17">
      <formula>AND(S$9&gt;=8/24,S$9&lt;14/24)</formula>
    </cfRule>
  </conditionalFormatting>
  <conditionalFormatting sqref="T250">
    <cfRule type="expression" dxfId="3279" priority="130">
      <formula>AX$9&gt;=20/24</formula>
    </cfRule>
    <cfRule type="expression" dxfId="3278" priority="131">
      <formula>AND(AX$9&gt;=14/24,AX$9&lt;20/24)</formula>
    </cfRule>
    <cfRule type="expression" dxfId="3277" priority="132">
      <formula>AND(AX$9&gt;=8/24,AX$9&lt;14/24)</formula>
    </cfRule>
    <cfRule type="expression" dxfId="3276" priority="133">
      <formula>AX$9&lt;8/24</formula>
    </cfRule>
  </conditionalFormatting>
  <conditionalFormatting sqref="V3 AB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275" priority="101">
      <formula>AD$9&gt;=20/24</formula>
    </cfRule>
    <cfRule type="expression" dxfId="3274" priority="102">
      <formula>AND(AD$9&gt;=14/24,AD$9&lt;20/24)</formula>
    </cfRule>
    <cfRule type="expression" dxfId="3273" priority="103">
      <formula>AND(AD$9&gt;=8/24,AD$9&lt;14/24)</formula>
    </cfRule>
    <cfRule type="expression" dxfId="3272" priority="104">
      <formula>AD$9&lt;8/24</formula>
    </cfRule>
  </conditionalFormatting>
  <conditionalFormatting sqref="AG50">
    <cfRule type="expression" dxfId="3271" priority="88">
      <formula>AG50&gt;$AG50</formula>
    </cfRule>
  </conditionalFormatting>
  <conditionalFormatting sqref="AG89">
    <cfRule type="expression" dxfId="3270" priority="91">
      <formula>AND(AG$9&gt;=8/24,AG$9&lt;14/24)</formula>
    </cfRule>
    <cfRule type="expression" dxfId="3269" priority="89">
      <formula>AG$9&gt;=20/24</formula>
    </cfRule>
    <cfRule type="expression" dxfId="3268" priority="92">
      <formula>AG$9&lt;8/24</formula>
    </cfRule>
    <cfRule type="expression" dxfId="3267" priority="90">
      <formula>AND(AG$9&gt;=14/24,AG$9&lt;20/24)</formula>
    </cfRule>
  </conditionalFormatting>
  <conditionalFormatting sqref="AG250">
    <cfRule type="expression" dxfId="3266" priority="123">
      <formula>AND(B$9&gt;=14/24,B$9&lt;20/24)</formula>
    </cfRule>
    <cfRule type="expression" dxfId="3265" priority="122">
      <formula>B$9&gt;=20/24</formula>
    </cfRule>
    <cfRule type="expression" dxfId="3264" priority="124">
      <formula>AND(B$9&gt;=8/24,B$9&lt;14/24)</formula>
    </cfRule>
    <cfRule type="expression" dxfId="3263" priority="125">
      <formula>B$9&lt;8/24</formula>
    </cfRule>
  </conditionalFormatting>
  <conditionalFormatting sqref="AH250:AX250">
    <cfRule type="expression" dxfId="3262" priority="126">
      <formula>AG$9&gt;=20/24</formula>
    </cfRule>
    <cfRule type="expression" dxfId="3261" priority="127">
      <formula>AND(AG$9&gt;=14/24,AG$9&lt;20/24)</formula>
    </cfRule>
    <cfRule type="expression" dxfId="3260" priority="128">
      <formula>AND(AG$9&gt;=8/24,AG$9&lt;14/24)</formula>
    </cfRule>
    <cfRule type="expression" dxfId="3259" priority="129">
      <formula>AG$9&lt;8/24</formula>
    </cfRule>
  </conditionalFormatting>
  <conditionalFormatting sqref="AL4:AL6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258" priority="135">
      <formula>AJ$9&gt;=20/24</formula>
    </cfRule>
    <cfRule type="expression" dxfId="3257" priority="136">
      <formula>AND(AJ$9&gt;=14/24,AJ$9&lt;20/24)</formula>
    </cfRule>
    <cfRule type="expression" dxfId="3256" priority="137">
      <formula>AND(AJ$9&gt;=8/24,AJ$9&lt;14/24)</formula>
    </cfRule>
    <cfRule type="expression" dxfId="3255" priority="138">
      <formula>AJ$9&lt;8/24</formula>
    </cfRule>
  </conditionalFormatting>
  <conditionalFormatting sqref="AL80:AN80 AL86:AN86">
    <cfRule type="expression" dxfId="3254" priority="76">
      <formula>AL$9&gt;=20/24</formula>
    </cfRule>
    <cfRule type="expression" dxfId="3253" priority="77">
      <formula>AND(AL$9&gt;=14/24,AL$9&lt;20/24)</formula>
    </cfRule>
    <cfRule type="expression" dxfId="3252" priority="78">
      <formula>AND(AL$9&gt;=8/24,AL$9&lt;14/24)</formula>
    </cfRule>
    <cfRule type="expression" dxfId="3251" priority="79">
      <formula>AL$9&lt;8/24</formula>
    </cfRule>
  </conditionalFormatting>
  <conditionalFormatting sqref="AN81:AN84">
    <cfRule type="expression" dxfId="3250" priority="73">
      <formula>AND(AN$9&gt;=14/24,AN$9&lt;20/24)</formula>
    </cfRule>
    <cfRule type="expression" dxfId="3249" priority="74">
      <formula>AND(AN$9&gt;=8/24,AN$9&lt;14/24)</formula>
    </cfRule>
    <cfRule type="expression" dxfId="3248" priority="72">
      <formula>AN$9&gt;=20/24</formula>
    </cfRule>
    <cfRule type="expression" dxfId="3247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F9DC-3B65-4865-BD51-75051328F741}">
  <sheetPr codeName="Sheet6"/>
  <dimension ref="A1:CJ283"/>
  <sheetViews>
    <sheetView tabSelected="1" workbookViewId="0">
      <pane xSplit="1" ySplit="10" topLeftCell="B5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R58" sqref="R5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2080/09/5</v>
      </c>
      <c r="C4" s="246"/>
      <c r="D4" s="246"/>
      <c r="E4" s="247" t="str">
        <f ca="1">"2080/"&amp;"09/"&amp;INT(MID(CELL("filename",G6),FIND("]",CELL("filename",G6))+1,200))</f>
        <v>2080/09/5</v>
      </c>
      <c r="F4" s="247"/>
      <c r="G4" s="247"/>
      <c r="H4" s="247" t="str">
        <f ca="1">TEXT(E4,"dddd")</f>
        <v>Thursday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215</v>
      </c>
      <c r="C5" s="30">
        <f t="shared" si="0"/>
        <v>180</v>
      </c>
      <c r="D5" s="30">
        <f t="shared" si="0"/>
        <v>184.9</v>
      </c>
      <c r="E5" s="30">
        <f t="shared" si="0"/>
        <v>208.9</v>
      </c>
      <c r="F5" s="30">
        <f t="shared" si="0"/>
        <v>214.5</v>
      </c>
      <c r="G5" s="30">
        <f t="shared" si="0"/>
        <v>214.5</v>
      </c>
      <c r="H5" s="30">
        <f t="shared" si="0"/>
        <v>252.8</v>
      </c>
      <c r="I5" s="30">
        <f t="shared" si="0"/>
        <v>196.5</v>
      </c>
      <c r="J5" s="30">
        <f t="shared" si="0"/>
        <v>190.2</v>
      </c>
      <c r="K5" s="30">
        <f t="shared" si="0"/>
        <v>128.9</v>
      </c>
      <c r="L5" s="30">
        <f t="shared" si="0"/>
        <v>17.399999999999999</v>
      </c>
      <c r="M5" s="30">
        <f t="shared" si="0"/>
        <v>47.1</v>
      </c>
      <c r="N5" s="30">
        <f t="shared" si="0"/>
        <v>269</v>
      </c>
      <c r="O5" s="30">
        <f t="shared" si="0"/>
        <v>278</v>
      </c>
      <c r="P5" s="30">
        <f t="shared" si="0"/>
        <v>261.89999999999998</v>
      </c>
      <c r="Q5" s="30">
        <f t="shared" si="0"/>
        <v>257.89999999999998</v>
      </c>
      <c r="R5" s="30">
        <f t="shared" si="0"/>
        <v>282</v>
      </c>
      <c r="S5" s="30">
        <f t="shared" si="0"/>
        <v>320</v>
      </c>
      <c r="T5" s="30">
        <f t="shared" si="0"/>
        <v>285.23</v>
      </c>
      <c r="U5" s="30">
        <f t="shared" si="0"/>
        <v>169</v>
      </c>
      <c r="V5" s="30">
        <f t="shared" si="0"/>
        <v>3.7</v>
      </c>
      <c r="W5" s="30">
        <f t="shared" si="0"/>
        <v>0</v>
      </c>
      <c r="X5" s="30">
        <f t="shared" si="0"/>
        <v>2</v>
      </c>
      <c r="Y5" s="30">
        <f t="shared" si="0"/>
        <v>30</v>
      </c>
      <c r="Z5" s="30">
        <f t="shared" si="0"/>
        <v>154</v>
      </c>
      <c r="AA5" s="30">
        <f t="shared" si="0"/>
        <v>228.3</v>
      </c>
      <c r="AB5" s="30">
        <f t="shared" si="0"/>
        <v>263.5</v>
      </c>
      <c r="AC5" s="30">
        <f t="shared" si="0"/>
        <v>230.3</v>
      </c>
      <c r="AD5" s="30">
        <f t="shared" si="0"/>
        <v>245</v>
      </c>
      <c r="AE5" s="30">
        <f t="shared" si="0"/>
        <v>255</v>
      </c>
      <c r="AF5" s="30">
        <f>B84</f>
        <v>165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1656MW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Load=1104</v>
      </c>
      <c r="B7" s="35">
        <f>B92</f>
        <v>1103.8600000000001</v>
      </c>
      <c r="C7" s="35">
        <f t="shared" ref="C7:AF7" si="1">C92</f>
        <v>1113.26</v>
      </c>
      <c r="D7" s="35">
        <f t="shared" si="1"/>
        <v>1106.8599999999999</v>
      </c>
      <c r="E7" s="35">
        <f t="shared" si="1"/>
        <v>1111.76</v>
      </c>
      <c r="F7" s="35">
        <f t="shared" si="1"/>
        <v>1131.46</v>
      </c>
      <c r="G7" s="35">
        <f t="shared" si="1"/>
        <v>1227.96</v>
      </c>
      <c r="H7" s="35">
        <f t="shared" si="1"/>
        <v>1384.1599999999999</v>
      </c>
      <c r="I7" s="35">
        <f t="shared" si="1"/>
        <v>1475.1599999999999</v>
      </c>
      <c r="J7" s="35">
        <f t="shared" si="1"/>
        <v>1634.96</v>
      </c>
      <c r="K7" s="35">
        <f t="shared" si="1"/>
        <v>1639.66</v>
      </c>
      <c r="L7" s="35">
        <f t="shared" si="1"/>
        <v>1633.56</v>
      </c>
      <c r="M7" s="35">
        <f t="shared" si="1"/>
        <v>1652.46</v>
      </c>
      <c r="N7" s="35">
        <f t="shared" si="1"/>
        <v>1655.7599999999998</v>
      </c>
      <c r="O7" s="35">
        <f t="shared" si="1"/>
        <v>1585.06</v>
      </c>
      <c r="P7" s="35">
        <f t="shared" si="1"/>
        <v>1482.7600000000002</v>
      </c>
      <c r="Q7" s="35">
        <f t="shared" si="1"/>
        <v>1415.6599999999999</v>
      </c>
      <c r="R7" s="35">
        <f t="shared" si="1"/>
        <v>1344.6599999999999</v>
      </c>
      <c r="S7" s="35">
        <f t="shared" si="1"/>
        <v>1316.76</v>
      </c>
      <c r="T7" s="35">
        <f t="shared" si="1"/>
        <v>1352.76</v>
      </c>
      <c r="U7" s="35">
        <f t="shared" si="1"/>
        <v>1385.29</v>
      </c>
      <c r="V7" s="35">
        <f t="shared" si="1"/>
        <v>1419.66</v>
      </c>
      <c r="W7" s="35">
        <f t="shared" si="1"/>
        <v>1574.3600000000001</v>
      </c>
      <c r="X7" s="35">
        <f t="shared" si="1"/>
        <v>1798.76</v>
      </c>
      <c r="Y7" s="35">
        <f t="shared" si="1"/>
        <v>1745.76</v>
      </c>
      <c r="Z7" s="35">
        <f t="shared" si="1"/>
        <v>1592.76</v>
      </c>
      <c r="AA7" s="35">
        <f t="shared" si="1"/>
        <v>1616.76</v>
      </c>
      <c r="AB7" s="35">
        <f t="shared" si="1"/>
        <v>1587.0600000000002</v>
      </c>
      <c r="AC7" s="35">
        <f t="shared" si="1"/>
        <v>1521.26</v>
      </c>
      <c r="AD7" s="35">
        <f t="shared" si="1"/>
        <v>1419.66</v>
      </c>
      <c r="AE7" s="35">
        <f t="shared" si="1"/>
        <v>1272.3599999999999</v>
      </c>
      <c r="AF7" s="35">
        <f t="shared" si="1"/>
        <v>1160.5600000000002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39.799999999999997</v>
      </c>
      <c r="C11" s="45">
        <v>39.799999999999997</v>
      </c>
      <c r="D11" s="45">
        <v>40.4</v>
      </c>
      <c r="E11" s="45">
        <v>40.4</v>
      </c>
      <c r="F11" s="45">
        <v>40.4</v>
      </c>
      <c r="G11" s="45">
        <v>40.4</v>
      </c>
      <c r="H11" s="45">
        <v>40.4</v>
      </c>
      <c r="I11" s="45">
        <v>40.4</v>
      </c>
      <c r="J11" s="45">
        <v>40.4</v>
      </c>
      <c r="K11" s="45">
        <v>40.4</v>
      </c>
      <c r="L11" s="45">
        <v>40.4</v>
      </c>
      <c r="M11" s="45">
        <v>40.4</v>
      </c>
      <c r="N11" s="45">
        <v>40.4</v>
      </c>
      <c r="O11" s="45">
        <v>41.1</v>
      </c>
      <c r="P11" s="45">
        <v>39.200000000000003</v>
      </c>
      <c r="Q11" s="45">
        <v>39.200000000000003</v>
      </c>
      <c r="R11" s="45">
        <v>39.200000000000003</v>
      </c>
      <c r="S11" s="45">
        <v>39.200000000000003</v>
      </c>
      <c r="T11" s="45">
        <v>39.200000000000003</v>
      </c>
      <c r="U11" s="45">
        <v>39.200000000000003</v>
      </c>
      <c r="V11" s="45">
        <v>39.200000000000003</v>
      </c>
      <c r="W11" s="45">
        <v>39.200000000000003</v>
      </c>
      <c r="X11" s="45">
        <v>39.200000000000003</v>
      </c>
      <c r="Y11" s="45">
        <v>39.200000000000003</v>
      </c>
      <c r="Z11" s="45">
        <v>39.200000000000003</v>
      </c>
      <c r="AA11" s="45">
        <v>39.200000000000003</v>
      </c>
      <c r="AB11" s="45">
        <v>39.200000000000003</v>
      </c>
      <c r="AC11" s="45">
        <v>41.5</v>
      </c>
      <c r="AD11" s="45">
        <v>41.5</v>
      </c>
      <c r="AE11" s="45">
        <v>40.4</v>
      </c>
      <c r="AF11" s="45">
        <v>39.200000000000003</v>
      </c>
      <c r="AG11" s="46">
        <v>86</v>
      </c>
      <c r="AH11" s="47">
        <f>MAX(B11:AF11)</f>
        <v>41.5</v>
      </c>
      <c r="AI11" s="48">
        <f t="shared" ref="AI11:AI76" si="2">MIN(B11:AF11)</f>
        <v>39.200000000000003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19</v>
      </c>
      <c r="C12" s="45">
        <v>19</v>
      </c>
      <c r="D12" s="45">
        <v>19</v>
      </c>
      <c r="E12" s="45">
        <v>19</v>
      </c>
      <c r="F12" s="45">
        <v>19</v>
      </c>
      <c r="G12" s="45">
        <v>19</v>
      </c>
      <c r="H12" s="45">
        <v>19</v>
      </c>
      <c r="I12" s="45">
        <v>19</v>
      </c>
      <c r="J12" s="45">
        <v>19</v>
      </c>
      <c r="K12" s="45">
        <v>19</v>
      </c>
      <c r="L12" s="45">
        <v>19</v>
      </c>
      <c r="M12" s="45">
        <v>19</v>
      </c>
      <c r="N12" s="45">
        <v>19</v>
      </c>
      <c r="O12" s="45">
        <v>19</v>
      </c>
      <c r="P12" s="45">
        <v>19</v>
      </c>
      <c r="Q12" s="45">
        <v>19</v>
      </c>
      <c r="R12" s="45">
        <v>19</v>
      </c>
      <c r="S12" s="45">
        <v>19</v>
      </c>
      <c r="T12" s="45">
        <v>19</v>
      </c>
      <c r="U12" s="45">
        <v>19</v>
      </c>
      <c r="V12" s="45">
        <v>19</v>
      </c>
      <c r="W12" s="45">
        <v>19</v>
      </c>
      <c r="X12" s="45">
        <v>19</v>
      </c>
      <c r="Y12" s="45">
        <v>19</v>
      </c>
      <c r="Z12" s="45">
        <v>19</v>
      </c>
      <c r="AA12" s="45">
        <v>19</v>
      </c>
      <c r="AB12" s="45">
        <v>19</v>
      </c>
      <c r="AC12" s="45">
        <v>19</v>
      </c>
      <c r="AD12" s="45">
        <v>19</v>
      </c>
      <c r="AE12" s="45">
        <v>19</v>
      </c>
      <c r="AF12" s="45">
        <v>19</v>
      </c>
      <c r="AG12" s="49">
        <v>54</v>
      </c>
      <c r="AH12" s="47">
        <f t="shared" ref="AH12:AH76" si="3">MAX(B12:AF12)</f>
        <v>19</v>
      </c>
      <c r="AI12" s="48">
        <f t="shared" si="2"/>
        <v>19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21.6</v>
      </c>
      <c r="C13" s="45">
        <v>21.6</v>
      </c>
      <c r="D13" s="45">
        <v>21.6</v>
      </c>
      <c r="E13" s="45">
        <v>21.6</v>
      </c>
      <c r="F13" s="45">
        <v>21.6</v>
      </c>
      <c r="G13" s="45">
        <v>21.6</v>
      </c>
      <c r="H13" s="45">
        <v>21.6</v>
      </c>
      <c r="I13" s="45">
        <v>21.6</v>
      </c>
      <c r="J13" s="45">
        <v>21.6</v>
      </c>
      <c r="K13" s="45">
        <v>21.6</v>
      </c>
      <c r="L13" s="45">
        <v>21.6</v>
      </c>
      <c r="M13" s="45">
        <v>21.6</v>
      </c>
      <c r="N13" s="45">
        <v>21.6</v>
      </c>
      <c r="O13" s="45">
        <v>21.6</v>
      </c>
      <c r="P13" s="45">
        <v>21</v>
      </c>
      <c r="Q13" s="45">
        <v>21</v>
      </c>
      <c r="R13" s="45">
        <v>21</v>
      </c>
      <c r="S13" s="45">
        <v>21</v>
      </c>
      <c r="T13" s="45">
        <v>21</v>
      </c>
      <c r="U13" s="45">
        <v>21</v>
      </c>
      <c r="V13" s="45">
        <v>21</v>
      </c>
      <c r="W13" s="45">
        <v>21</v>
      </c>
      <c r="X13" s="45">
        <v>21</v>
      </c>
      <c r="Y13" s="45">
        <v>21</v>
      </c>
      <c r="Z13" s="45">
        <v>21</v>
      </c>
      <c r="AA13" s="45">
        <v>21</v>
      </c>
      <c r="AB13" s="45">
        <v>21</v>
      </c>
      <c r="AC13" s="45">
        <v>22.7</v>
      </c>
      <c r="AD13" s="45">
        <v>22.7</v>
      </c>
      <c r="AE13" s="45">
        <v>22.4</v>
      </c>
      <c r="AF13" s="45">
        <v>22.4</v>
      </c>
      <c r="AG13" s="46">
        <v>52.4</v>
      </c>
      <c r="AH13" s="47">
        <f t="shared" si="3"/>
        <v>22.7</v>
      </c>
      <c r="AI13" s="48">
        <f t="shared" si="2"/>
        <v>21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1">
        <v>45.4</v>
      </c>
      <c r="C14" s="51">
        <v>45.4</v>
      </c>
      <c r="D14" s="51">
        <v>45.4</v>
      </c>
      <c r="E14" s="51">
        <v>45.4</v>
      </c>
      <c r="F14" s="51">
        <v>45.4</v>
      </c>
      <c r="G14" s="51">
        <v>45.4</v>
      </c>
      <c r="H14" s="51">
        <v>45.4</v>
      </c>
      <c r="I14" s="51">
        <v>45.4</v>
      </c>
      <c r="J14" s="51">
        <v>45.4</v>
      </c>
      <c r="K14" s="51">
        <v>45.4</v>
      </c>
      <c r="L14" s="51">
        <v>45.4</v>
      </c>
      <c r="M14" s="51">
        <v>45.4</v>
      </c>
      <c r="N14" s="51">
        <v>45.4</v>
      </c>
      <c r="O14" s="51">
        <v>45.4</v>
      </c>
      <c r="P14" s="51">
        <v>45.1</v>
      </c>
      <c r="Q14" s="51">
        <v>45.1</v>
      </c>
      <c r="R14" s="51">
        <v>45.1</v>
      </c>
      <c r="S14" s="51">
        <v>45.1</v>
      </c>
      <c r="T14" s="51">
        <v>45.1</v>
      </c>
      <c r="U14" s="51">
        <v>45.1</v>
      </c>
      <c r="V14" s="51">
        <v>45.1</v>
      </c>
      <c r="W14" s="51">
        <v>45.1</v>
      </c>
      <c r="X14" s="51">
        <v>45.1</v>
      </c>
      <c r="Y14" s="51">
        <v>45.1</v>
      </c>
      <c r="Z14" s="51">
        <v>45.1</v>
      </c>
      <c r="AA14" s="51">
        <v>45.1</v>
      </c>
      <c r="AB14" s="51">
        <v>45.1</v>
      </c>
      <c r="AC14" s="45">
        <v>45.1</v>
      </c>
      <c r="AD14" s="45">
        <v>45.1</v>
      </c>
      <c r="AE14" s="45">
        <v>45.1</v>
      </c>
      <c r="AF14" s="45">
        <v>44.2</v>
      </c>
      <c r="AG14" s="49">
        <v>50</v>
      </c>
      <c r="AH14" s="47">
        <f t="shared" si="3"/>
        <v>45.4</v>
      </c>
      <c r="AI14" s="48">
        <f t="shared" si="2"/>
        <v>44.2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24.2</v>
      </c>
      <c r="C15" s="45">
        <v>24.2</v>
      </c>
      <c r="D15" s="45">
        <v>24.2</v>
      </c>
      <c r="E15" s="45">
        <v>24.2</v>
      </c>
      <c r="F15" s="45">
        <v>24.2</v>
      </c>
      <c r="G15" s="45">
        <v>24.2</v>
      </c>
      <c r="H15" s="45">
        <v>24.2</v>
      </c>
      <c r="I15" s="45">
        <v>24.2</v>
      </c>
      <c r="J15" s="45">
        <v>24.2</v>
      </c>
      <c r="K15" s="45">
        <v>24.2</v>
      </c>
      <c r="L15" s="45">
        <v>24.2</v>
      </c>
      <c r="M15" s="45">
        <v>24.2</v>
      </c>
      <c r="N15" s="45">
        <v>24.2</v>
      </c>
      <c r="O15" s="45">
        <v>24.2</v>
      </c>
      <c r="P15" s="45">
        <v>22.8</v>
      </c>
      <c r="Q15" s="45">
        <v>22.8</v>
      </c>
      <c r="R15" s="45">
        <v>22.8</v>
      </c>
      <c r="S15" s="45">
        <v>22.8</v>
      </c>
      <c r="T15" s="45">
        <v>22.8</v>
      </c>
      <c r="U15" s="45">
        <v>22.8</v>
      </c>
      <c r="V15" s="45">
        <v>22.8</v>
      </c>
      <c r="W15" s="45">
        <v>22.8</v>
      </c>
      <c r="X15" s="45">
        <v>22.8</v>
      </c>
      <c r="Y15" s="45">
        <v>22.8</v>
      </c>
      <c r="Z15" s="45">
        <v>22.8</v>
      </c>
      <c r="AA15" s="45">
        <v>22.8</v>
      </c>
      <c r="AB15" s="45">
        <v>22.8</v>
      </c>
      <c r="AC15" s="45">
        <v>22.8</v>
      </c>
      <c r="AD15" s="45">
        <v>22.8</v>
      </c>
      <c r="AE15" s="45">
        <v>24.5</v>
      </c>
      <c r="AF15" s="45">
        <v>24.6</v>
      </c>
      <c r="AG15" s="49">
        <v>45</v>
      </c>
      <c r="AH15" s="47">
        <f t="shared" si="3"/>
        <v>24.6</v>
      </c>
      <c r="AI15" s="48">
        <f t="shared" si="2"/>
        <v>22.8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</v>
      </c>
      <c r="C16" s="45">
        <v>17</v>
      </c>
      <c r="D16" s="45">
        <v>17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49">
        <v>44</v>
      </c>
      <c r="AH16" s="47">
        <f>MAX(B16:AG16)</f>
        <v>44</v>
      </c>
      <c r="AI16" s="48">
        <f>MIN(B16:AG16)</f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11.5</v>
      </c>
      <c r="C17" s="45">
        <v>11.5</v>
      </c>
      <c r="D17" s="45">
        <v>11.5</v>
      </c>
      <c r="E17" s="45">
        <v>11.5</v>
      </c>
      <c r="F17" s="45">
        <v>11.5</v>
      </c>
      <c r="G17" s="45">
        <v>11.5</v>
      </c>
      <c r="H17" s="45">
        <v>11.5</v>
      </c>
      <c r="I17" s="45">
        <v>11.5</v>
      </c>
      <c r="J17" s="45">
        <v>11.5</v>
      </c>
      <c r="K17" s="45">
        <v>11.5</v>
      </c>
      <c r="L17" s="45">
        <v>11.5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13</v>
      </c>
      <c r="AF17" s="45">
        <v>12.5</v>
      </c>
      <c r="AG17" s="49">
        <v>42</v>
      </c>
      <c r="AH17" s="47">
        <f t="shared" si="3"/>
        <v>13</v>
      </c>
      <c r="AI17" s="48">
        <f t="shared" si="2"/>
        <v>11.5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13.7</v>
      </c>
      <c r="C18" s="45">
        <v>13.7</v>
      </c>
      <c r="D18" s="45">
        <v>13.7</v>
      </c>
      <c r="E18" s="45">
        <v>13.7</v>
      </c>
      <c r="F18" s="45">
        <v>13.7</v>
      </c>
      <c r="G18" s="45">
        <v>13.7</v>
      </c>
      <c r="H18" s="45">
        <v>13.7</v>
      </c>
      <c r="I18" s="45">
        <v>13.7</v>
      </c>
      <c r="J18" s="45">
        <v>13.7</v>
      </c>
      <c r="K18" s="45">
        <v>13.7</v>
      </c>
      <c r="L18" s="45">
        <v>13.7</v>
      </c>
      <c r="M18" s="45">
        <v>13.7</v>
      </c>
      <c r="N18" s="45">
        <v>13.7</v>
      </c>
      <c r="O18" s="45">
        <v>13.7</v>
      </c>
      <c r="P18" s="45">
        <v>13.7</v>
      </c>
      <c r="Q18" s="45">
        <v>13.7</v>
      </c>
      <c r="R18" s="45">
        <v>13.7</v>
      </c>
      <c r="S18" s="45">
        <v>13.7</v>
      </c>
      <c r="T18" s="45">
        <v>13.7</v>
      </c>
      <c r="U18" s="45">
        <v>13.7</v>
      </c>
      <c r="V18" s="45">
        <v>13.7</v>
      </c>
      <c r="W18" s="45">
        <v>13.7</v>
      </c>
      <c r="X18" s="45">
        <v>13.7</v>
      </c>
      <c r="Y18" s="45">
        <v>13.7</v>
      </c>
      <c r="Z18" s="45">
        <v>13.7</v>
      </c>
      <c r="AA18" s="45">
        <v>13.7</v>
      </c>
      <c r="AB18" s="45">
        <v>13.7</v>
      </c>
      <c r="AC18" s="45">
        <v>13.7</v>
      </c>
      <c r="AD18" s="45">
        <v>13.7</v>
      </c>
      <c r="AE18" s="45">
        <v>13.7</v>
      </c>
      <c r="AF18" s="45">
        <v>13.7</v>
      </c>
      <c r="AG18" s="49">
        <v>38.46</v>
      </c>
      <c r="AH18" s="47">
        <f t="shared" si="3"/>
        <v>13.7</v>
      </c>
      <c r="AI18" s="48">
        <f t="shared" si="2"/>
        <v>13.7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17.5</v>
      </c>
      <c r="C19" s="45">
        <v>17.5</v>
      </c>
      <c r="D19" s="45">
        <v>17.5</v>
      </c>
      <c r="E19" s="45">
        <v>17.5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17.5</v>
      </c>
      <c r="AC19" s="45">
        <v>17.5</v>
      </c>
      <c r="AD19" s="45">
        <v>17.5</v>
      </c>
      <c r="AE19" s="45">
        <v>17.5</v>
      </c>
      <c r="AF19" s="45">
        <v>17.5</v>
      </c>
      <c r="AG19" s="49">
        <v>36</v>
      </c>
      <c r="AH19" s="47">
        <f t="shared" si="3"/>
        <v>17.5</v>
      </c>
      <c r="AI19" s="48">
        <f t="shared" si="2"/>
        <v>17.5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12.4</v>
      </c>
      <c r="C20" s="45">
        <v>12.4</v>
      </c>
      <c r="D20" s="45">
        <v>12.4</v>
      </c>
      <c r="E20" s="45">
        <v>12.4</v>
      </c>
      <c r="F20" s="45">
        <v>12.4</v>
      </c>
      <c r="G20" s="45">
        <v>12.4</v>
      </c>
      <c r="H20" s="45">
        <v>12.4</v>
      </c>
      <c r="I20" s="45">
        <v>12.4</v>
      </c>
      <c r="J20" s="45">
        <v>12.4</v>
      </c>
      <c r="K20" s="45">
        <v>12.4</v>
      </c>
      <c r="L20" s="45">
        <v>12.4</v>
      </c>
      <c r="M20" s="45">
        <v>12.4</v>
      </c>
      <c r="N20" s="45">
        <v>12.4</v>
      </c>
      <c r="O20" s="45">
        <v>12.4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12.1</v>
      </c>
      <c r="AF20" s="45">
        <v>12.1</v>
      </c>
      <c r="AG20" s="52">
        <v>30</v>
      </c>
      <c r="AH20" s="47">
        <f t="shared" si="3"/>
        <v>13</v>
      </c>
      <c r="AI20" s="48">
        <f t="shared" si="2"/>
        <v>12.1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24.5</v>
      </c>
      <c r="C21" s="45">
        <v>24.5</v>
      </c>
      <c r="D21" s="45">
        <v>24.5</v>
      </c>
      <c r="E21" s="45">
        <v>24.5</v>
      </c>
      <c r="F21" s="45">
        <v>24.5</v>
      </c>
      <c r="G21" s="45">
        <v>24.5</v>
      </c>
      <c r="H21" s="45">
        <v>24.5</v>
      </c>
      <c r="I21" s="45">
        <v>24.5</v>
      </c>
      <c r="J21" s="45">
        <v>24.5</v>
      </c>
      <c r="K21" s="45">
        <v>24.5</v>
      </c>
      <c r="L21" s="45">
        <v>24.5</v>
      </c>
      <c r="M21" s="45">
        <v>24.5</v>
      </c>
      <c r="N21" s="45">
        <v>24.5</v>
      </c>
      <c r="O21" s="45">
        <v>24.5</v>
      </c>
      <c r="P21" s="45">
        <v>24</v>
      </c>
      <c r="Q21" s="45">
        <v>24</v>
      </c>
      <c r="R21" s="45">
        <v>24</v>
      </c>
      <c r="S21" s="45">
        <v>24</v>
      </c>
      <c r="T21" s="45">
        <v>24</v>
      </c>
      <c r="U21" s="45">
        <v>24</v>
      </c>
      <c r="V21" s="45">
        <v>24</v>
      </c>
      <c r="W21" s="45">
        <v>24</v>
      </c>
      <c r="X21" s="45">
        <v>24</v>
      </c>
      <c r="Y21" s="45">
        <v>24</v>
      </c>
      <c r="Z21" s="45">
        <v>24</v>
      </c>
      <c r="AA21" s="45">
        <v>24</v>
      </c>
      <c r="AB21" s="45">
        <v>24</v>
      </c>
      <c r="AC21" s="45">
        <v>24</v>
      </c>
      <c r="AD21" s="45">
        <v>24</v>
      </c>
      <c r="AE21" s="45">
        <v>25.9</v>
      </c>
      <c r="AF21" s="45">
        <v>25.1</v>
      </c>
      <c r="AG21" s="49">
        <v>24.2</v>
      </c>
      <c r="AH21" s="47">
        <f t="shared" si="3"/>
        <v>25.9</v>
      </c>
      <c r="AI21" s="48">
        <f t="shared" si="2"/>
        <v>24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11.8</v>
      </c>
      <c r="Q22" s="45">
        <v>11.8</v>
      </c>
      <c r="R22" s="45">
        <v>11.8</v>
      </c>
      <c r="S22" s="45">
        <v>11.8</v>
      </c>
      <c r="T22" s="45">
        <v>11.8</v>
      </c>
      <c r="U22" s="45">
        <v>11.8</v>
      </c>
      <c r="V22" s="45">
        <v>11.8</v>
      </c>
      <c r="W22" s="45">
        <v>11.8</v>
      </c>
      <c r="X22" s="45">
        <v>11.8</v>
      </c>
      <c r="Y22" s="45">
        <v>11.8</v>
      </c>
      <c r="Z22" s="45">
        <v>11.8</v>
      </c>
      <c r="AA22" s="45">
        <v>11.8</v>
      </c>
      <c r="AB22" s="45">
        <v>11.8</v>
      </c>
      <c r="AC22" s="45">
        <v>11.8</v>
      </c>
      <c r="AD22" s="45">
        <v>11.8</v>
      </c>
      <c r="AE22" s="45">
        <v>13.2</v>
      </c>
      <c r="AF22" s="45">
        <v>13.2</v>
      </c>
      <c r="AG22" s="49">
        <v>28</v>
      </c>
      <c r="AH22" s="47">
        <f t="shared" si="3"/>
        <v>13.2</v>
      </c>
      <c r="AI22" s="48">
        <f t="shared" si="2"/>
        <v>11.8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8.6999999999999993</v>
      </c>
      <c r="C23" s="45">
        <v>8.6999999999999993</v>
      </c>
      <c r="D23" s="45">
        <v>8.6999999999999993</v>
      </c>
      <c r="E23" s="45">
        <v>8.6999999999999993</v>
      </c>
      <c r="F23" s="45">
        <v>8.6999999999999993</v>
      </c>
      <c r="G23" s="45">
        <v>8.6999999999999993</v>
      </c>
      <c r="H23" s="45">
        <v>8.6999999999999993</v>
      </c>
      <c r="I23" s="45">
        <v>8.6999999999999993</v>
      </c>
      <c r="J23" s="45">
        <v>8.6999999999999993</v>
      </c>
      <c r="K23" s="45">
        <v>8.6999999999999993</v>
      </c>
      <c r="L23" s="45">
        <v>8.6999999999999993</v>
      </c>
      <c r="M23" s="45">
        <v>8.6999999999999993</v>
      </c>
      <c r="N23" s="45">
        <v>8.6999999999999993</v>
      </c>
      <c r="O23" s="45">
        <v>8.6999999999999993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10.1</v>
      </c>
      <c r="AF23" s="45">
        <v>10.8</v>
      </c>
      <c r="AG23" s="52">
        <v>30</v>
      </c>
      <c r="AH23" s="47">
        <f t="shared" si="3"/>
        <v>10.8</v>
      </c>
      <c r="AI23" s="48">
        <f t="shared" si="2"/>
        <v>8.6999999999999993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12.3</v>
      </c>
      <c r="C24" s="45">
        <v>12.3</v>
      </c>
      <c r="D24" s="45">
        <v>12.3</v>
      </c>
      <c r="E24" s="45">
        <v>12.3</v>
      </c>
      <c r="F24" s="45">
        <v>12.3</v>
      </c>
      <c r="G24" s="45">
        <v>12.3</v>
      </c>
      <c r="H24" s="45">
        <v>12.3</v>
      </c>
      <c r="I24" s="45">
        <v>12.3</v>
      </c>
      <c r="J24" s="45">
        <v>12.3</v>
      </c>
      <c r="K24" s="45">
        <v>12.3</v>
      </c>
      <c r="L24" s="45">
        <v>12.3</v>
      </c>
      <c r="M24" s="45">
        <v>12.3</v>
      </c>
      <c r="N24" s="45">
        <v>12.3</v>
      </c>
      <c r="O24" s="45">
        <v>12.3</v>
      </c>
      <c r="P24" s="45">
        <v>10.5</v>
      </c>
      <c r="Q24" s="45">
        <v>10.5</v>
      </c>
      <c r="R24" s="45">
        <v>10.5</v>
      </c>
      <c r="S24" s="45">
        <v>10.5</v>
      </c>
      <c r="T24" s="45">
        <v>10.5</v>
      </c>
      <c r="U24" s="45">
        <v>10.5</v>
      </c>
      <c r="V24" s="45">
        <v>10.5</v>
      </c>
      <c r="W24" s="45">
        <v>10.5</v>
      </c>
      <c r="X24" s="45">
        <v>10.5</v>
      </c>
      <c r="Y24" s="45">
        <v>10.5</v>
      </c>
      <c r="Z24" s="45">
        <v>10.5</v>
      </c>
      <c r="AA24" s="45">
        <v>10.5</v>
      </c>
      <c r="AB24" s="45">
        <v>10.5</v>
      </c>
      <c r="AC24" s="45">
        <v>10.5</v>
      </c>
      <c r="AD24" s="45">
        <v>10.5</v>
      </c>
      <c r="AE24" s="45">
        <v>13.2</v>
      </c>
      <c r="AF24" s="45">
        <v>13.3</v>
      </c>
      <c r="AG24" s="49">
        <v>25</v>
      </c>
      <c r="AH24" s="47">
        <f t="shared" si="3"/>
        <v>13.3</v>
      </c>
      <c r="AI24" s="48">
        <f t="shared" si="2"/>
        <v>10.5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3"/>
        <v>0</v>
      </c>
      <c r="AI25" s="48">
        <f t="shared" si="2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9.5</v>
      </c>
      <c r="C26" s="45">
        <v>9.5</v>
      </c>
      <c r="D26" s="45">
        <v>9.5</v>
      </c>
      <c r="E26" s="45">
        <v>9.5</v>
      </c>
      <c r="F26" s="45">
        <v>9.5</v>
      </c>
      <c r="G26" s="45">
        <v>9.5</v>
      </c>
      <c r="H26" s="45">
        <v>9.5</v>
      </c>
      <c r="I26" s="45">
        <v>9.5</v>
      </c>
      <c r="J26" s="45">
        <v>9.5</v>
      </c>
      <c r="K26" s="45">
        <v>9.5</v>
      </c>
      <c r="L26" s="45">
        <v>9.5</v>
      </c>
      <c r="M26" s="45">
        <v>9.5</v>
      </c>
      <c r="N26" s="45">
        <v>9.5</v>
      </c>
      <c r="O26" s="45">
        <v>9.5</v>
      </c>
      <c r="P26" s="45">
        <v>9.5</v>
      </c>
      <c r="Q26" s="45">
        <v>9.5</v>
      </c>
      <c r="R26" s="45">
        <v>9.5</v>
      </c>
      <c r="S26" s="45">
        <v>9.5</v>
      </c>
      <c r="T26" s="45">
        <v>9.5</v>
      </c>
      <c r="U26" s="45">
        <v>9.5</v>
      </c>
      <c r="V26" s="45">
        <v>9.5</v>
      </c>
      <c r="W26" s="45">
        <v>9.5</v>
      </c>
      <c r="X26" s="45">
        <v>9.5</v>
      </c>
      <c r="Y26" s="45">
        <v>9.5</v>
      </c>
      <c r="Z26" s="45">
        <v>9.5</v>
      </c>
      <c r="AA26" s="45">
        <v>9.5</v>
      </c>
      <c r="AB26" s="45">
        <v>9.5</v>
      </c>
      <c r="AC26" s="45">
        <v>9.5</v>
      </c>
      <c r="AD26" s="45">
        <v>9.5</v>
      </c>
      <c r="AE26" s="45">
        <v>9.5</v>
      </c>
      <c r="AF26" s="45">
        <v>9.5</v>
      </c>
      <c r="AG26" s="49">
        <v>25</v>
      </c>
      <c r="AH26" s="47">
        <f t="shared" si="3"/>
        <v>9.5</v>
      </c>
      <c r="AI26" s="48">
        <f t="shared" si="2"/>
        <v>9.5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11.9</v>
      </c>
      <c r="C27" s="45">
        <v>11.9</v>
      </c>
      <c r="D27" s="45">
        <v>11.9</v>
      </c>
      <c r="E27" s="45">
        <v>11.9</v>
      </c>
      <c r="F27" s="45">
        <v>11.9</v>
      </c>
      <c r="G27" s="45">
        <v>11.9</v>
      </c>
      <c r="H27" s="45">
        <v>11.9</v>
      </c>
      <c r="I27" s="45">
        <v>11.9</v>
      </c>
      <c r="J27" s="45">
        <v>11.9</v>
      </c>
      <c r="K27" s="45">
        <v>11.9</v>
      </c>
      <c r="L27" s="45">
        <v>11.9</v>
      </c>
      <c r="M27" s="45">
        <v>11.9</v>
      </c>
      <c r="N27" s="45">
        <v>11.9</v>
      </c>
      <c r="O27" s="45">
        <v>11.9</v>
      </c>
      <c r="P27" s="45">
        <v>11.9</v>
      </c>
      <c r="Q27" s="45">
        <v>11.9</v>
      </c>
      <c r="R27" s="45">
        <v>11.9</v>
      </c>
      <c r="S27" s="45">
        <v>11.9</v>
      </c>
      <c r="T27" s="45">
        <v>11.9</v>
      </c>
      <c r="U27" s="45">
        <v>11.9</v>
      </c>
      <c r="V27" s="45">
        <v>11.9</v>
      </c>
      <c r="W27" s="45">
        <v>11.9</v>
      </c>
      <c r="X27" s="45">
        <v>11.9</v>
      </c>
      <c r="Y27" s="45">
        <v>11.9</v>
      </c>
      <c r="Z27" s="45">
        <v>11.9</v>
      </c>
      <c r="AA27" s="45">
        <v>11.9</v>
      </c>
      <c r="AB27" s="45">
        <v>11.9</v>
      </c>
      <c r="AC27" s="45">
        <v>11.9</v>
      </c>
      <c r="AD27" s="45">
        <v>11.9</v>
      </c>
      <c r="AE27" s="45">
        <v>12.8</v>
      </c>
      <c r="AF27" s="45">
        <v>12.6</v>
      </c>
      <c r="AG27" s="49">
        <v>25</v>
      </c>
      <c r="AH27" s="47">
        <f t="shared" si="3"/>
        <v>12.8</v>
      </c>
      <c r="AI27" s="48">
        <f t="shared" si="2"/>
        <v>11.9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11.4</v>
      </c>
      <c r="C28" s="45">
        <v>11.4</v>
      </c>
      <c r="D28" s="45">
        <v>11.4</v>
      </c>
      <c r="E28" s="45">
        <v>11.4</v>
      </c>
      <c r="F28" s="45">
        <v>11.4</v>
      </c>
      <c r="G28" s="45">
        <v>11.4</v>
      </c>
      <c r="H28" s="45">
        <v>11.4</v>
      </c>
      <c r="I28" s="45">
        <v>11.4</v>
      </c>
      <c r="J28" s="45">
        <v>11.4</v>
      </c>
      <c r="K28" s="45">
        <v>11.4</v>
      </c>
      <c r="L28" s="45">
        <v>11.4</v>
      </c>
      <c r="M28" s="45">
        <v>11.4</v>
      </c>
      <c r="N28" s="45">
        <v>11.4</v>
      </c>
      <c r="O28" s="45">
        <v>11.4</v>
      </c>
      <c r="P28" s="45">
        <v>11.4</v>
      </c>
      <c r="Q28" s="45">
        <v>11.4</v>
      </c>
      <c r="R28" s="45">
        <v>11.4</v>
      </c>
      <c r="S28" s="45">
        <v>11.4</v>
      </c>
      <c r="T28" s="45">
        <v>11.4</v>
      </c>
      <c r="U28" s="45">
        <v>11.4</v>
      </c>
      <c r="V28" s="45">
        <v>11.4</v>
      </c>
      <c r="W28" s="45">
        <v>11.4</v>
      </c>
      <c r="X28" s="45">
        <v>11.4</v>
      </c>
      <c r="Y28" s="45">
        <v>11.4</v>
      </c>
      <c r="Z28" s="45">
        <v>11.4</v>
      </c>
      <c r="AA28" s="45">
        <v>11.4</v>
      </c>
      <c r="AB28" s="45">
        <v>11.4</v>
      </c>
      <c r="AC28" s="45">
        <v>11.4</v>
      </c>
      <c r="AD28" s="45">
        <v>11.4</v>
      </c>
      <c r="AE28" s="45">
        <v>11.7</v>
      </c>
      <c r="AF28" s="45">
        <v>11.8</v>
      </c>
      <c r="AG28" s="49">
        <v>23.5</v>
      </c>
      <c r="AH28" s="47">
        <f t="shared" si="3"/>
        <v>11.8</v>
      </c>
      <c r="AI28" s="48">
        <f t="shared" si="2"/>
        <v>11.4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49">
        <v>22.2</v>
      </c>
      <c r="AH29" s="47">
        <f t="shared" si="3"/>
        <v>6</v>
      </c>
      <c r="AI29" s="48">
        <f t="shared" si="2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3"/>
        <v>9</v>
      </c>
      <c r="AI30" s="48">
        <f t="shared" si="2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3"/>
        <v>10</v>
      </c>
      <c r="AI31" s="48">
        <f t="shared" si="2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7.6</v>
      </c>
      <c r="C32" s="45">
        <v>7.6</v>
      </c>
      <c r="D32" s="45">
        <v>7.6</v>
      </c>
      <c r="E32" s="45">
        <v>7.6</v>
      </c>
      <c r="F32" s="45">
        <v>7.6</v>
      </c>
      <c r="G32" s="45">
        <v>7.6</v>
      </c>
      <c r="H32" s="45">
        <v>7.6</v>
      </c>
      <c r="I32" s="45">
        <v>7.6</v>
      </c>
      <c r="J32" s="45">
        <v>7.6</v>
      </c>
      <c r="K32" s="45">
        <v>7.6</v>
      </c>
      <c r="L32" s="45">
        <v>7.6</v>
      </c>
      <c r="M32" s="45">
        <v>7.6</v>
      </c>
      <c r="N32" s="45">
        <v>7.6</v>
      </c>
      <c r="O32" s="45">
        <v>7.6</v>
      </c>
      <c r="P32" s="45">
        <v>7.6</v>
      </c>
      <c r="Q32" s="45">
        <v>7.6</v>
      </c>
      <c r="R32" s="45">
        <v>7.6</v>
      </c>
      <c r="S32" s="45">
        <v>7.6</v>
      </c>
      <c r="T32" s="45">
        <v>7.6</v>
      </c>
      <c r="U32" s="45">
        <v>7.6</v>
      </c>
      <c r="V32" s="45">
        <v>7.6</v>
      </c>
      <c r="W32" s="45">
        <v>7.6</v>
      </c>
      <c r="X32" s="45">
        <v>7.6</v>
      </c>
      <c r="Y32" s="45">
        <v>7.6</v>
      </c>
      <c r="Z32" s="45">
        <v>7.6</v>
      </c>
      <c r="AA32" s="45">
        <v>7.6</v>
      </c>
      <c r="AB32" s="45">
        <v>7.6</v>
      </c>
      <c r="AC32" s="45">
        <v>7.6</v>
      </c>
      <c r="AD32" s="45">
        <v>7.6</v>
      </c>
      <c r="AE32" s="45">
        <v>12</v>
      </c>
      <c r="AF32" s="45">
        <v>11.8</v>
      </c>
      <c r="AG32" s="49">
        <v>22</v>
      </c>
      <c r="AH32" s="47">
        <f t="shared" si="3"/>
        <v>12</v>
      </c>
      <c r="AI32" s="48">
        <f t="shared" si="2"/>
        <v>7.6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8.6999999999999993</v>
      </c>
      <c r="C33" s="45">
        <v>8.6999999999999993</v>
      </c>
      <c r="D33" s="45">
        <v>8.6999999999999993</v>
      </c>
      <c r="E33" s="45">
        <v>8.6999999999999993</v>
      </c>
      <c r="F33" s="45">
        <v>8.6999999999999993</v>
      </c>
      <c r="G33" s="45">
        <v>8.6999999999999993</v>
      </c>
      <c r="H33" s="45">
        <v>8.6999999999999993</v>
      </c>
      <c r="I33" s="45">
        <v>8.6999999999999993</v>
      </c>
      <c r="J33" s="45">
        <v>8.6999999999999993</v>
      </c>
      <c r="K33" s="45">
        <v>8.6999999999999993</v>
      </c>
      <c r="L33" s="45">
        <v>8.6999999999999993</v>
      </c>
      <c r="M33" s="45">
        <v>8.6999999999999993</v>
      </c>
      <c r="N33" s="45">
        <v>8.6999999999999993</v>
      </c>
      <c r="O33" s="45">
        <v>8.6999999999999993</v>
      </c>
      <c r="P33" s="45">
        <v>8.6999999999999993</v>
      </c>
      <c r="Q33" s="45">
        <v>8.6999999999999993</v>
      </c>
      <c r="R33" s="45">
        <v>8.6999999999999993</v>
      </c>
      <c r="S33" s="45">
        <v>8.6999999999999993</v>
      </c>
      <c r="T33" s="45">
        <v>8.6999999999999993</v>
      </c>
      <c r="U33" s="45">
        <v>8.6999999999999993</v>
      </c>
      <c r="V33" s="45">
        <v>8.6999999999999993</v>
      </c>
      <c r="W33" s="45">
        <v>8.6999999999999993</v>
      </c>
      <c r="X33" s="45">
        <v>8.6999999999999993</v>
      </c>
      <c r="Y33" s="45">
        <v>8.6999999999999993</v>
      </c>
      <c r="Z33" s="45">
        <v>8.6999999999999993</v>
      </c>
      <c r="AA33" s="45">
        <v>8.6999999999999993</v>
      </c>
      <c r="AB33" s="45">
        <v>8.6999999999999993</v>
      </c>
      <c r="AC33" s="45">
        <v>8.6999999999999993</v>
      </c>
      <c r="AD33" s="45">
        <v>8.6999999999999993</v>
      </c>
      <c r="AE33" s="45">
        <v>8.6999999999999993</v>
      </c>
      <c r="AF33" s="45">
        <v>8.6999999999999993</v>
      </c>
      <c r="AG33" s="49">
        <v>20</v>
      </c>
      <c r="AH33" s="47">
        <f t="shared" si="3"/>
        <v>8.6999999999999993</v>
      </c>
      <c r="AI33" s="48">
        <f t="shared" si="2"/>
        <v>8.6999999999999993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49">
        <v>18</v>
      </c>
      <c r="AH34" s="47">
        <f t="shared" si="3"/>
        <v>6</v>
      </c>
      <c r="AI34" s="48">
        <f t="shared" si="2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3"/>
        <v>8.1999999999999993</v>
      </c>
      <c r="AI35" s="48">
        <f t="shared" si="2"/>
        <v>8.1999999999999993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3"/>
        <v>0</v>
      </c>
      <c r="AI36" s="48">
        <f t="shared" si="2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3"/>
        <v>1.8</v>
      </c>
      <c r="AI37" s="48">
        <f t="shared" si="2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3"/>
        <v>6</v>
      </c>
      <c r="AI38" s="48">
        <f t="shared" si="2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3"/>
        <v>5.5</v>
      </c>
      <c r="AI39" s="48">
        <f t="shared" si="2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3"/>
        <v>11</v>
      </c>
      <c r="AI40" s="48">
        <f t="shared" si="2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3"/>
        <v>7</v>
      </c>
      <c r="AI41" s="48">
        <f t="shared" si="2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3"/>
        <v>6</v>
      </c>
      <c r="AI42" s="48">
        <f t="shared" si="2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3"/>
        <v>5.5</v>
      </c>
      <c r="AI43" s="48">
        <f t="shared" si="2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3"/>
        <v>5</v>
      </c>
      <c r="AI44" s="48">
        <f t="shared" si="2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5.8</v>
      </c>
      <c r="Q45" s="45">
        <v>5.8</v>
      </c>
      <c r="R45" s="45">
        <v>5.8</v>
      </c>
      <c r="S45" s="45">
        <v>5.8</v>
      </c>
      <c r="T45" s="45">
        <v>5.8</v>
      </c>
      <c r="U45" s="45">
        <v>5.8</v>
      </c>
      <c r="V45" s="45">
        <v>5.8</v>
      </c>
      <c r="W45" s="45">
        <v>5.8</v>
      </c>
      <c r="X45" s="45">
        <v>5.8</v>
      </c>
      <c r="Y45" s="45">
        <v>5.8</v>
      </c>
      <c r="Z45" s="45">
        <v>5.8</v>
      </c>
      <c r="AA45" s="45">
        <v>5.8</v>
      </c>
      <c r="AB45" s="45">
        <v>5.8</v>
      </c>
      <c r="AC45" s="45">
        <v>5.8</v>
      </c>
      <c r="AD45" s="45">
        <v>5.8</v>
      </c>
      <c r="AE45" s="45">
        <v>5.8</v>
      </c>
      <c r="AF45" s="45">
        <v>5.8</v>
      </c>
      <c r="AG45" s="55">
        <v>10</v>
      </c>
      <c r="AH45" s="47">
        <f t="shared" si="3"/>
        <v>5.8</v>
      </c>
      <c r="AI45" s="48">
        <f t="shared" si="2"/>
        <v>5.8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3"/>
        <v>6</v>
      </c>
      <c r="AI46" s="48">
        <f t="shared" si="2"/>
        <v>6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3"/>
        <v>0</v>
      </c>
      <c r="AI47" s="48">
        <f t="shared" si="2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250</v>
      </c>
      <c r="C48" s="57">
        <v>250</v>
      </c>
      <c r="D48" s="57">
        <v>250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250</v>
      </c>
      <c r="N48" s="57">
        <v>250</v>
      </c>
      <c r="O48" s="57">
        <v>250</v>
      </c>
      <c r="P48" s="57">
        <v>250</v>
      </c>
      <c r="Q48" s="57">
        <v>250</v>
      </c>
      <c r="R48" s="57">
        <v>250</v>
      </c>
      <c r="S48" s="57">
        <v>250</v>
      </c>
      <c r="T48" s="57">
        <v>250</v>
      </c>
      <c r="U48" s="57">
        <v>250</v>
      </c>
      <c r="V48" s="57">
        <v>250</v>
      </c>
      <c r="W48" s="57">
        <v>250</v>
      </c>
      <c r="X48" s="57">
        <v>250</v>
      </c>
      <c r="Y48" s="57">
        <v>250</v>
      </c>
      <c r="Z48" s="57">
        <v>250</v>
      </c>
      <c r="AA48" s="57">
        <v>250</v>
      </c>
      <c r="AB48" s="57">
        <v>250</v>
      </c>
      <c r="AC48" s="57">
        <v>250</v>
      </c>
      <c r="AD48" s="57">
        <v>250</v>
      </c>
      <c r="AE48" s="57">
        <v>250</v>
      </c>
      <c r="AF48" s="57">
        <v>250</v>
      </c>
      <c r="AG48" s="55">
        <v>85</v>
      </c>
      <c r="AH48" s="47">
        <f t="shared" si="3"/>
        <v>250</v>
      </c>
      <c r="AI48" s="48">
        <f t="shared" si="2"/>
        <v>250</v>
      </c>
      <c r="AK48" s="50"/>
    </row>
    <row r="49" spans="1:41" ht="15.75" thickBot="1" x14ac:dyDescent="0.3">
      <c r="A49" s="58" t="s">
        <v>57</v>
      </c>
      <c r="B49" s="57">
        <v>30.7</v>
      </c>
      <c r="C49" s="57">
        <v>30.7</v>
      </c>
      <c r="D49" s="57">
        <v>30.7</v>
      </c>
      <c r="E49" s="57">
        <v>38.200000000000003</v>
      </c>
      <c r="F49" s="57">
        <v>38.200000000000003</v>
      </c>
      <c r="G49" s="57">
        <v>38.200000000000003</v>
      </c>
      <c r="H49" s="57">
        <v>38.200000000000003</v>
      </c>
      <c r="I49" s="57">
        <v>38.200000000000003</v>
      </c>
      <c r="J49" s="57">
        <v>38.200000000000003</v>
      </c>
      <c r="K49" s="57">
        <v>38.200000000000003</v>
      </c>
      <c r="L49" s="57">
        <v>38.200000000000003</v>
      </c>
      <c r="M49" s="57">
        <v>38.200000000000003</v>
      </c>
      <c r="N49" s="57">
        <v>38.200000000000003</v>
      </c>
      <c r="O49" s="57">
        <v>38.200000000000003</v>
      </c>
      <c r="P49" s="57">
        <v>37.6</v>
      </c>
      <c r="Q49" s="57">
        <v>37.6</v>
      </c>
      <c r="R49" s="57">
        <v>37.6</v>
      </c>
      <c r="S49" s="57">
        <v>37.6</v>
      </c>
      <c r="T49" s="57">
        <v>37.6</v>
      </c>
      <c r="U49" s="57">
        <v>37.6</v>
      </c>
      <c r="V49" s="57">
        <v>36.799999999999997</v>
      </c>
      <c r="W49" s="57">
        <v>36.799999999999997</v>
      </c>
      <c r="X49" s="57">
        <v>36.799999999999997</v>
      </c>
      <c r="Y49" s="57">
        <v>36.799999999999997</v>
      </c>
      <c r="Z49" s="57">
        <v>36.799999999999997</v>
      </c>
      <c r="AA49" s="57">
        <v>36.799999999999997</v>
      </c>
      <c r="AB49" s="57">
        <v>36.799999999999997</v>
      </c>
      <c r="AC49" s="57">
        <v>36.799999999999997</v>
      </c>
      <c r="AD49" s="57">
        <f>26.3+8.9</f>
        <v>35.200000000000003</v>
      </c>
      <c r="AE49" s="57">
        <f>9.6+28.2</f>
        <v>37.799999999999997</v>
      </c>
      <c r="AF49" s="57">
        <f>9.6+27.6</f>
        <v>37.200000000000003</v>
      </c>
      <c r="AG49" s="55">
        <v>240</v>
      </c>
      <c r="AH49" s="47">
        <f t="shared" si="3"/>
        <v>38.200000000000003</v>
      </c>
      <c r="AI49" s="48">
        <f t="shared" si="2"/>
        <v>30.7</v>
      </c>
      <c r="AK49" s="50"/>
    </row>
    <row r="50" spans="1:41" ht="15.75" thickBot="1" x14ac:dyDescent="0.3">
      <c r="A50" s="59" t="s">
        <v>58</v>
      </c>
      <c r="B50" s="60">
        <f t="shared" ref="B50:C50" si="4">SUM(B11:B48)</f>
        <v>678.5</v>
      </c>
      <c r="C50" s="60">
        <f t="shared" si="4"/>
        <v>678.5</v>
      </c>
      <c r="D50" s="60">
        <f t="shared" ref="D50:E50" si="5">SUM(D11:D48)</f>
        <v>679.09999999999991</v>
      </c>
      <c r="E50" s="60">
        <f t="shared" si="5"/>
        <v>679.09999999999991</v>
      </c>
      <c r="F50" s="60">
        <f t="shared" ref="F50:G50" si="6">SUM(F11:F48)</f>
        <v>679.09999999999991</v>
      </c>
      <c r="G50" s="60">
        <f t="shared" si="6"/>
        <v>679.09999999999991</v>
      </c>
      <c r="H50" s="60">
        <f t="shared" ref="H50:I50" si="7">SUM(H11:H48)</f>
        <v>679.09999999999991</v>
      </c>
      <c r="I50" s="60">
        <f t="shared" si="7"/>
        <v>679.09999999999991</v>
      </c>
      <c r="J50" s="60">
        <f t="shared" ref="J50:K50" si="8">SUM(J11:J48)</f>
        <v>679.09999999999991</v>
      </c>
      <c r="K50" s="60">
        <f t="shared" si="8"/>
        <v>679.09999999999991</v>
      </c>
      <c r="L50" s="60">
        <f t="shared" ref="L50" si="9">SUM(L11:L48)</f>
        <v>679.09999999999991</v>
      </c>
      <c r="M50" s="60">
        <f t="shared" ref="M50:AD50" si="10">SUM(M11:M48)</f>
        <v>680.09999999999991</v>
      </c>
      <c r="N50" s="60">
        <f t="shared" si="10"/>
        <v>680.09999999999991</v>
      </c>
      <c r="O50" s="60">
        <f t="shared" si="10"/>
        <v>680.8</v>
      </c>
      <c r="P50" s="60">
        <f t="shared" si="10"/>
        <v>675</v>
      </c>
      <c r="Q50" s="60">
        <f t="shared" si="10"/>
        <v>675</v>
      </c>
      <c r="R50" s="60">
        <f t="shared" si="10"/>
        <v>675</v>
      </c>
      <c r="S50" s="60">
        <f t="shared" si="10"/>
        <v>675</v>
      </c>
      <c r="T50" s="60">
        <f t="shared" si="10"/>
        <v>675</v>
      </c>
      <c r="U50" s="60">
        <f t="shared" si="10"/>
        <v>675</v>
      </c>
      <c r="V50" s="60">
        <f t="shared" si="10"/>
        <v>675</v>
      </c>
      <c r="W50" s="60">
        <f t="shared" si="10"/>
        <v>675</v>
      </c>
      <c r="X50" s="60">
        <f t="shared" si="10"/>
        <v>675</v>
      </c>
      <c r="Y50" s="60">
        <f t="shared" ref="Y50:Z50" si="11">SUM(Y11:Y48)</f>
        <v>675</v>
      </c>
      <c r="Z50" s="60">
        <f t="shared" si="11"/>
        <v>675</v>
      </c>
      <c r="AA50" s="60">
        <f t="shared" si="10"/>
        <v>675</v>
      </c>
      <c r="AB50" s="60">
        <f t="shared" si="10"/>
        <v>675</v>
      </c>
      <c r="AC50" s="60">
        <f t="shared" si="10"/>
        <v>679</v>
      </c>
      <c r="AD50" s="60">
        <f t="shared" si="10"/>
        <v>679</v>
      </c>
      <c r="AE50" s="60">
        <f t="shared" ref="AE50:AF50" si="12">SUM(AE11:AE48)</f>
        <v>690.6</v>
      </c>
      <c r="AF50" s="60">
        <f t="shared" si="12"/>
        <v>687.80000000000007</v>
      </c>
      <c r="AG50" s="61">
        <f>SUM(AG13:AG48)</f>
        <v>922.14</v>
      </c>
      <c r="AH50" s="47">
        <f t="shared" si="3"/>
        <v>690.6</v>
      </c>
      <c r="AI50" s="48">
        <f t="shared" si="2"/>
        <v>675</v>
      </c>
      <c r="AK50" s="50"/>
    </row>
    <row r="51" spans="1:41" x14ac:dyDescent="0.25">
      <c r="A51" s="62" t="s">
        <v>59</v>
      </c>
      <c r="B51" s="45">
        <v>0</v>
      </c>
      <c r="C51" s="45">
        <v>0</v>
      </c>
      <c r="D51" s="45">
        <v>0</v>
      </c>
      <c r="E51" s="45">
        <v>0</v>
      </c>
      <c r="F51" s="45">
        <v>0</v>
      </c>
      <c r="G51" s="45">
        <v>11</v>
      </c>
      <c r="H51" s="45">
        <v>70</v>
      </c>
      <c r="I51" s="45">
        <v>50</v>
      </c>
      <c r="J51" s="45">
        <v>170</v>
      </c>
      <c r="K51" s="45">
        <v>170</v>
      </c>
      <c r="L51" s="45">
        <v>320</v>
      </c>
      <c r="M51" s="45">
        <v>400</v>
      </c>
      <c r="N51" s="63">
        <v>380</v>
      </c>
      <c r="O51" s="63">
        <v>140</v>
      </c>
      <c r="P51" s="63">
        <v>90</v>
      </c>
      <c r="Q51" s="63">
        <v>60</v>
      </c>
      <c r="R51" s="63">
        <v>50</v>
      </c>
      <c r="S51" s="63">
        <v>50</v>
      </c>
      <c r="T51" s="63">
        <v>30</v>
      </c>
      <c r="U51" s="63">
        <v>40</v>
      </c>
      <c r="V51" s="63">
        <v>180</v>
      </c>
      <c r="W51" s="45">
        <v>440</v>
      </c>
      <c r="X51" s="45">
        <v>456</v>
      </c>
      <c r="Y51" s="45">
        <v>430</v>
      </c>
      <c r="Z51" s="45">
        <v>300</v>
      </c>
      <c r="AA51" s="45">
        <v>250</v>
      </c>
      <c r="AB51" s="45">
        <v>170</v>
      </c>
      <c r="AC51" s="45">
        <v>120</v>
      </c>
      <c r="AD51" s="45">
        <v>120</v>
      </c>
      <c r="AE51" s="45">
        <v>100</v>
      </c>
      <c r="AF51" s="45">
        <v>12</v>
      </c>
      <c r="AG51" s="52">
        <v>456</v>
      </c>
      <c r="AH51" s="47">
        <f t="shared" si="3"/>
        <v>456</v>
      </c>
      <c r="AI51" s="48">
        <f t="shared" si="2"/>
        <v>0</v>
      </c>
      <c r="AK51" s="50"/>
    </row>
    <row r="52" spans="1:41" x14ac:dyDescent="0.25">
      <c r="A52" s="64" t="s">
        <v>60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42</v>
      </c>
      <c r="N52" s="65">
        <v>42</v>
      </c>
      <c r="O52" s="65">
        <v>42</v>
      </c>
      <c r="P52" s="65">
        <v>42</v>
      </c>
      <c r="Q52" s="65">
        <v>42</v>
      </c>
      <c r="R52" s="65">
        <v>42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5">
        <v>60</v>
      </c>
      <c r="AH52" s="47">
        <f t="shared" si="3"/>
        <v>42</v>
      </c>
      <c r="AI52" s="48">
        <f t="shared" si="2"/>
        <v>42</v>
      </c>
      <c r="AK52" s="50"/>
    </row>
    <row r="53" spans="1:41" ht="15.75" thickBot="1" x14ac:dyDescent="0.3">
      <c r="A53" s="66" t="s">
        <v>61</v>
      </c>
      <c r="B53" s="67">
        <v>12.2</v>
      </c>
      <c r="C53" s="67">
        <v>12.2</v>
      </c>
      <c r="D53" s="67">
        <v>12.2</v>
      </c>
      <c r="E53" s="67">
        <v>12.2</v>
      </c>
      <c r="F53" s="67">
        <v>12.2</v>
      </c>
      <c r="G53" s="67">
        <v>12.2</v>
      </c>
      <c r="H53" s="67">
        <v>12.2</v>
      </c>
      <c r="I53" s="67">
        <v>12.2</v>
      </c>
      <c r="J53" s="67">
        <v>12.2</v>
      </c>
      <c r="K53" s="67">
        <v>12.2</v>
      </c>
      <c r="L53" s="67">
        <v>12.2</v>
      </c>
      <c r="M53" s="67">
        <v>16.600000000000001</v>
      </c>
      <c r="N53" s="67">
        <v>16.600000000000001</v>
      </c>
      <c r="O53" s="67">
        <v>16.600000000000001</v>
      </c>
      <c r="P53" s="67">
        <v>13.2</v>
      </c>
      <c r="Q53" s="67">
        <v>13.1</v>
      </c>
      <c r="R53" s="67">
        <v>13.2</v>
      </c>
      <c r="S53" s="67">
        <v>13.2</v>
      </c>
      <c r="T53" s="67">
        <v>13.2</v>
      </c>
      <c r="U53" s="67">
        <v>13.2</v>
      </c>
      <c r="V53" s="67">
        <v>13.2</v>
      </c>
      <c r="W53" s="67">
        <v>13.2</v>
      </c>
      <c r="X53" s="67">
        <v>13.2</v>
      </c>
      <c r="Y53" s="67">
        <v>13.2</v>
      </c>
      <c r="Z53" s="67">
        <v>13.2</v>
      </c>
      <c r="AA53" s="67">
        <v>13.2</v>
      </c>
      <c r="AB53" s="67">
        <v>19.100000000000001</v>
      </c>
      <c r="AC53" s="67">
        <v>19.100000000000001</v>
      </c>
      <c r="AD53" s="67">
        <v>19.100000000000001</v>
      </c>
      <c r="AE53" s="67">
        <v>13.7</v>
      </c>
      <c r="AF53" s="67">
        <v>13.7</v>
      </c>
      <c r="AG53" s="68">
        <v>22.1</v>
      </c>
      <c r="AH53" s="47">
        <f t="shared" si="3"/>
        <v>19.100000000000001</v>
      </c>
      <c r="AI53" s="48">
        <f t="shared" si="2"/>
        <v>12.2</v>
      </c>
      <c r="AK53" s="50"/>
    </row>
    <row r="54" spans="1:41" ht="15.75" thickBot="1" x14ac:dyDescent="0.3">
      <c r="A54" s="69" t="s">
        <v>62</v>
      </c>
      <c r="B54" s="60">
        <f t="shared" ref="B54:C54" si="13">SUM(B51:B53)</f>
        <v>54.2</v>
      </c>
      <c r="C54" s="60">
        <f t="shared" si="13"/>
        <v>54.2</v>
      </c>
      <c r="D54" s="60">
        <f t="shared" ref="D54:E54" si="14">SUM(D51:D53)</f>
        <v>54.2</v>
      </c>
      <c r="E54" s="60">
        <f t="shared" si="14"/>
        <v>54.2</v>
      </c>
      <c r="F54" s="60">
        <f t="shared" ref="F54:G54" si="15">SUM(F51:F53)</f>
        <v>54.2</v>
      </c>
      <c r="G54" s="60">
        <f t="shared" si="15"/>
        <v>65.2</v>
      </c>
      <c r="H54" s="60">
        <f t="shared" ref="H54:I54" si="16">SUM(H51:H53)</f>
        <v>124.2</v>
      </c>
      <c r="I54" s="60">
        <f t="shared" si="16"/>
        <v>104.2</v>
      </c>
      <c r="J54" s="60">
        <f t="shared" ref="J54:K54" si="17">SUM(J51:J53)</f>
        <v>224.2</v>
      </c>
      <c r="K54" s="60">
        <f t="shared" si="17"/>
        <v>224.2</v>
      </c>
      <c r="L54" s="60">
        <f t="shared" ref="L54" si="18">SUM(L51:L53)</f>
        <v>374.2</v>
      </c>
      <c r="M54" s="60">
        <f t="shared" ref="M54:AG54" si="19">SUM(M51:M53)</f>
        <v>458.6</v>
      </c>
      <c r="N54" s="60">
        <f t="shared" si="19"/>
        <v>438.6</v>
      </c>
      <c r="O54" s="60">
        <f t="shared" si="19"/>
        <v>198.6</v>
      </c>
      <c r="P54" s="60">
        <f t="shared" si="19"/>
        <v>145.19999999999999</v>
      </c>
      <c r="Q54" s="60">
        <f t="shared" si="19"/>
        <v>115.1</v>
      </c>
      <c r="R54" s="60">
        <f t="shared" si="19"/>
        <v>105.2</v>
      </c>
      <c r="S54" s="60">
        <f t="shared" si="19"/>
        <v>105.2</v>
      </c>
      <c r="T54" s="60">
        <f t="shared" si="19"/>
        <v>85.2</v>
      </c>
      <c r="U54" s="60">
        <f t="shared" si="19"/>
        <v>95.2</v>
      </c>
      <c r="V54" s="60">
        <f t="shared" si="19"/>
        <v>235.2</v>
      </c>
      <c r="W54" s="60">
        <f t="shared" si="19"/>
        <v>495.2</v>
      </c>
      <c r="X54" s="60">
        <f t="shared" si="19"/>
        <v>511.2</v>
      </c>
      <c r="Y54" s="60">
        <f t="shared" ref="Y54:Z54" si="20">SUM(Y51:Y53)</f>
        <v>485.2</v>
      </c>
      <c r="Z54" s="60">
        <f t="shared" si="20"/>
        <v>355.2</v>
      </c>
      <c r="AA54" s="60">
        <f t="shared" si="19"/>
        <v>305.2</v>
      </c>
      <c r="AB54" s="60">
        <f t="shared" si="19"/>
        <v>231.1</v>
      </c>
      <c r="AC54" s="60">
        <f t="shared" si="19"/>
        <v>181.1</v>
      </c>
      <c r="AD54" s="60">
        <f t="shared" si="19"/>
        <v>181.1</v>
      </c>
      <c r="AE54" s="60">
        <f t="shared" ref="AE54:AF54" si="21">SUM(AE51:AE53)</f>
        <v>155.69999999999999</v>
      </c>
      <c r="AF54" s="60">
        <f t="shared" si="21"/>
        <v>67.7</v>
      </c>
      <c r="AG54" s="61">
        <f t="shared" si="19"/>
        <v>538.1</v>
      </c>
      <c r="AH54" s="47">
        <f t="shared" si="3"/>
        <v>511.2</v>
      </c>
      <c r="AI54" s="48">
        <f t="shared" si="2"/>
        <v>54.2</v>
      </c>
      <c r="AK54" s="50"/>
    </row>
    <row r="55" spans="1:41" x14ac:dyDescent="0.25">
      <c r="A55" s="44" t="s">
        <v>63</v>
      </c>
      <c r="B55" s="45">
        <v>45</v>
      </c>
      <c r="C55" s="45">
        <v>30</v>
      </c>
      <c r="D55" s="45">
        <v>45</v>
      </c>
      <c r="E55" s="45">
        <v>45</v>
      </c>
      <c r="F55" s="45">
        <v>40.700000000000003</v>
      </c>
      <c r="G55" s="45">
        <v>44.9</v>
      </c>
      <c r="H55" s="45">
        <v>35.700000000000003</v>
      </c>
      <c r="I55" s="45">
        <v>102.5</v>
      </c>
      <c r="J55" s="45">
        <v>145.4</v>
      </c>
      <c r="K55" s="45">
        <v>145.4</v>
      </c>
      <c r="L55" s="45">
        <v>0</v>
      </c>
      <c r="M55" s="45">
        <v>139.30000000000001</v>
      </c>
      <c r="N55" s="45">
        <v>139.30000000000001</v>
      </c>
      <c r="O55" s="45">
        <v>139.30000000000001</v>
      </c>
      <c r="P55" s="45">
        <v>144</v>
      </c>
      <c r="Q55" s="45">
        <v>137</v>
      </c>
      <c r="R55" s="45">
        <v>91.4</v>
      </c>
      <c r="S55" s="45">
        <v>72.099999999999994</v>
      </c>
      <c r="T55" s="45">
        <v>82</v>
      </c>
      <c r="U55" s="45">
        <v>102</v>
      </c>
      <c r="V55" s="45">
        <v>102</v>
      </c>
      <c r="W55" s="45">
        <v>142</v>
      </c>
      <c r="X55" s="45">
        <v>142</v>
      </c>
      <c r="Y55" s="45">
        <v>115</v>
      </c>
      <c r="Z55" s="45">
        <v>115</v>
      </c>
      <c r="AA55" s="45">
        <v>115</v>
      </c>
      <c r="AB55" s="45">
        <v>125.9</v>
      </c>
      <c r="AC55" s="45">
        <v>100.6</v>
      </c>
      <c r="AD55" s="45">
        <v>81.2</v>
      </c>
      <c r="AE55" s="45">
        <v>29.8</v>
      </c>
      <c r="AF55" s="45">
        <v>0</v>
      </c>
      <c r="AG55" s="52">
        <v>144</v>
      </c>
      <c r="AH55" s="47">
        <f t="shared" si="3"/>
        <v>145.4</v>
      </c>
      <c r="AI55" s="48">
        <f t="shared" si="2"/>
        <v>0</v>
      </c>
      <c r="AK55" s="50"/>
    </row>
    <row r="56" spans="1:41" x14ac:dyDescent="0.25">
      <c r="A56" s="54" t="s">
        <v>64</v>
      </c>
      <c r="B56" s="65">
        <v>25.6</v>
      </c>
      <c r="C56" s="65">
        <v>0</v>
      </c>
      <c r="D56" s="65">
        <v>0</v>
      </c>
      <c r="E56" s="65">
        <v>0</v>
      </c>
      <c r="F56" s="65">
        <v>0</v>
      </c>
      <c r="G56" s="65">
        <v>35.700000000000003</v>
      </c>
      <c r="H56" s="65">
        <v>69.7</v>
      </c>
      <c r="I56" s="65">
        <v>60.7</v>
      </c>
      <c r="J56" s="65">
        <v>69.099999999999994</v>
      </c>
      <c r="K56" s="65">
        <v>69.099999999999994</v>
      </c>
      <c r="L56" s="65">
        <v>71.5</v>
      </c>
      <c r="M56" s="65">
        <v>70.8</v>
      </c>
      <c r="N56" s="65">
        <v>70.8</v>
      </c>
      <c r="O56" s="65">
        <v>70.8</v>
      </c>
      <c r="P56" s="65">
        <v>46.2</v>
      </c>
      <c r="Q56" s="65">
        <v>45.7</v>
      </c>
      <c r="R56" s="65">
        <v>47.5</v>
      </c>
      <c r="S56" s="65">
        <v>21.5</v>
      </c>
      <c r="T56" s="65">
        <v>30</v>
      </c>
      <c r="U56" s="65">
        <v>58.3</v>
      </c>
      <c r="V56" s="65">
        <v>70.900000000000006</v>
      </c>
      <c r="W56" s="65">
        <v>70.900000000000006</v>
      </c>
      <c r="X56" s="65">
        <v>70.900000000000006</v>
      </c>
      <c r="Y56" s="65">
        <v>68.400000000000006</v>
      </c>
      <c r="Z56" s="65">
        <v>68.400000000000006</v>
      </c>
      <c r="AA56" s="65">
        <v>68.400000000000006</v>
      </c>
      <c r="AB56" s="45">
        <v>53.7</v>
      </c>
      <c r="AC56" s="45">
        <v>47.4</v>
      </c>
      <c r="AD56" s="65">
        <v>26.3</v>
      </c>
      <c r="AE56" s="65">
        <v>0</v>
      </c>
      <c r="AF56" s="65">
        <v>0</v>
      </c>
      <c r="AG56" s="55">
        <v>70</v>
      </c>
      <c r="AH56" s="47">
        <f t="shared" si="3"/>
        <v>71.5</v>
      </c>
      <c r="AI56" s="48">
        <f t="shared" si="2"/>
        <v>0</v>
      </c>
      <c r="AK56" s="50"/>
    </row>
    <row r="57" spans="1:41" x14ac:dyDescent="0.25">
      <c r="A57" s="54" t="s">
        <v>65</v>
      </c>
      <c r="B57" s="65">
        <v>32</v>
      </c>
      <c r="C57" s="65">
        <v>32</v>
      </c>
      <c r="D57" s="65">
        <v>45</v>
      </c>
      <c r="E57" s="65">
        <v>45</v>
      </c>
      <c r="F57" s="65">
        <v>45</v>
      </c>
      <c r="G57" s="65">
        <v>45</v>
      </c>
      <c r="H57" s="65">
        <v>64.3</v>
      </c>
      <c r="I57" s="65">
        <v>66.2</v>
      </c>
      <c r="J57" s="65">
        <v>68</v>
      </c>
      <c r="K57" s="65">
        <v>68</v>
      </c>
      <c r="L57" s="65">
        <v>66.900000000000006</v>
      </c>
      <c r="M57" s="65">
        <v>68</v>
      </c>
      <c r="N57" s="65">
        <v>68</v>
      </c>
      <c r="O57" s="65">
        <v>68</v>
      </c>
      <c r="P57" s="65">
        <v>47.4</v>
      </c>
      <c r="Q57" s="65">
        <v>46.2</v>
      </c>
      <c r="R57" s="65">
        <v>47.3</v>
      </c>
      <c r="S57" s="65">
        <v>43</v>
      </c>
      <c r="T57" s="65">
        <v>47</v>
      </c>
      <c r="U57" s="65">
        <v>47</v>
      </c>
      <c r="V57" s="65">
        <v>47</v>
      </c>
      <c r="W57" s="65">
        <v>67</v>
      </c>
      <c r="X57" s="65">
        <v>67</v>
      </c>
      <c r="Y57" s="65">
        <v>66</v>
      </c>
      <c r="Z57" s="65">
        <v>66</v>
      </c>
      <c r="AA57" s="65">
        <v>66</v>
      </c>
      <c r="AB57" s="45">
        <v>52.1</v>
      </c>
      <c r="AC57" s="45">
        <v>34.700000000000003</v>
      </c>
      <c r="AD57" s="65">
        <v>32.299999999999997</v>
      </c>
      <c r="AE57" s="65">
        <v>32.6</v>
      </c>
      <c r="AF57" s="65">
        <v>32</v>
      </c>
      <c r="AG57" s="55">
        <v>69</v>
      </c>
      <c r="AH57" s="47">
        <f t="shared" si="3"/>
        <v>68</v>
      </c>
      <c r="AI57" s="48">
        <f t="shared" si="2"/>
        <v>32</v>
      </c>
      <c r="AK57" s="50"/>
    </row>
    <row r="58" spans="1:41" x14ac:dyDescent="0.25">
      <c r="A58" s="54" t="s">
        <v>66</v>
      </c>
      <c r="B58" s="65">
        <v>55.4</v>
      </c>
      <c r="C58" s="65">
        <v>55.4</v>
      </c>
      <c r="D58" s="65">
        <v>55.4</v>
      </c>
      <c r="E58" s="65">
        <v>55.4</v>
      </c>
      <c r="F58" s="65">
        <v>55.4</v>
      </c>
      <c r="G58" s="65">
        <v>55.4</v>
      </c>
      <c r="H58" s="65">
        <v>58.5</v>
      </c>
      <c r="I58" s="65">
        <v>58.5</v>
      </c>
      <c r="J58" s="65">
        <v>59</v>
      </c>
      <c r="K58" s="65">
        <v>59</v>
      </c>
      <c r="L58" s="65">
        <v>60</v>
      </c>
      <c r="M58" s="65">
        <v>59.7</v>
      </c>
      <c r="N58" s="65">
        <v>59.7</v>
      </c>
      <c r="O58" s="65">
        <v>59.7</v>
      </c>
      <c r="P58" s="65">
        <v>59.5</v>
      </c>
      <c r="Q58" s="65">
        <v>59.5</v>
      </c>
      <c r="R58" s="65">
        <v>57.4</v>
      </c>
      <c r="S58" s="65">
        <v>58.7</v>
      </c>
      <c r="T58" s="65">
        <v>58.7</v>
      </c>
      <c r="U58" s="65">
        <v>56.5</v>
      </c>
      <c r="V58" s="65">
        <v>56.5</v>
      </c>
      <c r="W58" s="65">
        <v>56.5</v>
      </c>
      <c r="X58" s="65">
        <v>56.5</v>
      </c>
      <c r="Y58" s="65">
        <v>57</v>
      </c>
      <c r="Z58" s="65">
        <v>57</v>
      </c>
      <c r="AA58" s="65">
        <v>57</v>
      </c>
      <c r="AB58" s="45">
        <v>59.2</v>
      </c>
      <c r="AC58" s="45">
        <v>59.2</v>
      </c>
      <c r="AD58" s="65">
        <v>59.2</v>
      </c>
      <c r="AE58" s="65">
        <v>59.2</v>
      </c>
      <c r="AF58" s="65">
        <v>59.2</v>
      </c>
      <c r="AG58" s="55">
        <v>60</v>
      </c>
      <c r="AH58" s="47">
        <f t="shared" si="3"/>
        <v>60</v>
      </c>
      <c r="AI58" s="48">
        <f t="shared" si="2"/>
        <v>55.4</v>
      </c>
      <c r="AK58" s="50"/>
    </row>
    <row r="59" spans="1:41" x14ac:dyDescent="0.25">
      <c r="A59" s="54" t="s">
        <v>67</v>
      </c>
      <c r="B59" s="65">
        <v>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10</v>
      </c>
      <c r="I59" s="65">
        <v>23</v>
      </c>
      <c r="J59" s="65">
        <v>29</v>
      </c>
      <c r="K59" s="65">
        <v>29</v>
      </c>
      <c r="L59" s="65">
        <v>29</v>
      </c>
      <c r="M59" s="65">
        <v>29</v>
      </c>
      <c r="N59" s="65">
        <v>29</v>
      </c>
      <c r="O59" s="65">
        <v>14</v>
      </c>
      <c r="P59" s="65">
        <v>10</v>
      </c>
      <c r="Q59" s="65">
        <v>10</v>
      </c>
      <c r="R59" s="65">
        <v>0</v>
      </c>
      <c r="S59" s="65">
        <v>0</v>
      </c>
      <c r="T59" s="65">
        <v>0</v>
      </c>
      <c r="U59" s="65">
        <v>15</v>
      </c>
      <c r="V59" s="65">
        <v>15</v>
      </c>
      <c r="W59" s="65">
        <v>15</v>
      </c>
      <c r="X59" s="65">
        <v>30</v>
      </c>
      <c r="Y59" s="65">
        <v>30</v>
      </c>
      <c r="Z59" s="65">
        <v>30</v>
      </c>
      <c r="AA59" s="65">
        <v>30</v>
      </c>
      <c r="AB59" s="45">
        <v>14</v>
      </c>
      <c r="AC59" s="45">
        <v>10</v>
      </c>
      <c r="AD59" s="65">
        <v>10</v>
      </c>
      <c r="AE59" s="65">
        <v>10</v>
      </c>
      <c r="AF59" s="65">
        <v>10</v>
      </c>
      <c r="AG59" s="55">
        <v>30</v>
      </c>
      <c r="AH59" s="47">
        <f t="shared" si="3"/>
        <v>30</v>
      </c>
      <c r="AI59" s="48">
        <f t="shared" si="2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0.3</v>
      </c>
      <c r="M60" s="65">
        <v>1.2</v>
      </c>
      <c r="N60" s="65">
        <v>2</v>
      </c>
      <c r="O60" s="65">
        <v>4.3</v>
      </c>
      <c r="P60" s="65">
        <v>9.1</v>
      </c>
      <c r="Q60" s="65">
        <v>17.100000000000001</v>
      </c>
      <c r="R60" s="65">
        <v>15</v>
      </c>
      <c r="S60" s="65">
        <v>11.3</v>
      </c>
      <c r="T60" s="65">
        <v>5.8</v>
      </c>
      <c r="U60" s="65">
        <v>2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5">
        <v>25</v>
      </c>
      <c r="AH60" s="47">
        <f t="shared" si="3"/>
        <v>17.100000000000001</v>
      </c>
      <c r="AI60" s="48">
        <f t="shared" si="2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3"/>
        <v>16</v>
      </c>
      <c r="AI61" s="48">
        <f t="shared" si="2"/>
        <v>16</v>
      </c>
      <c r="AK61" s="50"/>
    </row>
    <row r="62" spans="1:41" x14ac:dyDescent="0.25">
      <c r="A62" s="54" t="s">
        <v>70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5">
        <v>15</v>
      </c>
      <c r="AH62" s="47">
        <f t="shared" si="3"/>
        <v>0</v>
      </c>
      <c r="AI62" s="48">
        <f t="shared" si="2"/>
        <v>0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12.9</v>
      </c>
      <c r="C63" s="65">
        <v>12.9</v>
      </c>
      <c r="D63" s="65">
        <v>12.9</v>
      </c>
      <c r="E63" s="65">
        <v>12.9</v>
      </c>
      <c r="F63" s="65">
        <v>12.9</v>
      </c>
      <c r="G63" s="65">
        <v>12.9</v>
      </c>
      <c r="H63" s="65">
        <v>12.9</v>
      </c>
      <c r="I63" s="65">
        <v>12.9</v>
      </c>
      <c r="J63" s="65">
        <v>12.9</v>
      </c>
      <c r="K63" s="65">
        <v>12.9</v>
      </c>
      <c r="L63" s="65">
        <v>12.9</v>
      </c>
      <c r="M63" s="65">
        <v>12.9</v>
      </c>
      <c r="N63" s="65">
        <v>12.9</v>
      </c>
      <c r="O63" s="65">
        <v>12.9</v>
      </c>
      <c r="P63" s="65">
        <v>12.9</v>
      </c>
      <c r="Q63" s="65">
        <v>12.9</v>
      </c>
      <c r="R63" s="65">
        <v>12.7</v>
      </c>
      <c r="S63" s="65">
        <v>12.7</v>
      </c>
      <c r="T63" s="65">
        <v>12.7</v>
      </c>
      <c r="U63" s="65">
        <v>12.7</v>
      </c>
      <c r="V63" s="65">
        <v>12.7</v>
      </c>
      <c r="W63" s="65">
        <v>12.7</v>
      </c>
      <c r="X63" s="65">
        <v>12.7</v>
      </c>
      <c r="Y63" s="65">
        <v>12.7</v>
      </c>
      <c r="Z63" s="65">
        <v>12.7</v>
      </c>
      <c r="AA63" s="65">
        <v>12.7</v>
      </c>
      <c r="AB63" s="65">
        <v>12.7</v>
      </c>
      <c r="AC63" s="65">
        <v>12.7</v>
      </c>
      <c r="AD63" s="65">
        <v>12.7</v>
      </c>
      <c r="AE63" s="65">
        <v>13.3</v>
      </c>
      <c r="AF63" s="65">
        <v>13.1</v>
      </c>
      <c r="AG63" s="55">
        <v>14.1</v>
      </c>
      <c r="AH63" s="47">
        <f t="shared" si="3"/>
        <v>13.3</v>
      </c>
      <c r="AI63" s="48">
        <f t="shared" si="2"/>
        <v>12.7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5.7</v>
      </c>
      <c r="C64" s="65">
        <v>5.7</v>
      </c>
      <c r="D64" s="65">
        <v>5.7</v>
      </c>
      <c r="E64" s="65">
        <v>5.7</v>
      </c>
      <c r="F64" s="65">
        <v>5.7</v>
      </c>
      <c r="G64" s="65">
        <v>5.7</v>
      </c>
      <c r="H64" s="65">
        <v>5.7</v>
      </c>
      <c r="I64" s="65">
        <v>5.7</v>
      </c>
      <c r="J64" s="65">
        <v>5.7</v>
      </c>
      <c r="K64" s="65">
        <v>5.7</v>
      </c>
      <c r="L64" s="65">
        <v>5.7</v>
      </c>
      <c r="M64" s="65">
        <v>5.7</v>
      </c>
      <c r="N64" s="65">
        <v>5.7</v>
      </c>
      <c r="O64" s="65">
        <v>5.7</v>
      </c>
      <c r="P64" s="65">
        <v>5.7</v>
      </c>
      <c r="Q64" s="65">
        <v>5.7</v>
      </c>
      <c r="R64" s="65">
        <v>5.7</v>
      </c>
      <c r="S64" s="65">
        <v>5.7</v>
      </c>
      <c r="T64" s="65">
        <v>6.8</v>
      </c>
      <c r="U64" s="65">
        <v>6.8</v>
      </c>
      <c r="V64" s="65">
        <v>6.8</v>
      </c>
      <c r="W64" s="65">
        <v>6.8</v>
      </c>
      <c r="X64" s="65">
        <v>6.8</v>
      </c>
      <c r="Y64" s="65">
        <v>6.8</v>
      </c>
      <c r="Z64" s="65">
        <v>6.8</v>
      </c>
      <c r="AA64" s="65">
        <v>6.8</v>
      </c>
      <c r="AB64" s="65">
        <v>6.8</v>
      </c>
      <c r="AC64" s="65">
        <v>6.8</v>
      </c>
      <c r="AD64" s="65">
        <v>6.8</v>
      </c>
      <c r="AE64" s="65">
        <v>6.6</v>
      </c>
      <c r="AF64" s="65">
        <v>6.2</v>
      </c>
      <c r="AG64" s="55">
        <v>14</v>
      </c>
      <c r="AH64" s="47">
        <f t="shared" si="3"/>
        <v>6.8</v>
      </c>
      <c r="AI64" s="48">
        <f t="shared" si="2"/>
        <v>5.7</v>
      </c>
      <c r="AK64" s="50"/>
    </row>
    <row r="65" spans="1:40" x14ac:dyDescent="0.25">
      <c r="A65" s="54" t="s">
        <v>73</v>
      </c>
      <c r="B65" s="65">
        <v>6.5</v>
      </c>
      <c r="C65" s="65">
        <v>6.5</v>
      </c>
      <c r="D65" s="65">
        <v>6.5</v>
      </c>
      <c r="E65" s="65">
        <v>6.5</v>
      </c>
      <c r="F65" s="65">
        <v>6.5</v>
      </c>
      <c r="G65" s="65">
        <v>6.5</v>
      </c>
      <c r="H65" s="65">
        <v>6.5</v>
      </c>
      <c r="I65" s="65">
        <v>6.5</v>
      </c>
      <c r="J65" s="65">
        <v>6.5</v>
      </c>
      <c r="K65" s="65">
        <v>6.5</v>
      </c>
      <c r="L65" s="65">
        <v>6.5</v>
      </c>
      <c r="M65" s="65">
        <v>6.5</v>
      </c>
      <c r="N65" s="65">
        <v>6.5</v>
      </c>
      <c r="O65" s="65">
        <v>6.5</v>
      </c>
      <c r="P65" s="65">
        <v>6.5</v>
      </c>
      <c r="Q65" s="65">
        <v>6.5</v>
      </c>
      <c r="R65" s="65">
        <v>6.5</v>
      </c>
      <c r="S65" s="65">
        <v>6.5</v>
      </c>
      <c r="T65" s="65">
        <v>6.5</v>
      </c>
      <c r="U65" s="65">
        <v>6.5</v>
      </c>
      <c r="V65" s="65">
        <v>6.5</v>
      </c>
      <c r="W65" s="65">
        <v>6.5</v>
      </c>
      <c r="X65" s="65">
        <v>6.5</v>
      </c>
      <c r="Y65" s="65">
        <v>6.5</v>
      </c>
      <c r="Z65" s="65">
        <v>6.5</v>
      </c>
      <c r="AA65" s="65">
        <v>6.5</v>
      </c>
      <c r="AB65" s="65">
        <v>6.5</v>
      </c>
      <c r="AC65" s="65">
        <v>6.5</v>
      </c>
      <c r="AD65" s="65">
        <v>6.5</v>
      </c>
      <c r="AE65" s="65">
        <v>6.5</v>
      </c>
      <c r="AF65" s="65">
        <v>6.5</v>
      </c>
      <c r="AG65" s="55">
        <v>10.050000000000001</v>
      </c>
      <c r="AH65" s="47">
        <f t="shared" si="3"/>
        <v>6.5</v>
      </c>
      <c r="AI65" s="48">
        <f t="shared" si="2"/>
        <v>6.5</v>
      </c>
      <c r="AK65" s="50"/>
    </row>
    <row r="66" spans="1:40" x14ac:dyDescent="0.25">
      <c r="A66" s="54" t="s">
        <v>74</v>
      </c>
      <c r="B66" s="65">
        <v>3.52</v>
      </c>
      <c r="C66" s="65">
        <v>3.52</v>
      </c>
      <c r="D66" s="65">
        <v>3.52</v>
      </c>
      <c r="E66" s="65">
        <v>3.52</v>
      </c>
      <c r="F66" s="65">
        <v>3.52</v>
      </c>
      <c r="G66" s="65">
        <v>3.52</v>
      </c>
      <c r="H66" s="65">
        <v>3.52</v>
      </c>
      <c r="I66" s="65">
        <v>3.52</v>
      </c>
      <c r="J66" s="65">
        <v>3.52</v>
      </c>
      <c r="K66" s="65">
        <v>3.52</v>
      </c>
      <c r="L66" s="65">
        <v>3.52</v>
      </c>
      <c r="M66" s="65">
        <v>3.52</v>
      </c>
      <c r="N66" s="65">
        <v>3.52</v>
      </c>
      <c r="O66" s="65">
        <v>3.52</v>
      </c>
      <c r="P66" s="65">
        <v>3.52</v>
      </c>
      <c r="Q66" s="65">
        <v>3.52</v>
      </c>
      <c r="R66" s="65">
        <v>3.52</v>
      </c>
      <c r="S66" s="65">
        <v>3.52</v>
      </c>
      <c r="T66" s="65">
        <v>3.52</v>
      </c>
      <c r="U66" s="65">
        <v>3.52</v>
      </c>
      <c r="V66" s="65">
        <v>3.52</v>
      </c>
      <c r="W66" s="65">
        <v>3.52</v>
      </c>
      <c r="X66" s="65">
        <v>3.52</v>
      </c>
      <c r="Y66" s="65">
        <v>3.52</v>
      </c>
      <c r="Z66" s="65">
        <v>3.52</v>
      </c>
      <c r="AA66" s="65">
        <v>3.52</v>
      </c>
      <c r="AB66" s="65">
        <v>3.52</v>
      </c>
      <c r="AC66" s="65">
        <v>3.52</v>
      </c>
      <c r="AD66" s="65">
        <v>3.52</v>
      </c>
      <c r="AE66" s="65">
        <v>3.52</v>
      </c>
      <c r="AF66" s="65">
        <v>3.52</v>
      </c>
      <c r="AG66" s="55">
        <v>6.2</v>
      </c>
      <c r="AH66" s="47">
        <f t="shared" si="3"/>
        <v>3.52</v>
      </c>
      <c r="AI66" s="48">
        <f t="shared" si="2"/>
        <v>3.52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3"/>
        <v>3.54</v>
      </c>
      <c r="AI67" s="48">
        <f t="shared" si="2"/>
        <v>3.54</v>
      </c>
      <c r="AK67" s="50"/>
    </row>
    <row r="68" spans="1:40" ht="15.75" thickBot="1" x14ac:dyDescent="0.3">
      <c r="A68" s="74" t="s">
        <v>76</v>
      </c>
      <c r="B68" s="60">
        <f t="shared" ref="B68:C68" si="22">SUM(B55:B67)</f>
        <v>206.16</v>
      </c>
      <c r="C68" s="60">
        <f t="shared" si="22"/>
        <v>165.56</v>
      </c>
      <c r="D68" s="60">
        <f t="shared" ref="D68:E68" si="23">SUM(D55:D67)</f>
        <v>193.56</v>
      </c>
      <c r="E68" s="60">
        <f t="shared" si="23"/>
        <v>193.56</v>
      </c>
      <c r="F68" s="60">
        <f t="shared" ref="F68:G68" si="24">SUM(F55:F67)</f>
        <v>189.26</v>
      </c>
      <c r="G68" s="60">
        <f t="shared" si="24"/>
        <v>229.16</v>
      </c>
      <c r="H68" s="60">
        <f t="shared" ref="H68:I68" si="25">SUM(H55:H67)</f>
        <v>286.35999999999996</v>
      </c>
      <c r="I68" s="60">
        <f t="shared" si="25"/>
        <v>359.05999999999995</v>
      </c>
      <c r="J68" s="60">
        <f t="shared" ref="J68:K68" si="26">SUM(J55:J67)</f>
        <v>418.65999999999997</v>
      </c>
      <c r="K68" s="60">
        <f t="shared" si="26"/>
        <v>418.65999999999997</v>
      </c>
      <c r="L68" s="60">
        <f t="shared" ref="L68" si="27">SUM(L55:L67)</f>
        <v>275.86</v>
      </c>
      <c r="M68" s="60">
        <f t="shared" ref="M68:AG68" si="28">SUM(M55:M67)</f>
        <v>416.15999999999997</v>
      </c>
      <c r="N68" s="60">
        <f t="shared" si="28"/>
        <v>416.96</v>
      </c>
      <c r="O68" s="60">
        <f t="shared" si="28"/>
        <v>404.26</v>
      </c>
      <c r="P68" s="60">
        <f t="shared" si="28"/>
        <v>364.36</v>
      </c>
      <c r="Q68" s="60">
        <f t="shared" si="28"/>
        <v>363.65999999999997</v>
      </c>
      <c r="R68" s="60">
        <f t="shared" si="28"/>
        <v>306.56</v>
      </c>
      <c r="S68" s="60">
        <f t="shared" si="28"/>
        <v>254.56</v>
      </c>
      <c r="T68" s="60">
        <f t="shared" si="28"/>
        <v>272.56</v>
      </c>
      <c r="U68" s="60">
        <f t="shared" si="28"/>
        <v>329.86</v>
      </c>
      <c r="V68" s="60">
        <f t="shared" si="28"/>
        <v>340.46</v>
      </c>
      <c r="W68" s="60">
        <f t="shared" si="28"/>
        <v>400.46</v>
      </c>
      <c r="X68" s="60">
        <f t="shared" si="28"/>
        <v>415.46</v>
      </c>
      <c r="Y68" s="60">
        <f t="shared" ref="Y68:Z68" si="29">SUM(Y55:Y67)</f>
        <v>385.46</v>
      </c>
      <c r="Z68" s="60">
        <f t="shared" si="29"/>
        <v>385.46</v>
      </c>
      <c r="AA68" s="60">
        <f t="shared" si="28"/>
        <v>385.46</v>
      </c>
      <c r="AB68" s="60">
        <f t="shared" si="28"/>
        <v>353.96000000000004</v>
      </c>
      <c r="AC68" s="60">
        <f t="shared" si="28"/>
        <v>300.95999999999998</v>
      </c>
      <c r="AD68" s="60">
        <f t="shared" si="28"/>
        <v>258.06</v>
      </c>
      <c r="AE68" s="60">
        <f t="shared" ref="AE68:AF68" si="30">SUM(AE55:AE67)</f>
        <v>181.06000000000003</v>
      </c>
      <c r="AF68" s="60">
        <f t="shared" si="30"/>
        <v>150.06</v>
      </c>
      <c r="AG68" s="61">
        <f t="shared" si="28"/>
        <v>489.91</v>
      </c>
      <c r="AH68" s="47">
        <f t="shared" si="3"/>
        <v>418.65999999999997</v>
      </c>
      <c r="AI68" s="48">
        <f t="shared" si="2"/>
        <v>150.06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29.3</v>
      </c>
      <c r="K69" s="45">
        <v>40.299999999999997</v>
      </c>
      <c r="L69" s="45">
        <v>60</v>
      </c>
      <c r="M69" s="45">
        <v>19.2</v>
      </c>
      <c r="N69" s="45">
        <v>20.3</v>
      </c>
      <c r="O69" s="45">
        <v>17.5</v>
      </c>
      <c r="P69" s="45">
        <v>14</v>
      </c>
      <c r="Q69" s="45">
        <v>0</v>
      </c>
      <c r="R69" s="45">
        <v>0</v>
      </c>
      <c r="S69" s="45"/>
      <c r="T69" s="45"/>
      <c r="U69" s="45"/>
      <c r="V69" s="45"/>
      <c r="W69" s="45"/>
      <c r="X69" s="45">
        <v>59.8</v>
      </c>
      <c r="Y69" s="45">
        <v>59.8</v>
      </c>
      <c r="Z69" s="45">
        <v>59.8</v>
      </c>
      <c r="AA69" s="45">
        <v>59.8</v>
      </c>
      <c r="AB69" s="45">
        <v>59.8</v>
      </c>
      <c r="AC69" s="45">
        <v>59.4</v>
      </c>
      <c r="AD69" s="45">
        <v>45</v>
      </c>
      <c r="AE69" s="45">
        <v>0</v>
      </c>
      <c r="AF69" s="45">
        <v>0</v>
      </c>
      <c r="AG69" s="52">
        <v>60</v>
      </c>
      <c r="AH69" s="47">
        <f t="shared" si="3"/>
        <v>60</v>
      </c>
      <c r="AI69" s="48">
        <f t="shared" si="2"/>
        <v>0</v>
      </c>
      <c r="AK69" s="50"/>
    </row>
    <row r="70" spans="1:40" x14ac:dyDescent="0.25">
      <c r="A70" s="54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5.3</v>
      </c>
      <c r="K70" s="45">
        <v>5.3</v>
      </c>
      <c r="L70" s="45">
        <v>26</v>
      </c>
      <c r="M70" s="65">
        <v>15.4</v>
      </c>
      <c r="N70" s="65">
        <v>9.3000000000000007</v>
      </c>
      <c r="O70" s="65">
        <v>10.9</v>
      </c>
      <c r="P70" s="65">
        <v>4.2</v>
      </c>
      <c r="Q70" s="65">
        <v>0</v>
      </c>
      <c r="R70" s="65">
        <v>0</v>
      </c>
      <c r="S70" s="65"/>
      <c r="T70" s="65"/>
      <c r="U70" s="65"/>
      <c r="V70" s="65"/>
      <c r="W70" s="65"/>
      <c r="X70" s="65">
        <v>27.3</v>
      </c>
      <c r="Y70" s="65">
        <v>27.3</v>
      </c>
      <c r="Z70" s="65">
        <v>27.3</v>
      </c>
      <c r="AA70" s="65">
        <v>27.3</v>
      </c>
      <c r="AB70" s="65">
        <v>28.5</v>
      </c>
      <c r="AC70" s="65">
        <v>27.3</v>
      </c>
      <c r="AD70" s="65">
        <v>19.2</v>
      </c>
      <c r="AE70" s="65">
        <v>0</v>
      </c>
      <c r="AF70" s="65">
        <v>0</v>
      </c>
      <c r="AG70" s="55">
        <v>32</v>
      </c>
      <c r="AH70" s="47">
        <f t="shared" si="3"/>
        <v>28.5</v>
      </c>
      <c r="AI70" s="48">
        <f t="shared" si="2"/>
        <v>0</v>
      </c>
      <c r="AK70" s="50"/>
    </row>
    <row r="71" spans="1:40" ht="15.75" thickBot="1" x14ac:dyDescent="0.3">
      <c r="A71" s="71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1.9</v>
      </c>
      <c r="K71" s="45">
        <v>1.9</v>
      </c>
      <c r="L71" s="45">
        <v>9.5</v>
      </c>
      <c r="M71" s="67">
        <v>5.6</v>
      </c>
      <c r="N71" s="67">
        <v>3.4</v>
      </c>
      <c r="O71" s="67">
        <v>4</v>
      </c>
      <c r="P71" s="67">
        <v>2</v>
      </c>
      <c r="Q71" s="67">
        <v>0</v>
      </c>
      <c r="R71" s="67">
        <v>0</v>
      </c>
      <c r="S71" s="67"/>
      <c r="T71" s="67"/>
      <c r="U71" s="67"/>
      <c r="V71" s="67"/>
      <c r="W71" s="67"/>
      <c r="X71" s="67">
        <v>10</v>
      </c>
      <c r="Y71" s="67">
        <v>10</v>
      </c>
      <c r="Z71" s="67">
        <v>10</v>
      </c>
      <c r="AA71" s="67">
        <v>10</v>
      </c>
      <c r="AB71" s="67">
        <v>10.4</v>
      </c>
      <c r="AC71" s="67">
        <v>10</v>
      </c>
      <c r="AD71" s="67">
        <v>7</v>
      </c>
      <c r="AE71" s="67">
        <v>0</v>
      </c>
      <c r="AF71" s="67">
        <v>0</v>
      </c>
      <c r="AG71" s="68">
        <v>14</v>
      </c>
      <c r="AH71" s="47">
        <f t="shared" si="3"/>
        <v>10.4</v>
      </c>
      <c r="AI71" s="48">
        <f t="shared" si="2"/>
        <v>0</v>
      </c>
      <c r="AK71" s="50"/>
    </row>
    <row r="72" spans="1:40" ht="15.75" thickBot="1" x14ac:dyDescent="0.3">
      <c r="A72" s="74" t="s">
        <v>80</v>
      </c>
      <c r="B72" s="60">
        <f t="shared" ref="B72:C72" si="31">B69+B70+B71</f>
        <v>0</v>
      </c>
      <c r="C72" s="60">
        <f t="shared" si="31"/>
        <v>0</v>
      </c>
      <c r="D72" s="60">
        <f t="shared" ref="D72:E72" si="32">D69+D70+D71</f>
        <v>0</v>
      </c>
      <c r="E72" s="60">
        <f t="shared" si="32"/>
        <v>0</v>
      </c>
      <c r="F72" s="60">
        <f t="shared" ref="F72:G72" si="33">F69+F70+F71</f>
        <v>0</v>
      </c>
      <c r="G72" s="60">
        <f t="shared" si="33"/>
        <v>0</v>
      </c>
      <c r="H72" s="60">
        <f t="shared" ref="H72:I72" si="34">H69+H70+H71</f>
        <v>0</v>
      </c>
      <c r="I72" s="60">
        <f t="shared" si="34"/>
        <v>0</v>
      </c>
      <c r="J72" s="60">
        <f t="shared" ref="J72:K72" si="35">J69+J70+J71</f>
        <v>36.5</v>
      </c>
      <c r="K72" s="60">
        <f t="shared" si="35"/>
        <v>47.499999999999993</v>
      </c>
      <c r="L72" s="60">
        <f t="shared" ref="L72" si="36">L69+L70+L71</f>
        <v>95.5</v>
      </c>
      <c r="M72" s="60">
        <f t="shared" ref="M72:AD72" si="37">M69+M70+M71</f>
        <v>40.200000000000003</v>
      </c>
      <c r="N72" s="60">
        <f t="shared" si="37"/>
        <v>33</v>
      </c>
      <c r="O72" s="60">
        <f t="shared" si="37"/>
        <v>32.4</v>
      </c>
      <c r="P72" s="60">
        <f t="shared" si="37"/>
        <v>20.2</v>
      </c>
      <c r="Q72" s="60">
        <f t="shared" si="37"/>
        <v>0</v>
      </c>
      <c r="R72" s="60">
        <f t="shared" si="37"/>
        <v>0</v>
      </c>
      <c r="S72" s="60">
        <f t="shared" si="37"/>
        <v>0</v>
      </c>
      <c r="T72" s="60">
        <f t="shared" si="37"/>
        <v>0</v>
      </c>
      <c r="U72" s="60">
        <f t="shared" si="37"/>
        <v>0</v>
      </c>
      <c r="V72" s="60">
        <f t="shared" si="37"/>
        <v>0</v>
      </c>
      <c r="W72" s="60">
        <f t="shared" si="37"/>
        <v>0</v>
      </c>
      <c r="X72" s="60">
        <f t="shared" si="37"/>
        <v>97.1</v>
      </c>
      <c r="Y72" s="60">
        <f t="shared" ref="Y72:Z72" si="38">Y69+Y70+Y71</f>
        <v>97.1</v>
      </c>
      <c r="Z72" s="60">
        <f t="shared" si="38"/>
        <v>97.1</v>
      </c>
      <c r="AA72" s="60">
        <f t="shared" si="37"/>
        <v>97.1</v>
      </c>
      <c r="AB72" s="60">
        <f t="shared" si="37"/>
        <v>98.7</v>
      </c>
      <c r="AC72" s="60">
        <f t="shared" si="37"/>
        <v>96.7</v>
      </c>
      <c r="AD72" s="60">
        <f t="shared" si="37"/>
        <v>71.2</v>
      </c>
      <c r="AE72" s="60">
        <f t="shared" ref="AE72:AF72" si="39">AE69+AE70+AE71</f>
        <v>0</v>
      </c>
      <c r="AF72" s="60">
        <f t="shared" si="39"/>
        <v>0</v>
      </c>
      <c r="AG72" s="61">
        <f>SUM(AG69:AG71)</f>
        <v>106</v>
      </c>
      <c r="AH72" s="47">
        <f t="shared" si="3"/>
        <v>98.7</v>
      </c>
      <c r="AI72" s="48">
        <f t="shared" si="2"/>
        <v>0</v>
      </c>
      <c r="AK72" s="50"/>
    </row>
    <row r="73" spans="1:40" x14ac:dyDescent="0.25">
      <c r="A73" s="44" t="s">
        <v>81</v>
      </c>
      <c r="B73" s="45">
        <v>0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>
        <v>0</v>
      </c>
      <c r="AF73" s="45">
        <v>0</v>
      </c>
      <c r="AG73" s="52"/>
      <c r="AH73" s="47">
        <f t="shared" si="3"/>
        <v>0</v>
      </c>
      <c r="AI73" s="48">
        <f t="shared" si="2"/>
        <v>0</v>
      </c>
      <c r="AK73" s="50"/>
    </row>
    <row r="74" spans="1:40" x14ac:dyDescent="0.25">
      <c r="A74" s="54" t="s">
        <v>82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>
        <v>0</v>
      </c>
      <c r="R74" s="65">
        <v>0</v>
      </c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/>
      <c r="AH74" s="47">
        <f t="shared" si="3"/>
        <v>0</v>
      </c>
      <c r="AI74" s="48">
        <f t="shared" si="2"/>
        <v>0</v>
      </c>
      <c r="AK74" s="50"/>
    </row>
    <row r="75" spans="1:40" x14ac:dyDescent="0.25">
      <c r="A75" s="54" t="s">
        <v>83</v>
      </c>
      <c r="B75" s="65">
        <v>165</v>
      </c>
      <c r="C75" s="65">
        <v>215</v>
      </c>
      <c r="D75" s="65">
        <v>180</v>
      </c>
      <c r="E75" s="65">
        <v>184.9</v>
      </c>
      <c r="F75" s="65">
        <v>208.9</v>
      </c>
      <c r="G75" s="65">
        <v>214.5</v>
      </c>
      <c r="H75" s="65">
        <v>214.5</v>
      </c>
      <c r="I75" s="65">
        <v>252.8</v>
      </c>
      <c r="J75" s="65">
        <v>196.5</v>
      </c>
      <c r="K75" s="65">
        <v>190.2</v>
      </c>
      <c r="L75" s="65">
        <v>128.9</v>
      </c>
      <c r="M75" s="65">
        <v>17.399999999999999</v>
      </c>
      <c r="N75" s="65">
        <v>47.1</v>
      </c>
      <c r="O75" s="65">
        <v>269</v>
      </c>
      <c r="P75" s="65">
        <v>278</v>
      </c>
      <c r="Q75" s="65">
        <v>261.89999999999998</v>
      </c>
      <c r="R75" s="65">
        <v>257.89999999999998</v>
      </c>
      <c r="S75" s="65">
        <v>282</v>
      </c>
      <c r="T75" s="65">
        <v>320</v>
      </c>
      <c r="U75" s="65">
        <v>285.23</v>
      </c>
      <c r="V75" s="65">
        <v>169</v>
      </c>
      <c r="W75" s="65">
        <v>3.7</v>
      </c>
      <c r="X75" s="65">
        <v>-0.8</v>
      </c>
      <c r="Y75" s="65">
        <v>2</v>
      </c>
      <c r="Z75" s="65">
        <v>30</v>
      </c>
      <c r="AA75" s="65">
        <v>154</v>
      </c>
      <c r="AB75" s="65">
        <v>228.3</v>
      </c>
      <c r="AC75" s="65">
        <v>263.5</v>
      </c>
      <c r="AD75" s="65">
        <v>230.3</v>
      </c>
      <c r="AE75" s="65">
        <v>245</v>
      </c>
      <c r="AF75" s="65">
        <v>255</v>
      </c>
      <c r="AG75" s="75"/>
      <c r="AH75" s="47">
        <f t="shared" si="3"/>
        <v>320</v>
      </c>
      <c r="AI75" s="48">
        <f t="shared" si="2"/>
        <v>-0.8</v>
      </c>
      <c r="AK75" s="50"/>
    </row>
    <row r="76" spans="1:40" x14ac:dyDescent="0.25">
      <c r="A76" s="54" t="s">
        <v>84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76"/>
      <c r="N76" s="76"/>
      <c r="O76" s="76"/>
      <c r="P76" s="76"/>
      <c r="Q76" s="76">
        <v>0</v>
      </c>
      <c r="R76" s="76">
        <v>0</v>
      </c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65"/>
      <c r="AE76" s="65"/>
      <c r="AF76" s="65"/>
      <c r="AG76" s="75"/>
      <c r="AH76" s="47">
        <f t="shared" si="3"/>
        <v>0</v>
      </c>
      <c r="AI76" s="48">
        <f t="shared" si="2"/>
        <v>0</v>
      </c>
      <c r="AK76" s="50"/>
    </row>
    <row r="77" spans="1:40" x14ac:dyDescent="0.25">
      <c r="A77" s="54" t="s">
        <v>85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>
        <v>0</v>
      </c>
      <c r="R77" s="45">
        <v>0</v>
      </c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2" si="40">MAX(B77:AF77)</f>
        <v>0</v>
      </c>
      <c r="AI77" s="48">
        <f t="shared" ref="AI77:AI122" si="41">MIN(B77:AF77)</f>
        <v>0</v>
      </c>
      <c r="AK77" s="50"/>
    </row>
    <row r="78" spans="1:40" x14ac:dyDescent="0.25">
      <c r="A78" s="54" t="s">
        <v>86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77"/>
      <c r="N78" s="77"/>
      <c r="O78" s="77"/>
      <c r="P78" s="77"/>
      <c r="Q78" s="77">
        <v>0</v>
      </c>
      <c r="R78" s="77">
        <v>0</v>
      </c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40"/>
        <v>0</v>
      </c>
      <c r="AI78" s="48">
        <f t="shared" si="41"/>
        <v>0</v>
      </c>
      <c r="AK78" s="50"/>
    </row>
    <row r="79" spans="1:40" ht="15.75" thickBot="1" x14ac:dyDescent="0.3">
      <c r="A79" s="54" t="s">
        <v>87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77"/>
      <c r="N79" s="77"/>
      <c r="O79" s="77"/>
      <c r="P79" s="77"/>
      <c r="Q79" s="77">
        <v>0</v>
      </c>
      <c r="R79" s="77">
        <v>0</v>
      </c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40"/>
        <v>0</v>
      </c>
      <c r="AI79" s="48">
        <f t="shared" si="41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77"/>
      <c r="N80" s="77"/>
      <c r="O80" s="77"/>
      <c r="P80" s="77"/>
      <c r="Q80" s="77">
        <v>0</v>
      </c>
      <c r="R80" s="77"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40"/>
        <v>0</v>
      </c>
      <c r="AI80" s="48">
        <f t="shared" si="41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77"/>
      <c r="N81" s="77"/>
      <c r="O81" s="77"/>
      <c r="P81" s="77"/>
      <c r="Q81" s="77">
        <v>0</v>
      </c>
      <c r="R81" s="77">
        <v>0</v>
      </c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40"/>
        <v>0</v>
      </c>
      <c r="AI81" s="48">
        <f t="shared" si="41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77"/>
      <c r="N82" s="77"/>
      <c r="O82" s="77"/>
      <c r="P82" s="77"/>
      <c r="Q82" s="77">
        <v>0</v>
      </c>
      <c r="R82" s="77">
        <v>0</v>
      </c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40"/>
        <v>0</v>
      </c>
      <c r="AI82" s="48">
        <f t="shared" si="41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77"/>
      <c r="N83" s="77"/>
      <c r="O83" s="77"/>
      <c r="P83" s="77"/>
      <c r="Q83" s="77">
        <v>0</v>
      </c>
      <c r="R83" s="77">
        <v>0</v>
      </c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40"/>
        <v>0</v>
      </c>
      <c r="AI83" s="48">
        <f t="shared" si="41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C84" si="42">SUMIF(B73:B83,"&gt;0")</f>
        <v>165</v>
      </c>
      <c r="C84" s="60">
        <f t="shared" si="42"/>
        <v>215</v>
      </c>
      <c r="D84" s="60">
        <f t="shared" ref="D84:E84" si="43">SUMIF(D73:D83,"&gt;0")</f>
        <v>180</v>
      </c>
      <c r="E84" s="60">
        <f t="shared" si="43"/>
        <v>184.9</v>
      </c>
      <c r="F84" s="60">
        <f t="shared" ref="F84:G84" si="44">SUMIF(F73:F83,"&gt;0")</f>
        <v>208.9</v>
      </c>
      <c r="G84" s="60">
        <f t="shared" si="44"/>
        <v>214.5</v>
      </c>
      <c r="H84" s="60">
        <f t="shared" ref="H84:I84" si="45">SUMIF(H73:H83,"&gt;0")</f>
        <v>214.5</v>
      </c>
      <c r="I84" s="60">
        <f t="shared" si="45"/>
        <v>252.8</v>
      </c>
      <c r="J84" s="60">
        <f t="shared" ref="J84:K84" si="46">SUMIF(J73:J83,"&gt;0")</f>
        <v>196.5</v>
      </c>
      <c r="K84" s="60">
        <f t="shared" si="46"/>
        <v>190.2</v>
      </c>
      <c r="L84" s="60">
        <f t="shared" ref="L84" si="47">SUMIF(L73:L83,"&gt;0")</f>
        <v>128.9</v>
      </c>
      <c r="M84" s="60">
        <f t="shared" ref="M84:AD84" si="48">SUMIF(M73:M83,"&gt;0")</f>
        <v>17.399999999999999</v>
      </c>
      <c r="N84" s="60">
        <f t="shared" si="48"/>
        <v>47.1</v>
      </c>
      <c r="O84" s="60">
        <f t="shared" si="48"/>
        <v>269</v>
      </c>
      <c r="P84" s="60">
        <f t="shared" si="48"/>
        <v>278</v>
      </c>
      <c r="Q84" s="60">
        <f t="shared" si="48"/>
        <v>261.89999999999998</v>
      </c>
      <c r="R84" s="60">
        <f t="shared" si="48"/>
        <v>257.89999999999998</v>
      </c>
      <c r="S84" s="60">
        <f t="shared" si="48"/>
        <v>282</v>
      </c>
      <c r="T84" s="60">
        <f t="shared" si="48"/>
        <v>320</v>
      </c>
      <c r="U84" s="60">
        <f t="shared" si="48"/>
        <v>285.23</v>
      </c>
      <c r="V84" s="60">
        <f t="shared" si="48"/>
        <v>169</v>
      </c>
      <c r="W84" s="60">
        <f t="shared" si="48"/>
        <v>3.7</v>
      </c>
      <c r="X84" s="60">
        <f t="shared" si="48"/>
        <v>0</v>
      </c>
      <c r="Y84" s="60">
        <f t="shared" ref="Y84:Z84" si="49">SUMIF(Y73:Y83,"&gt;0")</f>
        <v>2</v>
      </c>
      <c r="Z84" s="60">
        <f t="shared" si="49"/>
        <v>30</v>
      </c>
      <c r="AA84" s="60">
        <f t="shared" si="48"/>
        <v>154</v>
      </c>
      <c r="AB84" s="60">
        <f t="shared" si="48"/>
        <v>228.3</v>
      </c>
      <c r="AC84" s="60">
        <f t="shared" si="48"/>
        <v>263.5</v>
      </c>
      <c r="AD84" s="60">
        <f t="shared" si="48"/>
        <v>230.3</v>
      </c>
      <c r="AE84" s="60">
        <f t="shared" ref="AE84:AF84" si="50">SUMIF(AE73:AE83,"&gt;0")</f>
        <v>245</v>
      </c>
      <c r="AF84" s="60">
        <f t="shared" si="50"/>
        <v>255</v>
      </c>
      <c r="AG84" s="88">
        <f>SUM(AG73:AG83)</f>
        <v>0</v>
      </c>
      <c r="AH84" s="47">
        <f t="shared" si="40"/>
        <v>320</v>
      </c>
      <c r="AI84" s="48">
        <f t="shared" si="41"/>
        <v>0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40"/>
        <v>0</v>
      </c>
      <c r="AI85" s="48">
        <f t="shared" si="41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40"/>
        <v>0</v>
      </c>
      <c r="AI86" s="48">
        <f t="shared" si="41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40"/>
        <v>0</v>
      </c>
      <c r="AI87" s="48">
        <f t="shared" si="41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>
        <v>0</v>
      </c>
      <c r="Z88" s="60">
        <v>0</v>
      </c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40"/>
        <v>0</v>
      </c>
      <c r="AI88" s="48">
        <f t="shared" si="41"/>
        <v>0</v>
      </c>
    </row>
    <row r="89" spans="1:40" ht="15.75" thickBot="1" x14ac:dyDescent="0.3">
      <c r="A89" s="74" t="s">
        <v>100</v>
      </c>
      <c r="B89" s="95">
        <f t="shared" ref="B89:C89" si="51">B50+B54+B72+B68+B84+B88</f>
        <v>1103.8600000000001</v>
      </c>
      <c r="C89" s="95">
        <f t="shared" si="51"/>
        <v>1113.26</v>
      </c>
      <c r="D89" s="95">
        <f t="shared" ref="D89:E89" si="52">D50+D54+D72+D68+D84+D88</f>
        <v>1106.8599999999999</v>
      </c>
      <c r="E89" s="95">
        <f t="shared" si="52"/>
        <v>1111.76</v>
      </c>
      <c r="F89" s="95">
        <f t="shared" ref="F89:G89" si="53">F50+F54+F72+F68+F84+F88</f>
        <v>1131.46</v>
      </c>
      <c r="G89" s="95">
        <f t="shared" si="53"/>
        <v>1187.96</v>
      </c>
      <c r="H89" s="95">
        <f t="shared" ref="H89:I89" si="54">H50+H54+H72+H68+H84+H88</f>
        <v>1304.1599999999999</v>
      </c>
      <c r="I89" s="95">
        <f t="shared" si="54"/>
        <v>1395.1599999999999</v>
      </c>
      <c r="J89" s="95">
        <f t="shared" ref="J89:K89" si="55">J50+J54+J72+J68+J84+J88</f>
        <v>1554.96</v>
      </c>
      <c r="K89" s="95">
        <f t="shared" si="55"/>
        <v>1559.66</v>
      </c>
      <c r="L89" s="95">
        <f t="shared" ref="L89" si="56">L50+L54+L72+L68+L84+L88</f>
        <v>1553.56</v>
      </c>
      <c r="M89" s="95">
        <f t="shared" ref="M89:AG89" si="57">M50+M54+M72+M68+M84+M88</f>
        <v>1612.46</v>
      </c>
      <c r="N89" s="95">
        <f t="shared" si="57"/>
        <v>1615.7599999999998</v>
      </c>
      <c r="O89" s="95">
        <f t="shared" si="57"/>
        <v>1585.06</v>
      </c>
      <c r="P89" s="95">
        <f t="shared" si="57"/>
        <v>1482.7600000000002</v>
      </c>
      <c r="Q89" s="95">
        <f t="shared" si="57"/>
        <v>1415.6599999999999</v>
      </c>
      <c r="R89" s="95">
        <f t="shared" si="57"/>
        <v>1344.6599999999999</v>
      </c>
      <c r="S89" s="95">
        <f t="shared" si="57"/>
        <v>1316.76</v>
      </c>
      <c r="T89" s="95">
        <f t="shared" si="57"/>
        <v>1352.76</v>
      </c>
      <c r="U89" s="95">
        <f t="shared" si="57"/>
        <v>1385.29</v>
      </c>
      <c r="V89" s="95">
        <f t="shared" si="57"/>
        <v>1419.66</v>
      </c>
      <c r="W89" s="95">
        <f t="shared" si="57"/>
        <v>1574.3600000000001</v>
      </c>
      <c r="X89" s="95">
        <f t="shared" si="57"/>
        <v>1698.76</v>
      </c>
      <c r="Y89" s="95">
        <f t="shared" ref="Y89:Z89" si="58">Y50+Y54+Y72+Y68+Y84+Y88</f>
        <v>1644.76</v>
      </c>
      <c r="Z89" s="95">
        <f t="shared" si="58"/>
        <v>1542.76</v>
      </c>
      <c r="AA89" s="95">
        <f t="shared" si="57"/>
        <v>1616.76</v>
      </c>
      <c r="AB89" s="95">
        <f t="shared" si="57"/>
        <v>1587.0600000000002</v>
      </c>
      <c r="AC89" s="95">
        <f t="shared" si="57"/>
        <v>1521.26</v>
      </c>
      <c r="AD89" s="95">
        <f t="shared" si="57"/>
        <v>1419.66</v>
      </c>
      <c r="AE89" s="95">
        <f t="shared" ref="AE89:AF89" si="59">AE50+AE54+AE72+AE68+AE84+AE88</f>
        <v>1272.3599999999999</v>
      </c>
      <c r="AF89" s="95">
        <f t="shared" si="59"/>
        <v>1160.5600000000002</v>
      </c>
      <c r="AG89" s="61">
        <f t="shared" si="57"/>
        <v>2111.5500000000002</v>
      </c>
      <c r="AH89" s="47">
        <f t="shared" si="40"/>
        <v>1698.76</v>
      </c>
      <c r="AI89" s="48">
        <f t="shared" si="41"/>
        <v>1103.8600000000001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>
        <v>40</v>
      </c>
      <c r="H90" s="97">
        <v>80</v>
      </c>
      <c r="I90" s="97">
        <v>80</v>
      </c>
      <c r="J90" s="97">
        <v>80</v>
      </c>
      <c r="K90" s="97">
        <v>80</v>
      </c>
      <c r="L90" s="97">
        <v>80</v>
      </c>
      <c r="M90" s="97">
        <v>40</v>
      </c>
      <c r="N90" s="97">
        <v>40</v>
      </c>
      <c r="O90" s="97"/>
      <c r="P90" s="97"/>
      <c r="Q90" s="97"/>
      <c r="R90" s="97"/>
      <c r="S90" s="97"/>
      <c r="T90" s="97"/>
      <c r="U90" s="97"/>
      <c r="V90" s="97"/>
      <c r="W90" s="97"/>
      <c r="X90" s="97">
        <v>100</v>
      </c>
      <c r="Y90" s="97">
        <v>101</v>
      </c>
      <c r="Z90" s="97">
        <v>50</v>
      </c>
      <c r="AA90" s="97"/>
      <c r="AB90" s="97"/>
      <c r="AC90" s="97"/>
      <c r="AD90" s="97"/>
      <c r="AE90" s="97"/>
      <c r="AF90" s="97"/>
      <c r="AG90" s="88"/>
      <c r="AH90" s="47">
        <f t="shared" si="40"/>
        <v>101</v>
      </c>
      <c r="AI90" s="48">
        <f t="shared" si="41"/>
        <v>40</v>
      </c>
    </row>
    <row r="91" spans="1:40" ht="15.75" thickBot="1" x14ac:dyDescent="0.3">
      <c r="A91" s="74" t="s">
        <v>102</v>
      </c>
      <c r="B91" s="95">
        <f t="shared" ref="B91:C91" si="60">B89+B90</f>
        <v>1103.8600000000001</v>
      </c>
      <c r="C91" s="95">
        <f t="shared" si="60"/>
        <v>1113.26</v>
      </c>
      <c r="D91" s="95">
        <f t="shared" ref="D91:E91" si="61">D89+D90</f>
        <v>1106.8599999999999</v>
      </c>
      <c r="E91" s="95">
        <f t="shared" si="61"/>
        <v>1111.76</v>
      </c>
      <c r="F91" s="95">
        <f t="shared" ref="F91:G91" si="62">F89+F90</f>
        <v>1131.46</v>
      </c>
      <c r="G91" s="95">
        <f t="shared" si="62"/>
        <v>1227.96</v>
      </c>
      <c r="H91" s="95">
        <f t="shared" ref="H91:I91" si="63">H89+H90</f>
        <v>1384.1599999999999</v>
      </c>
      <c r="I91" s="95">
        <f t="shared" si="63"/>
        <v>1475.1599999999999</v>
      </c>
      <c r="J91" s="95">
        <f t="shared" ref="J91:K91" si="64">J89+J90</f>
        <v>1634.96</v>
      </c>
      <c r="K91" s="95">
        <f t="shared" si="64"/>
        <v>1639.66</v>
      </c>
      <c r="L91" s="95">
        <f t="shared" ref="L91" si="65">L89+L90</f>
        <v>1633.56</v>
      </c>
      <c r="M91" s="95">
        <f t="shared" ref="M91:AD91" si="66">M89+M90</f>
        <v>1652.46</v>
      </c>
      <c r="N91" s="95">
        <f t="shared" si="66"/>
        <v>1655.7599999999998</v>
      </c>
      <c r="O91" s="95">
        <f t="shared" si="66"/>
        <v>1585.06</v>
      </c>
      <c r="P91" s="95">
        <f t="shared" si="66"/>
        <v>1482.7600000000002</v>
      </c>
      <c r="Q91" s="95">
        <f t="shared" si="66"/>
        <v>1415.6599999999999</v>
      </c>
      <c r="R91" s="95">
        <f t="shared" si="66"/>
        <v>1344.6599999999999</v>
      </c>
      <c r="S91" s="95">
        <f t="shared" si="66"/>
        <v>1316.76</v>
      </c>
      <c r="T91" s="95">
        <f t="shared" si="66"/>
        <v>1352.76</v>
      </c>
      <c r="U91" s="95">
        <f t="shared" si="66"/>
        <v>1385.29</v>
      </c>
      <c r="V91" s="95">
        <f t="shared" si="66"/>
        <v>1419.66</v>
      </c>
      <c r="W91" s="95">
        <f t="shared" si="66"/>
        <v>1574.3600000000001</v>
      </c>
      <c r="X91" s="95">
        <f t="shared" si="66"/>
        <v>1798.76</v>
      </c>
      <c r="Y91" s="95">
        <f t="shared" ref="Y91:Z91" si="67">Y89+Y90</f>
        <v>1745.76</v>
      </c>
      <c r="Z91" s="95">
        <f t="shared" si="67"/>
        <v>1592.76</v>
      </c>
      <c r="AA91" s="95">
        <f t="shared" si="66"/>
        <v>1616.76</v>
      </c>
      <c r="AB91" s="95">
        <f t="shared" si="66"/>
        <v>1587.0600000000002</v>
      </c>
      <c r="AC91" s="95">
        <f t="shared" si="66"/>
        <v>1521.26</v>
      </c>
      <c r="AD91" s="95">
        <f t="shared" si="66"/>
        <v>1419.66</v>
      </c>
      <c r="AE91" s="95">
        <f t="shared" ref="AE91:AF91" si="68">AE89+AE90</f>
        <v>1272.3599999999999</v>
      </c>
      <c r="AF91" s="95">
        <f t="shared" si="68"/>
        <v>1160.5600000000002</v>
      </c>
      <c r="AG91" s="88">
        <f>AG88+AG84+AG72+AG68+AG50+AG90</f>
        <v>1573.45</v>
      </c>
      <c r="AH91" s="47">
        <f t="shared" si="40"/>
        <v>1798.76</v>
      </c>
      <c r="AI91" s="48">
        <f t="shared" si="41"/>
        <v>1103.8600000000001</v>
      </c>
    </row>
    <row r="92" spans="1:40" ht="15.75" thickBot="1" x14ac:dyDescent="0.3">
      <c r="A92" s="74" t="s">
        <v>103</v>
      </c>
      <c r="B92" s="95">
        <f t="shared" ref="B92:C92" si="69">B91-(-B99)</f>
        <v>1103.8600000000001</v>
      </c>
      <c r="C92" s="95">
        <f t="shared" si="69"/>
        <v>1113.26</v>
      </c>
      <c r="D92" s="95">
        <f t="shared" ref="D92:E92" si="70">D91-(-D99)</f>
        <v>1106.8599999999999</v>
      </c>
      <c r="E92" s="95">
        <f t="shared" si="70"/>
        <v>1111.76</v>
      </c>
      <c r="F92" s="95">
        <f t="shared" ref="F92:G92" si="71">F91-(-F99)</f>
        <v>1131.46</v>
      </c>
      <c r="G92" s="95">
        <f t="shared" si="71"/>
        <v>1227.96</v>
      </c>
      <c r="H92" s="95">
        <f t="shared" ref="H92:I92" si="72">H91-(-H99)</f>
        <v>1384.1599999999999</v>
      </c>
      <c r="I92" s="95">
        <f t="shared" si="72"/>
        <v>1475.1599999999999</v>
      </c>
      <c r="J92" s="95">
        <f t="shared" ref="J92:K92" si="73">J91-(-J99)</f>
        <v>1634.96</v>
      </c>
      <c r="K92" s="95">
        <f t="shared" si="73"/>
        <v>1639.66</v>
      </c>
      <c r="L92" s="95">
        <f t="shared" ref="L92" si="74">L91-(-L99)</f>
        <v>1633.56</v>
      </c>
      <c r="M92" s="95">
        <f t="shared" ref="M92:AD92" si="75">M91-(-M99)</f>
        <v>1652.46</v>
      </c>
      <c r="N92" s="95">
        <f t="shared" si="75"/>
        <v>1655.7599999999998</v>
      </c>
      <c r="O92" s="95">
        <f t="shared" si="75"/>
        <v>1585.06</v>
      </c>
      <c r="P92" s="95">
        <f t="shared" si="75"/>
        <v>1482.7600000000002</v>
      </c>
      <c r="Q92" s="95">
        <f t="shared" si="75"/>
        <v>1415.6599999999999</v>
      </c>
      <c r="R92" s="95">
        <f t="shared" si="75"/>
        <v>1344.6599999999999</v>
      </c>
      <c r="S92" s="95">
        <f t="shared" si="75"/>
        <v>1316.76</v>
      </c>
      <c r="T92" s="95">
        <f t="shared" si="75"/>
        <v>1352.76</v>
      </c>
      <c r="U92" s="95">
        <f t="shared" si="75"/>
        <v>1385.29</v>
      </c>
      <c r="V92" s="95">
        <f t="shared" si="75"/>
        <v>1419.66</v>
      </c>
      <c r="W92" s="95">
        <f t="shared" si="75"/>
        <v>1574.3600000000001</v>
      </c>
      <c r="X92" s="95">
        <f t="shared" si="75"/>
        <v>1798.76</v>
      </c>
      <c r="Y92" s="95">
        <f t="shared" ref="Y92:Z92" si="76">Y91-(-Y99)</f>
        <v>1745.76</v>
      </c>
      <c r="Z92" s="95">
        <f t="shared" si="76"/>
        <v>1592.76</v>
      </c>
      <c r="AA92" s="95">
        <f t="shared" si="75"/>
        <v>1616.76</v>
      </c>
      <c r="AB92" s="95">
        <f t="shared" si="75"/>
        <v>1587.0600000000002</v>
      </c>
      <c r="AC92" s="95">
        <f t="shared" si="75"/>
        <v>1521.26</v>
      </c>
      <c r="AD92" s="95">
        <f t="shared" si="75"/>
        <v>1419.66</v>
      </c>
      <c r="AE92" s="95">
        <f t="shared" ref="AE92:AF92" si="77">AE91-(-AE99)</f>
        <v>1272.3599999999999</v>
      </c>
      <c r="AF92" s="95">
        <f t="shared" si="77"/>
        <v>1160.5600000000002</v>
      </c>
      <c r="AG92" s="88"/>
      <c r="AH92" s="47">
        <f t="shared" si="40"/>
        <v>1798.76</v>
      </c>
      <c r="AI92" s="48">
        <f t="shared" si="41"/>
        <v>1103.8600000000001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40"/>
        <v>0</v>
      </c>
      <c r="AI93" s="48">
        <f t="shared" si="41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40"/>
        <v>0</v>
      </c>
      <c r="AI94" s="48">
        <f t="shared" si="41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40"/>
        <v>0</v>
      </c>
      <c r="AI95" s="48">
        <f t="shared" si="41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40"/>
        <v>0</v>
      </c>
      <c r="AI96" s="48">
        <f t="shared" si="41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40"/>
        <v>0</v>
      </c>
      <c r="AI97" s="48">
        <f t="shared" si="41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40"/>
        <v>0</v>
      </c>
      <c r="AI98" s="48">
        <f t="shared" si="41"/>
        <v>0</v>
      </c>
    </row>
    <row r="99" spans="1:37" ht="15.75" thickBot="1" x14ac:dyDescent="0.3">
      <c r="A99" s="99" t="s">
        <v>107</v>
      </c>
      <c r="B99" s="60">
        <f t="shared" ref="B99:C99" si="78">IF(B84&lt;0,B75+B73,0)</f>
        <v>0</v>
      </c>
      <c r="C99" s="60">
        <f t="shared" si="78"/>
        <v>0</v>
      </c>
      <c r="D99" s="60">
        <f t="shared" ref="D99:E99" si="79">IF(D84&lt;0,D75+D73,0)</f>
        <v>0</v>
      </c>
      <c r="E99" s="60">
        <f t="shared" si="79"/>
        <v>0</v>
      </c>
      <c r="F99" s="60">
        <f t="shared" ref="F99:G99" si="80">IF(F84&lt;0,F75+F73,0)</f>
        <v>0</v>
      </c>
      <c r="G99" s="60">
        <f t="shared" si="80"/>
        <v>0</v>
      </c>
      <c r="H99" s="60">
        <f t="shared" ref="H99:I99" si="81">IF(H84&lt;0,H75+H73,0)</f>
        <v>0</v>
      </c>
      <c r="I99" s="60">
        <f t="shared" si="81"/>
        <v>0</v>
      </c>
      <c r="J99" s="60">
        <f t="shared" ref="J99:K99" si="82">IF(J84&lt;0,J75+J73,0)</f>
        <v>0</v>
      </c>
      <c r="K99" s="60">
        <f t="shared" si="82"/>
        <v>0</v>
      </c>
      <c r="L99" s="60">
        <f t="shared" ref="L99" si="83">IF(L84&lt;0,L75+L73,0)</f>
        <v>0</v>
      </c>
      <c r="M99" s="60">
        <f t="shared" ref="M99:AD99" si="84">IF(M84&lt;0,M75+M73,0)</f>
        <v>0</v>
      </c>
      <c r="N99" s="60">
        <f t="shared" si="84"/>
        <v>0</v>
      </c>
      <c r="O99" s="60">
        <f t="shared" si="84"/>
        <v>0</v>
      </c>
      <c r="P99" s="60">
        <f t="shared" si="84"/>
        <v>0</v>
      </c>
      <c r="Q99" s="60">
        <f t="shared" si="84"/>
        <v>0</v>
      </c>
      <c r="R99" s="60">
        <f t="shared" si="84"/>
        <v>0</v>
      </c>
      <c r="S99" s="60">
        <f t="shared" si="84"/>
        <v>0</v>
      </c>
      <c r="T99" s="60">
        <f t="shared" si="84"/>
        <v>0</v>
      </c>
      <c r="U99" s="60">
        <f t="shared" si="84"/>
        <v>0</v>
      </c>
      <c r="V99" s="60">
        <f t="shared" si="84"/>
        <v>0</v>
      </c>
      <c r="W99" s="60">
        <f t="shared" si="84"/>
        <v>0</v>
      </c>
      <c r="X99" s="60">
        <f t="shared" si="84"/>
        <v>0</v>
      </c>
      <c r="Y99" s="60">
        <f t="shared" ref="Y99:Z99" si="85">IF(Y84&lt;0,Y75+Y73,0)</f>
        <v>0</v>
      </c>
      <c r="Z99" s="60">
        <f t="shared" si="85"/>
        <v>0</v>
      </c>
      <c r="AA99" s="60">
        <f t="shared" si="84"/>
        <v>0</v>
      </c>
      <c r="AB99" s="60">
        <f t="shared" si="84"/>
        <v>0</v>
      </c>
      <c r="AC99" s="60">
        <f t="shared" si="84"/>
        <v>0</v>
      </c>
      <c r="AD99" s="60">
        <f t="shared" si="84"/>
        <v>0</v>
      </c>
      <c r="AE99" s="60">
        <f t="shared" ref="AE99:AF99" si="86">IF(AE84&lt;0,AE75+AE73,0)</f>
        <v>0</v>
      </c>
      <c r="AF99" s="60">
        <f t="shared" si="86"/>
        <v>0</v>
      </c>
      <c r="AG99" s="88"/>
      <c r="AH99" s="47">
        <f t="shared" si="40"/>
        <v>0</v>
      </c>
      <c r="AI99" s="48">
        <f t="shared" si="41"/>
        <v>0</v>
      </c>
      <c r="AK99" s="50"/>
    </row>
    <row r="100" spans="1:37" ht="15.75" thickBot="1" x14ac:dyDescent="0.3">
      <c r="A100" s="74" t="s">
        <v>108</v>
      </c>
      <c r="B100" s="60">
        <f t="shared" ref="B100:C100" si="87">B84-B99</f>
        <v>165</v>
      </c>
      <c r="C100" s="60">
        <f t="shared" si="87"/>
        <v>215</v>
      </c>
      <c r="D100" s="60">
        <f t="shared" ref="D100:E100" si="88">D84-D99</f>
        <v>180</v>
      </c>
      <c r="E100" s="60">
        <f t="shared" si="88"/>
        <v>184.9</v>
      </c>
      <c r="F100" s="60">
        <f t="shared" ref="F100:G100" si="89">F84-F99</f>
        <v>208.9</v>
      </c>
      <c r="G100" s="60">
        <f t="shared" si="89"/>
        <v>214.5</v>
      </c>
      <c r="H100" s="60">
        <f t="shared" ref="H100:I100" si="90">H84-H99</f>
        <v>214.5</v>
      </c>
      <c r="I100" s="60">
        <f t="shared" si="90"/>
        <v>252.8</v>
      </c>
      <c r="J100" s="60">
        <f t="shared" ref="J100:K100" si="91">J84-J99</f>
        <v>196.5</v>
      </c>
      <c r="K100" s="60">
        <f t="shared" si="91"/>
        <v>190.2</v>
      </c>
      <c r="L100" s="60">
        <f t="shared" ref="L100" si="92">L84-L99</f>
        <v>128.9</v>
      </c>
      <c r="M100" s="60">
        <f t="shared" ref="M100:AD100" si="93">M84-M99</f>
        <v>17.399999999999999</v>
      </c>
      <c r="N100" s="60">
        <f t="shared" si="93"/>
        <v>47.1</v>
      </c>
      <c r="O100" s="60">
        <f t="shared" si="93"/>
        <v>269</v>
      </c>
      <c r="P100" s="60">
        <f t="shared" si="93"/>
        <v>278</v>
      </c>
      <c r="Q100" s="60">
        <f t="shared" si="93"/>
        <v>261.89999999999998</v>
      </c>
      <c r="R100" s="60">
        <f t="shared" si="93"/>
        <v>257.89999999999998</v>
      </c>
      <c r="S100" s="60">
        <f t="shared" si="93"/>
        <v>282</v>
      </c>
      <c r="T100" s="60">
        <f t="shared" si="93"/>
        <v>320</v>
      </c>
      <c r="U100" s="60">
        <f t="shared" si="93"/>
        <v>285.23</v>
      </c>
      <c r="V100" s="60">
        <f t="shared" si="93"/>
        <v>169</v>
      </c>
      <c r="W100" s="60">
        <f t="shared" si="93"/>
        <v>3.7</v>
      </c>
      <c r="X100" s="60">
        <f t="shared" si="93"/>
        <v>0</v>
      </c>
      <c r="Y100" s="60">
        <f t="shared" ref="Y100:Z100" si="94">Y84-Y99</f>
        <v>2</v>
      </c>
      <c r="Z100" s="60">
        <f t="shared" si="94"/>
        <v>30</v>
      </c>
      <c r="AA100" s="60">
        <f t="shared" si="93"/>
        <v>154</v>
      </c>
      <c r="AB100" s="60">
        <f t="shared" si="93"/>
        <v>228.3</v>
      </c>
      <c r="AC100" s="60">
        <f t="shared" si="93"/>
        <v>263.5</v>
      </c>
      <c r="AD100" s="60">
        <f t="shared" si="93"/>
        <v>230.3</v>
      </c>
      <c r="AE100" s="60">
        <f t="shared" ref="AE100:AF100" si="95">AE84-AE99</f>
        <v>245</v>
      </c>
      <c r="AF100" s="60">
        <f t="shared" si="95"/>
        <v>255</v>
      </c>
      <c r="AG100" s="88"/>
      <c r="AH100" s="47">
        <f t="shared" si="40"/>
        <v>320</v>
      </c>
      <c r="AI100" s="48">
        <f t="shared" si="41"/>
        <v>0</v>
      </c>
    </row>
    <row r="101" spans="1:37" x14ac:dyDescent="0.25">
      <c r="A101" s="100" t="s">
        <v>109</v>
      </c>
      <c r="B101" s="101">
        <v>50.03</v>
      </c>
      <c r="C101" s="101">
        <v>49.94</v>
      </c>
      <c r="D101" s="101">
        <v>49.95</v>
      </c>
      <c r="E101" s="101">
        <v>49.97</v>
      </c>
      <c r="F101" s="101">
        <v>50</v>
      </c>
      <c r="G101" s="101">
        <v>50.021000000000001</v>
      </c>
      <c r="H101" s="101">
        <v>50.04</v>
      </c>
      <c r="I101" s="101">
        <v>49.97</v>
      </c>
      <c r="J101" s="101">
        <v>50.177999999999997</v>
      </c>
      <c r="K101" s="101">
        <v>49.95</v>
      </c>
      <c r="L101" s="101">
        <v>49.81</v>
      </c>
      <c r="M101" s="101">
        <v>49.94</v>
      </c>
      <c r="N101" s="101">
        <v>50.02</v>
      </c>
      <c r="O101" s="101">
        <v>49.994</v>
      </c>
      <c r="P101" s="101">
        <v>49.997999999999998</v>
      </c>
      <c r="Q101" s="101">
        <v>50.042999999999999</v>
      </c>
      <c r="R101" s="101">
        <v>49.938000000000002</v>
      </c>
      <c r="S101" s="101">
        <v>50.061</v>
      </c>
      <c r="T101" s="101">
        <v>50.03</v>
      </c>
      <c r="U101" s="101">
        <v>49.850999999999999</v>
      </c>
      <c r="V101" s="101">
        <v>49.838999999999999</v>
      </c>
      <c r="W101" s="101">
        <v>49.829000000000001</v>
      </c>
      <c r="X101" s="101">
        <v>49.951000000000001</v>
      </c>
      <c r="Y101" s="101">
        <v>49.96</v>
      </c>
      <c r="Z101" s="101">
        <v>50.02</v>
      </c>
      <c r="AA101" s="101">
        <v>50.039000000000001</v>
      </c>
      <c r="AB101" s="101">
        <v>49.984999999999999</v>
      </c>
      <c r="AC101" s="101">
        <v>49.94</v>
      </c>
      <c r="AD101" s="101">
        <v>50.017000000000003</v>
      </c>
      <c r="AE101" s="101">
        <v>50.01</v>
      </c>
      <c r="AF101" s="101">
        <v>49.96</v>
      </c>
      <c r="AG101" s="102"/>
      <c r="AH101" s="47">
        <f t="shared" si="40"/>
        <v>50.177999999999997</v>
      </c>
      <c r="AI101" s="48">
        <f t="shared" si="41"/>
        <v>49.81</v>
      </c>
    </row>
    <row r="102" spans="1:37" x14ac:dyDescent="0.25">
      <c r="A102" s="103" t="s">
        <v>110</v>
      </c>
      <c r="B102" s="65">
        <v>129</v>
      </c>
      <c r="C102" s="65">
        <v>128</v>
      </c>
      <c r="D102" s="65">
        <v>128</v>
      </c>
      <c r="E102" s="65">
        <v>128.30000000000001</v>
      </c>
      <c r="F102" s="65">
        <v>127.4</v>
      </c>
      <c r="G102" s="65">
        <v>128.5</v>
      </c>
      <c r="H102" s="65">
        <v>126.3</v>
      </c>
      <c r="I102" s="65">
        <v>125.8</v>
      </c>
      <c r="J102" s="65">
        <v>127.8</v>
      </c>
      <c r="K102" s="65">
        <v>126.7</v>
      </c>
      <c r="L102" s="65">
        <v>125.7</v>
      </c>
      <c r="M102" s="65">
        <v>132.19999999999999</v>
      </c>
      <c r="N102" s="65">
        <v>123.9</v>
      </c>
      <c r="O102" s="65">
        <v>123.8</v>
      </c>
      <c r="P102" s="65">
        <v>123.8</v>
      </c>
      <c r="Q102" s="65">
        <v>123.2</v>
      </c>
      <c r="R102" s="65">
        <v>125.9</v>
      </c>
      <c r="S102" s="65">
        <v>126.1</v>
      </c>
      <c r="T102" s="65">
        <v>123.4</v>
      </c>
      <c r="U102" s="65">
        <v>126.1</v>
      </c>
      <c r="V102" s="65">
        <v>126.8</v>
      </c>
      <c r="W102" s="65">
        <v>124.5</v>
      </c>
      <c r="X102" s="65">
        <v>125.6</v>
      </c>
      <c r="Y102" s="65">
        <v>126</v>
      </c>
      <c r="Z102" s="65">
        <v>127</v>
      </c>
      <c r="AA102" s="65">
        <v>128.19999999999999</v>
      </c>
      <c r="AB102" s="65">
        <v>127.9</v>
      </c>
      <c r="AC102" s="65">
        <v>128.5</v>
      </c>
      <c r="AD102" s="65">
        <v>127.8</v>
      </c>
      <c r="AE102" s="65">
        <v>127.9</v>
      </c>
      <c r="AF102" s="65">
        <v>127.7</v>
      </c>
      <c r="AG102" s="104"/>
      <c r="AH102" s="47">
        <f t="shared" si="40"/>
        <v>132.19999999999999</v>
      </c>
      <c r="AI102" s="48">
        <f t="shared" si="41"/>
        <v>123.2</v>
      </c>
    </row>
    <row r="103" spans="1:37" x14ac:dyDescent="0.25">
      <c r="A103" s="103" t="s">
        <v>111</v>
      </c>
      <c r="B103" s="65">
        <v>132</v>
      </c>
      <c r="C103" s="65">
        <v>132</v>
      </c>
      <c r="D103" s="65">
        <v>132</v>
      </c>
      <c r="E103" s="65">
        <v>132.69999999999999</v>
      </c>
      <c r="F103" s="65">
        <v>132.19999999999999</v>
      </c>
      <c r="G103" s="65">
        <v>132.69999999999999</v>
      </c>
      <c r="H103" s="65">
        <v>130.6</v>
      </c>
      <c r="I103" s="65">
        <v>129.69999999999999</v>
      </c>
      <c r="J103" s="65">
        <v>130.4</v>
      </c>
      <c r="K103" s="65">
        <v>129</v>
      </c>
      <c r="L103" s="65">
        <v>127.3</v>
      </c>
      <c r="M103" s="65">
        <v>125.7</v>
      </c>
      <c r="N103" s="65">
        <v>126.8</v>
      </c>
      <c r="O103" s="65">
        <v>126.8</v>
      </c>
      <c r="P103" s="65">
        <v>126.8</v>
      </c>
      <c r="Q103" s="65">
        <v>127</v>
      </c>
      <c r="R103" s="65">
        <v>128.80000000000001</v>
      </c>
      <c r="S103" s="65">
        <v>129.4</v>
      </c>
      <c r="T103" s="65">
        <v>127.7</v>
      </c>
      <c r="U103" s="65">
        <v>129</v>
      </c>
      <c r="V103" s="65">
        <v>128.80000000000001</v>
      </c>
      <c r="W103" s="65">
        <v>126.5</v>
      </c>
      <c r="X103" s="65">
        <v>127</v>
      </c>
      <c r="Y103" s="65">
        <v>128</v>
      </c>
      <c r="Z103" s="65">
        <v>129</v>
      </c>
      <c r="AA103" s="65">
        <v>130.19999999999999</v>
      </c>
      <c r="AB103" s="65">
        <v>130</v>
      </c>
      <c r="AC103" s="65">
        <v>130.5</v>
      </c>
      <c r="AD103" s="65">
        <v>130.19999999999999</v>
      </c>
      <c r="AE103" s="65">
        <v>131.1</v>
      </c>
      <c r="AF103" s="65">
        <v>131.69999999999999</v>
      </c>
      <c r="AG103" s="104"/>
      <c r="AH103" s="47">
        <f t="shared" si="40"/>
        <v>132.69999999999999</v>
      </c>
      <c r="AI103" s="48">
        <f t="shared" si="41"/>
        <v>125.7</v>
      </c>
    </row>
    <row r="104" spans="1:37" x14ac:dyDescent="0.25">
      <c r="A104" s="103" t="s">
        <v>112</v>
      </c>
      <c r="B104" s="65">
        <v>132</v>
      </c>
      <c r="C104" s="65">
        <v>132</v>
      </c>
      <c r="D104" s="65">
        <v>131</v>
      </c>
      <c r="E104" s="65">
        <v>130.19999999999999</v>
      </c>
      <c r="F104" s="65">
        <v>130.6</v>
      </c>
      <c r="G104" s="65">
        <v>130.80000000000001</v>
      </c>
      <c r="H104" s="65">
        <v>128</v>
      </c>
      <c r="I104" s="65">
        <v>130.6</v>
      </c>
      <c r="J104" s="65">
        <v>130.30000000000001</v>
      </c>
      <c r="K104" s="65">
        <v>127.7</v>
      </c>
      <c r="L104" s="65">
        <v>125.1</v>
      </c>
      <c r="M104" s="65">
        <v>125</v>
      </c>
      <c r="N104" s="65">
        <v>126.2</v>
      </c>
      <c r="O104" s="65">
        <v>127.4</v>
      </c>
      <c r="P104" s="65">
        <v>127.4</v>
      </c>
      <c r="Q104" s="65">
        <v>127.8</v>
      </c>
      <c r="R104" s="65">
        <v>130.30000000000001</v>
      </c>
      <c r="S104" s="65">
        <v>127.3</v>
      </c>
      <c r="T104" s="65">
        <v>127.3</v>
      </c>
      <c r="U104" s="65">
        <v>128.6</v>
      </c>
      <c r="V104" s="65">
        <v>129.69999999999999</v>
      </c>
      <c r="W104" s="65">
        <v>125.6</v>
      </c>
      <c r="X104" s="65">
        <v>128.4</v>
      </c>
      <c r="Y104" s="65">
        <v>129</v>
      </c>
      <c r="Z104" s="65">
        <v>129</v>
      </c>
      <c r="AA104" s="65">
        <v>130.30000000000001</v>
      </c>
      <c r="AB104" s="65">
        <v>129.69999999999999</v>
      </c>
      <c r="AC104" s="65">
        <v>132</v>
      </c>
      <c r="AD104" s="65">
        <v>131.5</v>
      </c>
      <c r="AE104" s="65">
        <v>131.19999999999999</v>
      </c>
      <c r="AF104" s="65">
        <v>129.69999999999999</v>
      </c>
      <c r="AG104" s="104"/>
      <c r="AH104" s="47">
        <f t="shared" si="40"/>
        <v>132</v>
      </c>
      <c r="AI104" s="48">
        <f t="shared" si="41"/>
        <v>125</v>
      </c>
    </row>
    <row r="105" spans="1:37" x14ac:dyDescent="0.25">
      <c r="A105" s="105" t="s">
        <v>113</v>
      </c>
      <c r="B105" s="65">
        <v>133</v>
      </c>
      <c r="C105" s="65">
        <v>133</v>
      </c>
      <c r="D105" s="65">
        <v>133</v>
      </c>
      <c r="E105" s="65">
        <v>131.19999999999999</v>
      </c>
      <c r="F105" s="65">
        <v>131.9</v>
      </c>
      <c r="G105" s="65">
        <v>131.6</v>
      </c>
      <c r="H105" s="65">
        <v>130</v>
      </c>
      <c r="I105" s="65">
        <v>131.19999999999999</v>
      </c>
      <c r="J105" s="65">
        <v>132.5</v>
      </c>
      <c r="K105" s="65">
        <v>129.80000000000001</v>
      </c>
      <c r="L105" s="65">
        <v>126.1</v>
      </c>
      <c r="M105" s="65">
        <v>125.7</v>
      </c>
      <c r="N105" s="65">
        <v>126.9</v>
      </c>
      <c r="O105" s="65">
        <v>128.5</v>
      </c>
      <c r="P105" s="65">
        <v>128.5</v>
      </c>
      <c r="Q105" s="65">
        <v>130</v>
      </c>
      <c r="R105" s="65">
        <v>131.80000000000001</v>
      </c>
      <c r="S105" s="65">
        <v>129.6</v>
      </c>
      <c r="T105" s="65">
        <v>129.30000000000001</v>
      </c>
      <c r="U105" s="65">
        <v>130</v>
      </c>
      <c r="V105" s="65">
        <v>129.6</v>
      </c>
      <c r="W105" s="65">
        <v>126</v>
      </c>
      <c r="X105" s="65">
        <v>127.8</v>
      </c>
      <c r="Y105" s="65">
        <v>130.69999999999999</v>
      </c>
      <c r="Z105" s="65">
        <v>131</v>
      </c>
      <c r="AA105" s="65">
        <v>133.30000000000001</v>
      </c>
      <c r="AB105" s="65">
        <v>132.69999999999999</v>
      </c>
      <c r="AC105" s="65">
        <v>134.80000000000001</v>
      </c>
      <c r="AD105" s="65">
        <v>134.30000000000001</v>
      </c>
      <c r="AE105" s="65">
        <v>132.9</v>
      </c>
      <c r="AF105" s="65">
        <v>131.9</v>
      </c>
      <c r="AG105" s="104"/>
      <c r="AH105" s="47">
        <f t="shared" si="40"/>
        <v>134.80000000000001</v>
      </c>
      <c r="AI105" s="48">
        <f t="shared" si="41"/>
        <v>125.7</v>
      </c>
    </row>
    <row r="106" spans="1:37" x14ac:dyDescent="0.25">
      <c r="A106" s="105" t="s">
        <v>114</v>
      </c>
      <c r="B106" s="106">
        <v>135</v>
      </c>
      <c r="C106" s="106">
        <v>135</v>
      </c>
      <c r="D106" s="106">
        <v>135</v>
      </c>
      <c r="E106" s="106">
        <v>132.1</v>
      </c>
      <c r="F106" s="106">
        <v>131.1</v>
      </c>
      <c r="G106" s="106">
        <v>132.80000000000001</v>
      </c>
      <c r="H106" s="106">
        <v>130.80000000000001</v>
      </c>
      <c r="I106" s="106">
        <v>134.4</v>
      </c>
      <c r="J106" s="106">
        <v>135.6</v>
      </c>
      <c r="K106" s="106">
        <v>132.5</v>
      </c>
      <c r="L106" s="106">
        <v>129.80000000000001</v>
      </c>
      <c r="M106" s="106">
        <v>131.80000000000001</v>
      </c>
      <c r="N106" s="106">
        <v>134.5</v>
      </c>
      <c r="O106" s="106">
        <v>133.19999999999999</v>
      </c>
      <c r="P106" s="106">
        <v>133.19999999999999</v>
      </c>
      <c r="Q106" s="106">
        <v>134.6</v>
      </c>
      <c r="R106" s="106">
        <v>133.69999999999999</v>
      </c>
      <c r="S106" s="106">
        <v>134.19999999999999</v>
      </c>
      <c r="T106" s="106">
        <v>132.13999999999999</v>
      </c>
      <c r="U106" s="106">
        <v>132.80000000000001</v>
      </c>
      <c r="V106" s="106">
        <v>133.80000000000001</v>
      </c>
      <c r="W106" s="106">
        <v>131.9</v>
      </c>
      <c r="X106" s="106">
        <v>131.9</v>
      </c>
      <c r="Y106" s="106">
        <v>133</v>
      </c>
      <c r="Z106" s="106">
        <v>134</v>
      </c>
      <c r="AA106" s="106">
        <v>134.69999999999999</v>
      </c>
      <c r="AB106" s="106">
        <v>135</v>
      </c>
      <c r="AC106" s="106">
        <v>135.69999999999999</v>
      </c>
      <c r="AD106" s="106">
        <v>134.80000000000001</v>
      </c>
      <c r="AE106" s="106">
        <v>134.6</v>
      </c>
      <c r="AF106" s="106">
        <v>133</v>
      </c>
      <c r="AG106" s="107"/>
      <c r="AH106" s="47">
        <f t="shared" si="40"/>
        <v>135.69999999999999</v>
      </c>
      <c r="AI106" s="48">
        <f t="shared" si="41"/>
        <v>129.80000000000001</v>
      </c>
    </row>
    <row r="107" spans="1:37" x14ac:dyDescent="0.25">
      <c r="A107" s="103" t="s">
        <v>115</v>
      </c>
      <c r="B107" s="65">
        <v>135</v>
      </c>
      <c r="C107" s="65">
        <v>135</v>
      </c>
      <c r="D107" s="65">
        <v>135</v>
      </c>
      <c r="E107" s="65">
        <v>133.1</v>
      </c>
      <c r="F107" s="65">
        <v>131.19999999999999</v>
      </c>
      <c r="G107" s="65">
        <v>135.4</v>
      </c>
      <c r="H107" s="65">
        <v>130.1</v>
      </c>
      <c r="I107" s="65">
        <v>131.30000000000001</v>
      </c>
      <c r="J107" s="65">
        <v>135.5</v>
      </c>
      <c r="K107" s="65">
        <v>132.1</v>
      </c>
      <c r="L107" s="65">
        <v>129</v>
      </c>
      <c r="M107" s="65">
        <v>130.6</v>
      </c>
      <c r="N107" s="65">
        <v>134.1</v>
      </c>
      <c r="O107" s="65">
        <v>132.5</v>
      </c>
      <c r="P107" s="65">
        <v>132.5</v>
      </c>
      <c r="Q107" s="65">
        <v>133</v>
      </c>
      <c r="R107" s="65">
        <v>133</v>
      </c>
      <c r="S107" s="65">
        <v>132.30000000000001</v>
      </c>
      <c r="T107" s="65">
        <v>129.5</v>
      </c>
      <c r="U107" s="65">
        <v>129.30000000000001</v>
      </c>
      <c r="V107" s="65">
        <v>130.1</v>
      </c>
      <c r="W107" s="65">
        <v>128.6</v>
      </c>
      <c r="X107" s="65">
        <v>128.6</v>
      </c>
      <c r="Y107" s="65">
        <v>131</v>
      </c>
      <c r="Z107" s="65">
        <v>134</v>
      </c>
      <c r="AA107" s="65">
        <v>133.69999999999999</v>
      </c>
      <c r="AB107" s="65">
        <v>134.5</v>
      </c>
      <c r="AC107" s="65">
        <v>134.30000000000001</v>
      </c>
      <c r="AD107" s="65">
        <v>134.4</v>
      </c>
      <c r="AE107" s="65">
        <v>134.4</v>
      </c>
      <c r="AF107" s="65">
        <v>130.69999999999999</v>
      </c>
      <c r="AG107" s="104"/>
      <c r="AH107" s="47">
        <f t="shared" si="40"/>
        <v>135.5</v>
      </c>
      <c r="AI107" s="48">
        <f t="shared" si="41"/>
        <v>128.6</v>
      </c>
    </row>
    <row r="108" spans="1:37" ht="15.75" thickBot="1" x14ac:dyDescent="0.3">
      <c r="A108" s="103" t="s">
        <v>116</v>
      </c>
      <c r="B108" s="92">
        <v>66</v>
      </c>
      <c r="C108" s="92">
        <v>66</v>
      </c>
      <c r="D108" s="92">
        <v>66</v>
      </c>
      <c r="E108" s="92">
        <v>66.5</v>
      </c>
      <c r="F108" s="92">
        <v>66.2</v>
      </c>
      <c r="G108" s="92">
        <v>66.5</v>
      </c>
      <c r="H108" s="92">
        <v>65.5</v>
      </c>
      <c r="I108" s="92">
        <v>64.8</v>
      </c>
      <c r="J108" s="92">
        <v>65.3</v>
      </c>
      <c r="K108" s="92">
        <v>64.7</v>
      </c>
      <c r="L108" s="92">
        <v>63.7</v>
      </c>
      <c r="M108" s="92">
        <v>63</v>
      </c>
      <c r="N108" s="92">
        <v>63.5</v>
      </c>
      <c r="O108" s="92">
        <v>63.3</v>
      </c>
      <c r="P108" s="92">
        <v>63.3</v>
      </c>
      <c r="Q108" s="92">
        <v>63.4</v>
      </c>
      <c r="R108" s="92">
        <v>64.599999999999994</v>
      </c>
      <c r="S108" s="92">
        <v>64.7</v>
      </c>
      <c r="T108" s="92">
        <v>63.8</v>
      </c>
      <c r="U108" s="92">
        <v>65.599999999999994</v>
      </c>
      <c r="V108" s="92">
        <v>64.400000000000006</v>
      </c>
      <c r="W108" s="92">
        <v>63.3</v>
      </c>
      <c r="X108" s="92">
        <v>63.4</v>
      </c>
      <c r="Y108" s="92">
        <v>63.7</v>
      </c>
      <c r="Z108" s="92">
        <v>64.5</v>
      </c>
      <c r="AA108" s="92">
        <v>65.099999999999994</v>
      </c>
      <c r="AB108" s="92">
        <v>65</v>
      </c>
      <c r="AC108" s="92">
        <v>65.3</v>
      </c>
      <c r="AD108" s="92">
        <v>65</v>
      </c>
      <c r="AE108" s="92">
        <v>65.599999999999994</v>
      </c>
      <c r="AF108" s="92">
        <v>66.2</v>
      </c>
      <c r="AG108" s="108"/>
      <c r="AH108" s="47">
        <f t="shared" si="40"/>
        <v>66.5</v>
      </c>
      <c r="AI108" s="48">
        <f t="shared" si="41"/>
        <v>63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117</v>
      </c>
      <c r="Y109" s="92" t="s">
        <v>117</v>
      </c>
      <c r="Z109" s="92" t="s">
        <v>117</v>
      </c>
      <c r="AA109" s="92"/>
      <c r="AB109" s="92"/>
      <c r="AC109" s="92"/>
      <c r="AD109" s="92"/>
      <c r="AE109" s="92"/>
      <c r="AF109" s="92"/>
      <c r="AG109" s="108"/>
      <c r="AH109" s="47">
        <f t="shared" si="40"/>
        <v>0</v>
      </c>
      <c r="AI109" s="48">
        <f t="shared" si="41"/>
        <v>0</v>
      </c>
    </row>
    <row r="110" spans="1:37" ht="15.75" thickBot="1" x14ac:dyDescent="0.3">
      <c r="A110" s="110" t="s">
        <v>118</v>
      </c>
      <c r="B110" s="111">
        <f t="shared" ref="B110:C110" si="96">SUM(B20,B26,B29:B30,B58,B60:B61,B63,B65,B111:B115,B140,B146,B152,B161,B163,B175,B182,B185:B186,B193,B195,B197,B201:B203,B205:B207,B212,B218:B219,B221:B223,B231,B236)</f>
        <v>98.639999999999986</v>
      </c>
      <c r="C110" s="111">
        <f t="shared" si="96"/>
        <v>80.639999999999986</v>
      </c>
      <c r="D110" s="111">
        <f t="shared" ref="D110:E110" si="97">SUM(D20,D26,D29:D30,D58,D60:D61,D63,D65,D111:D115,D140,D146,D152,D161,D163,D175,D182,D185:D186,D193,D195,D197,D201:D203,D205:D207,D212,D218:D219,D221:D223,D231,D236)</f>
        <v>78.639999999999986</v>
      </c>
      <c r="E110" s="111">
        <f t="shared" si="97"/>
        <v>81.64</v>
      </c>
      <c r="F110" s="111">
        <f t="shared" ref="F110:G110" si="98">SUM(F20,F26,F29:F30,F58,F60:F61,F63,F65,F111:F115,F140,F146,F152,F161,F163,F175,F182,F185:F186,F193,F195,F197,F201:F203,F205:F207,F212,F218:F219,F221:F223,F231,F236)</f>
        <v>84.990000000000009</v>
      </c>
      <c r="G110" s="111">
        <f t="shared" si="98"/>
        <v>123.74000000000001</v>
      </c>
      <c r="H110" s="111">
        <f t="shared" ref="H110:I110" si="99">SUM(H20,H26,H29:H30,H58,H60:H61,H63,H65,H111:H115,H140,H146,H152,H161,H163,H175,H182,H185:H186,H193,H195,H197,H201:H203,H205:H207,H212,H218:H219,H221:H223,H231,H236)</f>
        <v>161.99</v>
      </c>
      <c r="I110" s="111">
        <f t="shared" si="99"/>
        <v>203.34</v>
      </c>
      <c r="J110" s="111">
        <f t="shared" ref="J110:K110" si="100">SUM(J20,J26,J29:J30,J58,J60:J61,J63,J65,J111:J115,J140,J146,J152,J161,J163,J175,J182,J185:J186,J193,J195,J197,J201:J203,J205:J207,J212,J218:J219,J221:J223,J231,J236)</f>
        <v>271.24</v>
      </c>
      <c r="K110" s="111">
        <f t="shared" si="100"/>
        <v>280.74</v>
      </c>
      <c r="L110" s="111">
        <f t="shared" ref="L110" si="101">SUM(L20,L26,L29:L30,L58,L60:L61,L63,L65,L111:L115,L140,L146,L152,L161,L163,L175,L182,L185:L186,L193,L195,L197,L201:L203,L205:L207,L212,L218:L219,L221:L223,L231,L236)</f>
        <v>321.58999999999997</v>
      </c>
      <c r="M110" s="111">
        <f t="shared" ref="M110:O110" si="102">SUM(M20,M26,M29:M30,M58,M60:M61,M63,M65,M111:M115,M140,M146,M152,M161,M163,M175,M182,M185:M186,M193,M195,M197,M201:M203,M205:M207,M212,M218:M219,M221:M223,M231,M236)</f>
        <v>343.44</v>
      </c>
      <c r="N110" s="111">
        <f t="shared" si="102"/>
        <v>330.84</v>
      </c>
      <c r="O110" s="111">
        <f t="shared" si="102"/>
        <v>322.68299999999999</v>
      </c>
      <c r="P110" s="111">
        <v>42</v>
      </c>
      <c r="Q110" s="111">
        <f t="shared" ref="Q110:AE110" si="103">SUM(Q20,Q26,Q29:Q30,Q58,Q60:Q61,Q63,Q65,Q111:Q115,Q140,Q146,Q152,Q161,Q163,Q175,Q182,Q185:Q186,Q193,Q195,Q197,Q201:Q203,Q205:Q207,Q212,Q218:Q219,Q221:Q223,Q231,Q236)</f>
        <v>299.51499999999999</v>
      </c>
      <c r="R110" s="111">
        <f t="shared" si="103"/>
        <v>294.97899999999998</v>
      </c>
      <c r="S110" s="111">
        <f t="shared" si="103"/>
        <v>277.83</v>
      </c>
      <c r="T110" s="111">
        <f t="shared" si="103"/>
        <v>268.53499999999997</v>
      </c>
      <c r="U110" s="111">
        <f t="shared" si="103"/>
        <v>247.99999999999997</v>
      </c>
      <c r="V110" s="111">
        <f t="shared" si="103"/>
        <v>323.48999999999995</v>
      </c>
      <c r="W110" s="111">
        <f t="shared" si="103"/>
        <v>381.05499999999995</v>
      </c>
      <c r="X110" s="111">
        <f t="shared" si="103"/>
        <v>418.73999999999995</v>
      </c>
      <c r="Y110" s="111">
        <f t="shared" ref="Y110:Z110" si="104">SUM(Y20,Y26,Y29:Y30,Y58,Y60:Y61,Y63,Y65,Y111:Y115,Y140,Y146,Y152,Y161,Y163,Y175,Y182,Y185:Y186,Y193,Y195,Y197,Y201:Y203,Y205:Y207,Y212,Y218:Y219,Y221:Y223,Y231,Y236)</f>
        <v>278.14</v>
      </c>
      <c r="Z110" s="111">
        <f t="shared" si="104"/>
        <v>361.23999999999995</v>
      </c>
      <c r="AA110" s="111">
        <f t="shared" si="103"/>
        <v>370.84</v>
      </c>
      <c r="AB110" s="111">
        <f t="shared" si="103"/>
        <v>364.23999999999995</v>
      </c>
      <c r="AC110" s="111">
        <f t="shared" si="103"/>
        <v>335.44</v>
      </c>
      <c r="AD110" s="111">
        <f t="shared" si="103"/>
        <v>292.83999999999997</v>
      </c>
      <c r="AE110" s="111">
        <f t="shared" si="103"/>
        <v>211.39000000000004</v>
      </c>
      <c r="AF110" s="111">
        <f t="shared" ref="AF110" si="105">SUM(AF20,AF26,AF29:AF30,AF58,AF60:AF61,AF63,AF65,AF111:AF115,AF140,AF146,AF152,AF161,AF163,AF175,AF182,AF185:AF186,AF193,AF195,AF197,AF201:AF203,AF205:AF207,AF212,AF218:AF219,AF221:AF223,AF231,AF236)</f>
        <v>135.94</v>
      </c>
      <c r="AG110" s="112"/>
      <c r="AH110" s="47">
        <f t="shared" si="40"/>
        <v>418.73999999999995</v>
      </c>
      <c r="AI110" s="48">
        <f t="shared" si="41"/>
        <v>42</v>
      </c>
    </row>
    <row r="111" spans="1:37" x14ac:dyDescent="0.25">
      <c r="A111" s="181" t="s">
        <v>119</v>
      </c>
      <c r="B111" s="113">
        <v>11</v>
      </c>
      <c r="C111" s="113">
        <v>1</v>
      </c>
      <c r="D111" s="113">
        <v>6</v>
      </c>
      <c r="E111" s="113">
        <v>5.9</v>
      </c>
      <c r="F111" s="113">
        <v>4.0999999999999996</v>
      </c>
      <c r="G111" s="113">
        <v>8.6999999999999993</v>
      </c>
      <c r="H111" s="113">
        <v>11.5</v>
      </c>
      <c r="I111" s="113">
        <v>27.1</v>
      </c>
      <c r="J111" s="113">
        <v>16.8</v>
      </c>
      <c r="K111" s="113">
        <v>15.3</v>
      </c>
      <c r="L111" s="113">
        <v>6.2</v>
      </c>
      <c r="M111" s="113">
        <v>36.799999999999997</v>
      </c>
      <c r="N111" s="113">
        <v>35.1</v>
      </c>
      <c r="O111" s="113">
        <v>35.9</v>
      </c>
      <c r="P111" s="113">
        <v>35.5</v>
      </c>
      <c r="Q111" s="113">
        <v>34.200000000000003</v>
      </c>
      <c r="R111" s="113">
        <v>28.4</v>
      </c>
      <c r="S111" s="113">
        <v>16.600000000000001</v>
      </c>
      <c r="T111" s="113">
        <v>19</v>
      </c>
      <c r="U111" s="113">
        <v>26.8</v>
      </c>
      <c r="V111" s="113">
        <v>32.4</v>
      </c>
      <c r="W111" s="113">
        <v>41.2</v>
      </c>
      <c r="X111" s="113">
        <v>34.1</v>
      </c>
      <c r="Y111" s="113">
        <v>32</v>
      </c>
      <c r="Z111" s="113">
        <v>36.6</v>
      </c>
      <c r="AA111" s="113">
        <v>34</v>
      </c>
      <c r="AB111" s="113">
        <v>33.6</v>
      </c>
      <c r="AC111" s="113">
        <v>25</v>
      </c>
      <c r="AD111" s="113">
        <v>19.3</v>
      </c>
      <c r="AE111" s="113">
        <v>8.5</v>
      </c>
      <c r="AF111" s="113">
        <v>-0.8</v>
      </c>
      <c r="AG111" s="114">
        <v>75</v>
      </c>
      <c r="AH111" s="47">
        <f t="shared" si="40"/>
        <v>41.2</v>
      </c>
      <c r="AI111" s="48">
        <f t="shared" si="41"/>
        <v>-0.8</v>
      </c>
    </row>
    <row r="112" spans="1:37" x14ac:dyDescent="0.25">
      <c r="A112" s="182" t="s">
        <v>120</v>
      </c>
      <c r="B112" s="115">
        <v>7</v>
      </c>
      <c r="C112" s="115">
        <v>-9</v>
      </c>
      <c r="D112" s="115">
        <v>3</v>
      </c>
      <c r="E112" s="115">
        <v>2.8</v>
      </c>
      <c r="F112" s="115">
        <v>0</v>
      </c>
      <c r="G112" s="115">
        <v>6</v>
      </c>
      <c r="H112" s="115">
        <v>13.1</v>
      </c>
      <c r="I112" s="115">
        <v>32.1</v>
      </c>
      <c r="J112" s="115">
        <v>13.6</v>
      </c>
      <c r="K112" s="115">
        <v>13.6</v>
      </c>
      <c r="L112" s="115">
        <v>-1.6</v>
      </c>
      <c r="M112" s="115">
        <v>42.3</v>
      </c>
      <c r="N112" s="115">
        <v>40.6</v>
      </c>
      <c r="O112" s="115">
        <v>41.9</v>
      </c>
      <c r="P112" s="115">
        <v>41.6</v>
      </c>
      <c r="Q112" s="115">
        <v>39.200000000000003</v>
      </c>
      <c r="R112" s="115">
        <v>31.8</v>
      </c>
      <c r="S112" s="115">
        <v>14.7</v>
      </c>
      <c r="T112" s="115">
        <v>17</v>
      </c>
      <c r="U112" s="115">
        <v>30.6</v>
      </c>
      <c r="V112" s="115">
        <v>36.4</v>
      </c>
      <c r="W112" s="115">
        <v>44.2</v>
      </c>
      <c r="X112" s="115">
        <v>33</v>
      </c>
      <c r="Y112" s="115">
        <v>30.5</v>
      </c>
      <c r="Z112" s="115">
        <v>38</v>
      </c>
      <c r="AA112" s="115">
        <v>35</v>
      </c>
      <c r="AB112" s="115">
        <v>33.6</v>
      </c>
      <c r="AC112" s="115">
        <v>22.8</v>
      </c>
      <c r="AD112" s="115">
        <v>14.6</v>
      </c>
      <c r="AE112" s="115">
        <v>0</v>
      </c>
      <c r="AF112" s="115">
        <v>-9.9</v>
      </c>
      <c r="AG112" s="114">
        <v>240</v>
      </c>
      <c r="AH112" s="47">
        <f t="shared" si="40"/>
        <v>44.2</v>
      </c>
      <c r="AI112" s="48">
        <f t="shared" si="41"/>
        <v>-9.9</v>
      </c>
    </row>
    <row r="113" spans="1:37" x14ac:dyDescent="0.25">
      <c r="A113" s="182" t="s">
        <v>121</v>
      </c>
      <c r="B113" s="115">
        <v>-70</v>
      </c>
      <c r="C113" s="115">
        <v>-70</v>
      </c>
      <c r="D113" s="115">
        <v>-77</v>
      </c>
      <c r="E113" s="115">
        <v>-81</v>
      </c>
      <c r="F113" s="115">
        <v>-78.900000000000006</v>
      </c>
      <c r="G113" s="115">
        <v>-67</v>
      </c>
      <c r="H113" s="115">
        <v>-62.1</v>
      </c>
      <c r="I113" s="115">
        <v>-57.8</v>
      </c>
      <c r="J113" s="115">
        <v>-24.5</v>
      </c>
      <c r="K113" s="115">
        <v>-23.8</v>
      </c>
      <c r="L113" s="115">
        <v>-10.9</v>
      </c>
      <c r="M113" s="115">
        <v>-27</v>
      </c>
      <c r="N113" s="115">
        <v>-35</v>
      </c>
      <c r="O113" s="115">
        <v>-32</v>
      </c>
      <c r="P113" s="115">
        <v>-32</v>
      </c>
      <c r="Q113" s="115">
        <v>-33</v>
      </c>
      <c r="R113" s="115">
        <v>-22</v>
      </c>
      <c r="S113" s="115">
        <v>-19</v>
      </c>
      <c r="T113" s="115">
        <v>-24</v>
      </c>
      <c r="U113" s="115">
        <v>-32.4</v>
      </c>
      <c r="V113" s="115">
        <v>-14</v>
      </c>
      <c r="W113" s="115">
        <v>-5</v>
      </c>
      <c r="X113" s="115">
        <v>18</v>
      </c>
      <c r="Y113" s="115">
        <v>-25</v>
      </c>
      <c r="Z113" s="115">
        <v>-18</v>
      </c>
      <c r="AA113" s="115">
        <v>11.6</v>
      </c>
      <c r="AB113" s="115">
        <v>11.6</v>
      </c>
      <c r="AC113" s="115">
        <v>7.9</v>
      </c>
      <c r="AD113" s="115">
        <v>-6</v>
      </c>
      <c r="AE113" s="115">
        <f>-13.3-15</f>
        <v>-28.3</v>
      </c>
      <c r="AF113" s="115">
        <f>-26.4-27.8</f>
        <v>-54.2</v>
      </c>
      <c r="AG113" s="114">
        <v>240</v>
      </c>
      <c r="AH113" s="47">
        <f t="shared" si="40"/>
        <v>18</v>
      </c>
      <c r="AI113" s="48">
        <f t="shared" si="41"/>
        <v>-81</v>
      </c>
    </row>
    <row r="114" spans="1:37" ht="15.75" thickBot="1" x14ac:dyDescent="0.3">
      <c r="A114" s="182" t="s">
        <v>122</v>
      </c>
      <c r="B114" s="115">
        <v>-10</v>
      </c>
      <c r="C114" s="115">
        <v>-12</v>
      </c>
      <c r="D114" s="115">
        <v>-14</v>
      </c>
      <c r="E114" s="115">
        <v>-13.7</v>
      </c>
      <c r="F114" s="115">
        <v>-14.6</v>
      </c>
      <c r="G114" s="115">
        <v>-6.6</v>
      </c>
      <c r="H114" s="115">
        <v>-8.6</v>
      </c>
      <c r="I114" s="115">
        <v>-3.6</v>
      </c>
      <c r="J114" s="115">
        <v>25.1</v>
      </c>
      <c r="K114" s="115">
        <v>29.1</v>
      </c>
      <c r="L114" s="115">
        <v>52.6</v>
      </c>
      <c r="M114" s="115">
        <v>27.2</v>
      </c>
      <c r="N114" s="115">
        <v>27.2</v>
      </c>
      <c r="O114" s="115">
        <v>17.899999999999999</v>
      </c>
      <c r="P114" s="115">
        <v>23.4</v>
      </c>
      <c r="Q114" s="115">
        <v>4.3</v>
      </c>
      <c r="R114" s="115">
        <v>7.7</v>
      </c>
      <c r="S114" s="115">
        <v>10</v>
      </c>
      <c r="T114" s="115">
        <v>9</v>
      </c>
      <c r="U114" s="115">
        <v>7.7</v>
      </c>
      <c r="V114" s="115">
        <v>18.100000000000001</v>
      </c>
      <c r="W114" s="115">
        <v>30.1</v>
      </c>
      <c r="X114" s="115">
        <v>55</v>
      </c>
      <c r="Y114" s="115">
        <v>-25</v>
      </c>
      <c r="Z114" s="115">
        <v>49</v>
      </c>
      <c r="AA114" s="115">
        <v>44.6</v>
      </c>
      <c r="AB114" s="115">
        <v>44.6</v>
      </c>
      <c r="AC114" s="115">
        <v>41.9</v>
      </c>
      <c r="AD114" s="115">
        <v>30.1</v>
      </c>
      <c r="AE114" s="115">
        <v>4</v>
      </c>
      <c r="AF114" s="115">
        <v>-8</v>
      </c>
      <c r="AG114" s="114">
        <v>60</v>
      </c>
      <c r="AH114" s="47">
        <f t="shared" si="40"/>
        <v>55</v>
      </c>
      <c r="AI114" s="48">
        <f t="shared" si="41"/>
        <v>-25</v>
      </c>
    </row>
    <row r="115" spans="1:37" x14ac:dyDescent="0.25">
      <c r="A115" s="181" t="s">
        <v>267</v>
      </c>
      <c r="B115" s="117">
        <v>32</v>
      </c>
      <c r="C115" s="117">
        <v>42</v>
      </c>
      <c r="D115" s="117">
        <v>32</v>
      </c>
      <c r="E115" s="117">
        <f>26*1.5</f>
        <v>39</v>
      </c>
      <c r="F115" s="117">
        <f>1.5*30.5</f>
        <v>45.75</v>
      </c>
      <c r="G115" s="117">
        <f>36*1.5</f>
        <v>54</v>
      </c>
      <c r="H115" s="117">
        <f>50.9*1.5</f>
        <v>76.349999999999994</v>
      </c>
      <c r="I115" s="117">
        <f>49.2*1.5</f>
        <v>73.800000000000011</v>
      </c>
      <c r="J115" s="117">
        <f>72*1.5</f>
        <v>108</v>
      </c>
      <c r="K115" s="117">
        <f>76.2*1.5</f>
        <v>114.30000000000001</v>
      </c>
      <c r="L115" s="117">
        <f>94.5*1.5</f>
        <v>141.75</v>
      </c>
      <c r="M115" s="117">
        <v>130</v>
      </c>
      <c r="N115" s="117">
        <v>128</v>
      </c>
      <c r="O115" s="117">
        <f>72.9*1.67</f>
        <v>121.74300000000001</v>
      </c>
      <c r="P115" s="117">
        <v>110</v>
      </c>
      <c r="Q115" s="117">
        <f>62.5*1.67</f>
        <v>104.375</v>
      </c>
      <c r="R115" s="117">
        <f>61.7*1.67</f>
        <v>103.039</v>
      </c>
      <c r="S115" s="117">
        <f>67*1.67</f>
        <v>111.89</v>
      </c>
      <c r="T115" s="117">
        <f>66.3*1.65</f>
        <v>109.395</v>
      </c>
      <c r="U115" s="117">
        <f>50.4*1.65</f>
        <v>83.16</v>
      </c>
      <c r="V115" s="117">
        <f>73*1.65</f>
        <v>120.44999999999999</v>
      </c>
      <c r="W115" s="117">
        <f>85.1*1.65</f>
        <v>140.41499999999999</v>
      </c>
      <c r="X115" s="117">
        <v>148.5</v>
      </c>
      <c r="Y115" s="117">
        <v>135</v>
      </c>
      <c r="Z115" s="117">
        <v>125</v>
      </c>
      <c r="AA115" s="117">
        <v>115</v>
      </c>
      <c r="AB115" s="117">
        <f>72*1.5</f>
        <v>108</v>
      </c>
      <c r="AC115" s="117">
        <f>70*1.5</f>
        <v>105</v>
      </c>
      <c r="AD115" s="117">
        <f>68*1.5</f>
        <v>102</v>
      </c>
      <c r="AE115" s="117">
        <f>63.1*1.5</f>
        <v>94.65</v>
      </c>
      <c r="AF115" s="117">
        <f>51*1.5</f>
        <v>76.5</v>
      </c>
      <c r="AG115" s="118">
        <v>120</v>
      </c>
      <c r="AH115" s="47">
        <f t="shared" si="40"/>
        <v>148.5</v>
      </c>
      <c r="AI115" s="48">
        <f t="shared" si="41"/>
        <v>32</v>
      </c>
    </row>
    <row r="116" spans="1:37" x14ac:dyDescent="0.25">
      <c r="A116" s="182" t="s">
        <v>266</v>
      </c>
      <c r="B116" s="117">
        <v>56</v>
      </c>
      <c r="C116" s="117">
        <v>63</v>
      </c>
      <c r="D116" s="117">
        <v>58</v>
      </c>
      <c r="E116" s="117">
        <v>55.7</v>
      </c>
      <c r="F116" s="117">
        <v>60.4</v>
      </c>
      <c r="G116" s="117">
        <v>63.8</v>
      </c>
      <c r="H116" s="117">
        <v>75.8</v>
      </c>
      <c r="I116" s="117">
        <v>74.5</v>
      </c>
      <c r="J116" s="117">
        <v>93.1</v>
      </c>
      <c r="K116" s="117">
        <v>96.5</v>
      </c>
      <c r="L116" s="117">
        <v>111.4</v>
      </c>
      <c r="M116" s="117">
        <v>104.3</v>
      </c>
      <c r="N116" s="117">
        <v>99</v>
      </c>
      <c r="O116" s="117">
        <v>94.2</v>
      </c>
      <c r="P116" s="117">
        <v>88.2</v>
      </c>
      <c r="Q116" s="117">
        <v>85.9</v>
      </c>
      <c r="R116" s="117">
        <v>80.2</v>
      </c>
      <c r="S116" s="117">
        <v>90</v>
      </c>
      <c r="T116" s="117">
        <v>92.1</v>
      </c>
      <c r="U116" s="117">
        <v>78</v>
      </c>
      <c r="V116" s="117">
        <v>95</v>
      </c>
      <c r="W116" s="117">
        <v>105.2</v>
      </c>
      <c r="X116" s="117">
        <v>109</v>
      </c>
      <c r="Y116" s="117">
        <v>108</v>
      </c>
      <c r="Z116" s="117">
        <v>102</v>
      </c>
      <c r="AA116" s="117">
        <v>94.2</v>
      </c>
      <c r="AB116" s="117">
        <v>94.2</v>
      </c>
      <c r="AC116" s="117">
        <v>93</v>
      </c>
      <c r="AD116" s="117">
        <v>90.8</v>
      </c>
      <c r="AE116" s="117">
        <v>88.9</v>
      </c>
      <c r="AF116" s="117">
        <v>78.400000000000006</v>
      </c>
      <c r="AG116" s="118"/>
      <c r="AH116" s="47"/>
      <c r="AI116" s="48"/>
    </row>
    <row r="117" spans="1:37" x14ac:dyDescent="0.25">
      <c r="A117" s="182" t="s">
        <v>263</v>
      </c>
      <c r="B117" s="117">
        <v>35</v>
      </c>
      <c r="C117" s="117">
        <v>54</v>
      </c>
      <c r="D117" s="117">
        <v>46</v>
      </c>
      <c r="E117" s="117">
        <v>46.4</v>
      </c>
      <c r="F117" s="117">
        <v>51.5</v>
      </c>
      <c r="G117" s="117">
        <v>39.5</v>
      </c>
      <c r="H117" s="117">
        <v>39.299999999999997</v>
      </c>
      <c r="I117" s="117">
        <v>16.5</v>
      </c>
      <c r="J117" s="117">
        <v>9</v>
      </c>
      <c r="K117" s="117">
        <v>7.6</v>
      </c>
      <c r="L117" s="117">
        <v>7.3</v>
      </c>
      <c r="M117" s="117">
        <v>-18.5</v>
      </c>
      <c r="N117" s="117">
        <v>-4.5</v>
      </c>
      <c r="O117" s="117">
        <v>-9.6</v>
      </c>
      <c r="P117" s="117">
        <v>-6.4</v>
      </c>
      <c r="Q117" s="117">
        <v>3.2</v>
      </c>
      <c r="R117" s="117">
        <v>4.8</v>
      </c>
      <c r="S117" s="117">
        <v>20</v>
      </c>
      <c r="T117" s="117">
        <v>20</v>
      </c>
      <c r="U117" s="117">
        <v>-1.7</v>
      </c>
      <c r="V117" s="117">
        <v>-4</v>
      </c>
      <c r="W117" s="117">
        <v>-18</v>
      </c>
      <c r="X117" s="117">
        <v>-27.4</v>
      </c>
      <c r="Y117" s="117">
        <v>-26</v>
      </c>
      <c r="Z117" s="117">
        <v>-30</v>
      </c>
      <c r="AA117" s="117">
        <v>-30</v>
      </c>
      <c r="AB117" s="117">
        <v>-30</v>
      </c>
      <c r="AC117" s="117">
        <v>18.2</v>
      </c>
      <c r="AD117" s="117">
        <v>1.1000000000000001</v>
      </c>
      <c r="AE117" s="117">
        <v>35.6</v>
      </c>
      <c r="AF117" s="117">
        <v>57.7</v>
      </c>
      <c r="AG117" s="118"/>
      <c r="AH117" s="47"/>
      <c r="AI117" s="48"/>
    </row>
    <row r="118" spans="1:37" ht="15.75" thickBot="1" x14ac:dyDescent="0.3">
      <c r="A118" s="182" t="s">
        <v>260</v>
      </c>
      <c r="B118" s="117">
        <v>58</v>
      </c>
      <c r="C118" s="117">
        <v>68</v>
      </c>
      <c r="D118" s="117">
        <v>64</v>
      </c>
      <c r="E118" s="117">
        <v>58.1</v>
      </c>
      <c r="F118" s="117">
        <v>67.5</v>
      </c>
      <c r="G118" s="117">
        <v>66.900000000000006</v>
      </c>
      <c r="H118" s="117">
        <v>77</v>
      </c>
      <c r="I118" s="117">
        <v>80.099999999999994</v>
      </c>
      <c r="J118" s="117">
        <v>86.9</v>
      </c>
      <c r="K118" s="117">
        <v>83</v>
      </c>
      <c r="L118" s="117">
        <v>95.4</v>
      </c>
      <c r="M118" s="117">
        <v>85</v>
      </c>
      <c r="N118" s="117">
        <v>81.900000000000006</v>
      </c>
      <c r="O118" s="117">
        <v>88.4</v>
      </c>
      <c r="P118" s="117">
        <v>92.8</v>
      </c>
      <c r="Q118" s="117">
        <v>84</v>
      </c>
      <c r="R118" s="117">
        <v>82</v>
      </c>
      <c r="S118" s="117">
        <v>86</v>
      </c>
      <c r="T118" s="117">
        <v>90</v>
      </c>
      <c r="U118" s="117">
        <v>80</v>
      </c>
      <c r="V118" s="117">
        <v>86</v>
      </c>
      <c r="W118" s="117">
        <v>77</v>
      </c>
      <c r="X118" s="117">
        <v>83</v>
      </c>
      <c r="Y118" s="117">
        <v>81</v>
      </c>
      <c r="Z118" s="117">
        <v>88</v>
      </c>
      <c r="AA118" s="117">
        <v>85</v>
      </c>
      <c r="AB118" s="117">
        <v>78</v>
      </c>
      <c r="AC118" s="117">
        <v>82</v>
      </c>
      <c r="AD118" s="117">
        <v>85.6</v>
      </c>
      <c r="AE118" s="117">
        <v>92.6</v>
      </c>
      <c r="AF118" s="117">
        <v>86.5</v>
      </c>
      <c r="AG118" s="114"/>
      <c r="AH118" s="47">
        <f t="shared" si="40"/>
        <v>95.4</v>
      </c>
      <c r="AI118" s="48">
        <f t="shared" si="41"/>
        <v>58</v>
      </c>
    </row>
    <row r="119" spans="1:37" x14ac:dyDescent="0.25">
      <c r="A119" s="181" t="s">
        <v>264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4"/>
      <c r="AH119" s="47">
        <f t="shared" si="40"/>
        <v>0</v>
      </c>
      <c r="AI119" s="48">
        <f t="shared" si="41"/>
        <v>0</v>
      </c>
    </row>
    <row r="120" spans="1:37" x14ac:dyDescent="0.25">
      <c r="A120" s="182" t="s">
        <v>126</v>
      </c>
      <c r="B120" s="106">
        <v>8</v>
      </c>
      <c r="C120" s="106">
        <v>10</v>
      </c>
      <c r="D120" s="106">
        <v>12</v>
      </c>
      <c r="E120" s="106">
        <v>10.6</v>
      </c>
      <c r="F120" s="106">
        <v>8.9</v>
      </c>
      <c r="G120" s="106">
        <v>8.3000000000000007</v>
      </c>
      <c r="H120" s="106">
        <v>5.6</v>
      </c>
      <c r="I120" s="106">
        <v>-5</v>
      </c>
      <c r="J120" s="106">
        <v>-16.5</v>
      </c>
      <c r="K120" s="106">
        <v>-17.899999999999999</v>
      </c>
      <c r="L120" s="106">
        <v>-23.7</v>
      </c>
      <c r="M120" s="106">
        <v>-21.5</v>
      </c>
      <c r="N120" s="106">
        <v>-17.5</v>
      </c>
      <c r="O120" s="106">
        <v>-16.899999999999999</v>
      </c>
      <c r="P120" s="106">
        <v>-11.8</v>
      </c>
      <c r="Q120" s="106">
        <v>-7.7</v>
      </c>
      <c r="R120" s="106">
        <v>-4.8</v>
      </c>
      <c r="S120" s="106">
        <v>-5</v>
      </c>
      <c r="T120" s="106">
        <v>-5</v>
      </c>
      <c r="U120" s="106">
        <v>-10.5</v>
      </c>
      <c r="V120" s="106">
        <v>-20</v>
      </c>
      <c r="W120" s="106">
        <v>-34.200000000000003</v>
      </c>
      <c r="X120" s="106">
        <v>-36.200000000000003</v>
      </c>
      <c r="Y120" s="106">
        <v>-28</v>
      </c>
      <c r="Z120" s="106">
        <v>-21</v>
      </c>
      <c r="AA120" s="106">
        <v>-15.8</v>
      </c>
      <c r="AB120" s="106">
        <v>-15.8</v>
      </c>
      <c r="AC120" s="106">
        <v>-10.199999999999999</v>
      </c>
      <c r="AD120" s="106">
        <v>-6.5</v>
      </c>
      <c r="AE120" s="106">
        <v>3.3</v>
      </c>
      <c r="AF120" s="106">
        <v>5.5</v>
      </c>
      <c r="AG120" s="114"/>
      <c r="AH120" s="47">
        <f t="shared" si="40"/>
        <v>12</v>
      </c>
      <c r="AI120" s="48">
        <f t="shared" si="41"/>
        <v>-36.200000000000003</v>
      </c>
    </row>
    <row r="121" spans="1:37" x14ac:dyDescent="0.25">
      <c r="A121" s="182" t="s">
        <v>268</v>
      </c>
      <c r="B121" s="106">
        <v>32</v>
      </c>
      <c r="C121" s="106">
        <v>29</v>
      </c>
      <c r="D121" s="106">
        <v>41</v>
      </c>
      <c r="E121" s="106">
        <v>41.1</v>
      </c>
      <c r="F121" s="106">
        <v>41.1</v>
      </c>
      <c r="G121" s="106">
        <v>37</v>
      </c>
      <c r="H121" s="106">
        <v>27.6</v>
      </c>
      <c r="I121" s="106">
        <v>33.4</v>
      </c>
      <c r="J121" s="106">
        <v>7.6</v>
      </c>
      <c r="K121" s="106">
        <v>6.4</v>
      </c>
      <c r="L121" s="106">
        <v>-13</v>
      </c>
      <c r="M121" s="106">
        <v>19.3</v>
      </c>
      <c r="N121" s="106">
        <v>32.1</v>
      </c>
      <c r="O121" s="106">
        <v>21.5</v>
      </c>
      <c r="P121" s="106">
        <v>30.8</v>
      </c>
      <c r="Q121" s="106">
        <v>26</v>
      </c>
      <c r="R121" s="106">
        <v>11.5</v>
      </c>
      <c r="S121" s="106">
        <v>7</v>
      </c>
      <c r="T121" s="106">
        <v>13</v>
      </c>
      <c r="U121" s="106">
        <v>26.1</v>
      </c>
      <c r="V121" s="106">
        <v>12.4</v>
      </c>
      <c r="W121" s="106">
        <v>13.2</v>
      </c>
      <c r="X121" s="106">
        <v>14</v>
      </c>
      <c r="Y121" s="106">
        <v>12</v>
      </c>
      <c r="Z121" s="106">
        <v>8.6</v>
      </c>
      <c r="AA121" s="106">
        <v>17.600000000000001</v>
      </c>
      <c r="AB121" s="106">
        <v>17.600000000000001</v>
      </c>
      <c r="AC121" s="106">
        <v>14.4</v>
      </c>
      <c r="AD121" s="106">
        <v>13</v>
      </c>
      <c r="AE121" s="106">
        <v>4.9000000000000004</v>
      </c>
      <c r="AF121" s="106">
        <v>16.5</v>
      </c>
      <c r="AG121" s="114"/>
      <c r="AH121" s="47">
        <f t="shared" si="40"/>
        <v>41.1</v>
      </c>
      <c r="AI121" s="48">
        <f t="shared" si="41"/>
        <v>-13</v>
      </c>
    </row>
    <row r="122" spans="1:37" x14ac:dyDescent="0.25">
      <c r="A122" s="182" t="s">
        <v>265</v>
      </c>
      <c r="B122" s="106">
        <v>74</v>
      </c>
      <c r="C122" s="106">
        <v>71</v>
      </c>
      <c r="D122" s="106">
        <v>72</v>
      </c>
      <c r="E122" s="106">
        <v>73.5</v>
      </c>
      <c r="F122" s="106">
        <v>74.5</v>
      </c>
      <c r="G122" s="106">
        <v>74</v>
      </c>
      <c r="H122" s="106">
        <v>87</v>
      </c>
      <c r="I122" s="106">
        <v>81.900000000000006</v>
      </c>
      <c r="J122" s="106">
        <v>88.2</v>
      </c>
      <c r="K122" s="106">
        <v>95.8</v>
      </c>
      <c r="L122" s="106">
        <v>102.2</v>
      </c>
      <c r="M122" s="106">
        <v>105.7</v>
      </c>
      <c r="N122" s="106">
        <v>108.3</v>
      </c>
      <c r="O122" s="106">
        <v>99.5</v>
      </c>
      <c r="P122" s="106">
        <v>96</v>
      </c>
      <c r="Q122" s="106">
        <v>86</v>
      </c>
      <c r="R122" s="106">
        <v>79.3</v>
      </c>
      <c r="S122" s="106">
        <v>87</v>
      </c>
      <c r="T122" s="106">
        <v>87</v>
      </c>
      <c r="U122" s="106">
        <v>83</v>
      </c>
      <c r="V122" s="106">
        <v>93</v>
      </c>
      <c r="W122" s="106">
        <v>117</v>
      </c>
      <c r="X122" s="106">
        <v>116</v>
      </c>
      <c r="Y122" s="106">
        <v>100</v>
      </c>
      <c r="Z122" s="106">
        <v>103</v>
      </c>
      <c r="AA122" s="106">
        <v>111.2</v>
      </c>
      <c r="AB122" s="106">
        <v>111.2</v>
      </c>
      <c r="AC122" s="106">
        <v>106.3</v>
      </c>
      <c r="AD122" s="106">
        <v>97.3</v>
      </c>
      <c r="AE122" s="106">
        <v>51.8</v>
      </c>
      <c r="AF122" s="106">
        <v>78.599999999999994</v>
      </c>
      <c r="AG122" s="114"/>
      <c r="AH122" s="47">
        <f t="shared" si="40"/>
        <v>117</v>
      </c>
      <c r="AI122" s="48">
        <f t="shared" si="41"/>
        <v>51.8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83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106">SUM(B124:B228)</f>
        <v>0</v>
      </c>
      <c r="C229" s="137">
        <f t="shared" si="106"/>
        <v>0</v>
      </c>
      <c r="D229" s="137">
        <f t="shared" si="106"/>
        <v>0</v>
      </c>
      <c r="E229" s="137">
        <f t="shared" si="106"/>
        <v>0</v>
      </c>
      <c r="F229" s="137">
        <f t="shared" si="106"/>
        <v>0</v>
      </c>
      <c r="G229" s="137">
        <f t="shared" si="106"/>
        <v>0</v>
      </c>
      <c r="H229" s="137">
        <f t="shared" si="106"/>
        <v>0</v>
      </c>
      <c r="I229" s="137">
        <f t="shared" si="106"/>
        <v>0</v>
      </c>
      <c r="J229" s="137">
        <f t="shared" si="106"/>
        <v>0</v>
      </c>
      <c r="K229" s="137">
        <f t="shared" si="106"/>
        <v>0</v>
      </c>
      <c r="L229" s="137">
        <f t="shared" si="106"/>
        <v>0</v>
      </c>
      <c r="M229" s="137">
        <f t="shared" si="106"/>
        <v>0</v>
      </c>
      <c r="N229" s="137">
        <f t="shared" si="106"/>
        <v>0</v>
      </c>
      <c r="O229" s="137">
        <f t="shared" si="106"/>
        <v>0</v>
      </c>
      <c r="P229" s="137">
        <f t="shared" si="106"/>
        <v>0</v>
      </c>
      <c r="Q229" s="137">
        <f t="shared" si="106"/>
        <v>0</v>
      </c>
      <c r="R229" s="137">
        <f t="shared" si="106"/>
        <v>0</v>
      </c>
      <c r="S229" s="137">
        <f t="shared" si="106"/>
        <v>0</v>
      </c>
      <c r="T229" s="137">
        <f t="shared" si="106"/>
        <v>0</v>
      </c>
      <c r="U229" s="137">
        <f t="shared" si="106"/>
        <v>0</v>
      </c>
      <c r="V229" s="137">
        <f t="shared" si="106"/>
        <v>0</v>
      </c>
      <c r="W229" s="137">
        <f t="shared" si="106"/>
        <v>0</v>
      </c>
      <c r="X229" s="137">
        <f t="shared" si="106"/>
        <v>0</v>
      </c>
      <c r="Y229" s="137">
        <f t="shared" si="106"/>
        <v>0</v>
      </c>
      <c r="Z229" s="137">
        <f t="shared" si="106"/>
        <v>0</v>
      </c>
      <c r="AA229" s="137">
        <f t="shared" si="106"/>
        <v>0</v>
      </c>
      <c r="AB229" s="137">
        <f t="shared" si="106"/>
        <v>0</v>
      </c>
      <c r="AC229" s="137">
        <f t="shared" si="106"/>
        <v>0</v>
      </c>
      <c r="AD229" s="137">
        <f t="shared" si="106"/>
        <v>0</v>
      </c>
      <c r="AE229" s="137">
        <f t="shared" si="106"/>
        <v>0</v>
      </c>
      <c r="AF229" s="138">
        <f t="shared" si="106"/>
        <v>0</v>
      </c>
      <c r="AG229" s="139">
        <f t="shared" si="106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107">AF231</f>
        <v>0.3</v>
      </c>
      <c r="C231" s="141">
        <v>0.3</v>
      </c>
      <c r="D231" s="141">
        <f t="shared" ref="D231:S236" si="108">C231</f>
        <v>0.3</v>
      </c>
      <c r="E231" s="141">
        <f t="shared" si="108"/>
        <v>0.3</v>
      </c>
      <c r="F231" s="141">
        <f t="shared" si="108"/>
        <v>0.3</v>
      </c>
      <c r="G231" s="141">
        <f t="shared" si="108"/>
        <v>0.3</v>
      </c>
      <c r="H231" s="141">
        <f t="shared" si="108"/>
        <v>0.3</v>
      </c>
      <c r="I231" s="141">
        <f t="shared" si="108"/>
        <v>0.3</v>
      </c>
      <c r="J231" s="141">
        <f t="shared" si="108"/>
        <v>0.3</v>
      </c>
      <c r="K231" s="141">
        <f t="shared" si="108"/>
        <v>0.3</v>
      </c>
      <c r="L231" s="141">
        <f t="shared" si="108"/>
        <v>0.3</v>
      </c>
      <c r="M231" s="141">
        <f t="shared" si="108"/>
        <v>0.3</v>
      </c>
      <c r="N231" s="141">
        <f t="shared" si="108"/>
        <v>0.3</v>
      </c>
      <c r="O231" s="141">
        <f t="shared" si="108"/>
        <v>0.3</v>
      </c>
      <c r="P231" s="141">
        <f t="shared" si="108"/>
        <v>0.3</v>
      </c>
      <c r="Q231" s="141">
        <f t="shared" si="108"/>
        <v>0.3</v>
      </c>
      <c r="R231" s="141">
        <f t="shared" si="108"/>
        <v>0.3</v>
      </c>
      <c r="S231" s="141">
        <f t="shared" si="108"/>
        <v>0.3</v>
      </c>
      <c r="T231" s="141">
        <f t="shared" ref="T231:AF236" si="109">S231</f>
        <v>0.3</v>
      </c>
      <c r="U231" s="141">
        <f t="shared" si="109"/>
        <v>0.3</v>
      </c>
      <c r="V231" s="141">
        <f t="shared" si="109"/>
        <v>0.3</v>
      </c>
      <c r="W231" s="141">
        <f t="shared" si="109"/>
        <v>0.3</v>
      </c>
      <c r="X231" s="141">
        <f t="shared" si="109"/>
        <v>0.3</v>
      </c>
      <c r="Y231" s="141">
        <f t="shared" si="109"/>
        <v>0.3</v>
      </c>
      <c r="Z231" s="141">
        <f t="shared" si="109"/>
        <v>0.3</v>
      </c>
      <c r="AA231" s="141">
        <f t="shared" si="109"/>
        <v>0.3</v>
      </c>
      <c r="AB231" s="141">
        <f t="shared" si="109"/>
        <v>0.3</v>
      </c>
      <c r="AC231" s="141">
        <f t="shared" si="109"/>
        <v>0.3</v>
      </c>
      <c r="AD231" s="141">
        <f t="shared" si="109"/>
        <v>0.3</v>
      </c>
      <c r="AE231" s="141">
        <f t="shared" si="109"/>
        <v>0.3</v>
      </c>
      <c r="AF231" s="141">
        <f t="shared" si="109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107"/>
        <v>0.4</v>
      </c>
      <c r="C232" s="129">
        <v>0.4</v>
      </c>
      <c r="D232" s="129">
        <f t="shared" si="108"/>
        <v>0.4</v>
      </c>
      <c r="E232" s="129">
        <f t="shared" si="108"/>
        <v>0.4</v>
      </c>
      <c r="F232" s="129">
        <f t="shared" si="108"/>
        <v>0.4</v>
      </c>
      <c r="G232" s="129">
        <f t="shared" si="108"/>
        <v>0.4</v>
      </c>
      <c r="H232" s="129">
        <f t="shared" si="108"/>
        <v>0.4</v>
      </c>
      <c r="I232" s="129">
        <f t="shared" si="108"/>
        <v>0.4</v>
      </c>
      <c r="J232" s="129">
        <f t="shared" si="108"/>
        <v>0.4</v>
      </c>
      <c r="K232" s="129">
        <f t="shared" si="108"/>
        <v>0.4</v>
      </c>
      <c r="L232" s="129">
        <f t="shared" si="108"/>
        <v>0.4</v>
      </c>
      <c r="M232" s="129">
        <f t="shared" si="108"/>
        <v>0.4</v>
      </c>
      <c r="N232" s="129">
        <f t="shared" si="108"/>
        <v>0.4</v>
      </c>
      <c r="O232" s="129">
        <f t="shared" si="108"/>
        <v>0.4</v>
      </c>
      <c r="P232" s="129">
        <f t="shared" si="108"/>
        <v>0.4</v>
      </c>
      <c r="Q232" s="129">
        <f t="shared" si="108"/>
        <v>0.4</v>
      </c>
      <c r="R232" s="129">
        <f t="shared" si="108"/>
        <v>0.4</v>
      </c>
      <c r="S232" s="129">
        <f t="shared" si="108"/>
        <v>0.4</v>
      </c>
      <c r="T232" s="129">
        <f t="shared" si="109"/>
        <v>0.4</v>
      </c>
      <c r="U232" s="129">
        <f t="shared" si="109"/>
        <v>0.4</v>
      </c>
      <c r="V232" s="129">
        <f t="shared" si="109"/>
        <v>0.4</v>
      </c>
      <c r="W232" s="129">
        <f t="shared" si="109"/>
        <v>0.4</v>
      </c>
      <c r="X232" s="129">
        <f t="shared" si="109"/>
        <v>0.4</v>
      </c>
      <c r="Y232" s="129">
        <f t="shared" si="109"/>
        <v>0.4</v>
      </c>
      <c r="Z232" s="129">
        <f t="shared" si="109"/>
        <v>0.4</v>
      </c>
      <c r="AA232" s="129">
        <f t="shared" si="109"/>
        <v>0.4</v>
      </c>
      <c r="AB232" s="129">
        <f t="shared" si="109"/>
        <v>0.4</v>
      </c>
      <c r="AC232" s="129">
        <f t="shared" si="109"/>
        <v>0.4</v>
      </c>
      <c r="AD232" s="129">
        <f t="shared" si="109"/>
        <v>0.4</v>
      </c>
      <c r="AE232" s="129">
        <f t="shared" si="109"/>
        <v>0.4</v>
      </c>
      <c r="AF232" s="129">
        <f t="shared" si="109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107"/>
        <v>1.5</v>
      </c>
      <c r="C233" s="129">
        <v>1.5</v>
      </c>
      <c r="D233" s="129">
        <f t="shared" si="108"/>
        <v>1.5</v>
      </c>
      <c r="E233" s="129">
        <f t="shared" si="108"/>
        <v>1.5</v>
      </c>
      <c r="F233" s="129">
        <f t="shared" si="108"/>
        <v>1.5</v>
      </c>
      <c r="G233" s="129">
        <f t="shared" si="108"/>
        <v>1.5</v>
      </c>
      <c r="H233" s="129">
        <f t="shared" si="108"/>
        <v>1.5</v>
      </c>
      <c r="I233" s="129">
        <f t="shared" si="108"/>
        <v>1.5</v>
      </c>
      <c r="J233" s="129">
        <f t="shared" si="108"/>
        <v>1.5</v>
      </c>
      <c r="K233" s="129">
        <f t="shared" si="108"/>
        <v>1.5</v>
      </c>
      <c r="L233" s="129">
        <f t="shared" si="108"/>
        <v>1.5</v>
      </c>
      <c r="M233" s="129">
        <f t="shared" si="108"/>
        <v>1.5</v>
      </c>
      <c r="N233" s="129">
        <f t="shared" si="108"/>
        <v>1.5</v>
      </c>
      <c r="O233" s="129">
        <f t="shared" si="108"/>
        <v>1.5</v>
      </c>
      <c r="P233" s="129">
        <f t="shared" si="108"/>
        <v>1.5</v>
      </c>
      <c r="Q233" s="129">
        <f t="shared" si="108"/>
        <v>1.5</v>
      </c>
      <c r="R233" s="129">
        <f t="shared" si="108"/>
        <v>1.5</v>
      </c>
      <c r="S233" s="129">
        <f t="shared" si="108"/>
        <v>1.5</v>
      </c>
      <c r="T233" s="129">
        <f t="shared" si="109"/>
        <v>1.5</v>
      </c>
      <c r="U233" s="129">
        <f t="shared" si="109"/>
        <v>1.5</v>
      </c>
      <c r="V233" s="129">
        <f t="shared" si="109"/>
        <v>1.5</v>
      </c>
      <c r="W233" s="129">
        <f t="shared" si="109"/>
        <v>1.5</v>
      </c>
      <c r="X233" s="129">
        <f t="shared" si="109"/>
        <v>1.5</v>
      </c>
      <c r="Y233" s="129">
        <f t="shared" si="109"/>
        <v>1.5</v>
      </c>
      <c r="Z233" s="129">
        <f t="shared" si="109"/>
        <v>1.5</v>
      </c>
      <c r="AA233" s="129">
        <f t="shared" si="109"/>
        <v>1.5</v>
      </c>
      <c r="AB233" s="129">
        <f t="shared" si="109"/>
        <v>1.5</v>
      </c>
      <c r="AC233" s="129">
        <f t="shared" si="109"/>
        <v>1.5</v>
      </c>
      <c r="AD233" s="129">
        <f t="shared" si="109"/>
        <v>1.5</v>
      </c>
      <c r="AE233" s="129">
        <f t="shared" si="109"/>
        <v>1.5</v>
      </c>
      <c r="AF233" s="129">
        <f t="shared" si="109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107"/>
        <v>0.3</v>
      </c>
      <c r="C234" s="129">
        <v>0.3</v>
      </c>
      <c r="D234" s="129">
        <f t="shared" si="108"/>
        <v>0.3</v>
      </c>
      <c r="E234" s="129">
        <f t="shared" si="108"/>
        <v>0.3</v>
      </c>
      <c r="F234" s="129">
        <f t="shared" si="108"/>
        <v>0.3</v>
      </c>
      <c r="G234" s="129">
        <f t="shared" si="108"/>
        <v>0.3</v>
      </c>
      <c r="H234" s="129">
        <f t="shared" si="108"/>
        <v>0.3</v>
      </c>
      <c r="I234" s="129">
        <f t="shared" si="108"/>
        <v>0.3</v>
      </c>
      <c r="J234" s="129">
        <f t="shared" si="108"/>
        <v>0.3</v>
      </c>
      <c r="K234" s="129">
        <f t="shared" si="108"/>
        <v>0.3</v>
      </c>
      <c r="L234" s="129">
        <f t="shared" si="108"/>
        <v>0.3</v>
      </c>
      <c r="M234" s="129">
        <f t="shared" si="108"/>
        <v>0.3</v>
      </c>
      <c r="N234" s="129">
        <f t="shared" si="108"/>
        <v>0.3</v>
      </c>
      <c r="O234" s="129">
        <f t="shared" si="108"/>
        <v>0.3</v>
      </c>
      <c r="P234" s="129">
        <f t="shared" si="108"/>
        <v>0.3</v>
      </c>
      <c r="Q234" s="129">
        <f t="shared" si="108"/>
        <v>0.3</v>
      </c>
      <c r="R234" s="129">
        <f t="shared" si="108"/>
        <v>0.3</v>
      </c>
      <c r="S234" s="129">
        <f t="shared" si="108"/>
        <v>0.3</v>
      </c>
      <c r="T234" s="129">
        <f t="shared" si="109"/>
        <v>0.3</v>
      </c>
      <c r="U234" s="129">
        <f t="shared" si="109"/>
        <v>0.3</v>
      </c>
      <c r="V234" s="129">
        <f t="shared" si="109"/>
        <v>0.3</v>
      </c>
      <c r="W234" s="129">
        <f t="shared" si="109"/>
        <v>0.3</v>
      </c>
      <c r="X234" s="129">
        <f t="shared" si="109"/>
        <v>0.3</v>
      </c>
      <c r="Y234" s="129">
        <f t="shared" si="109"/>
        <v>0.3</v>
      </c>
      <c r="Z234" s="129">
        <f t="shared" si="109"/>
        <v>0.3</v>
      </c>
      <c r="AA234" s="129">
        <f t="shared" si="109"/>
        <v>0.3</v>
      </c>
      <c r="AB234" s="129">
        <f t="shared" si="109"/>
        <v>0.3</v>
      </c>
      <c r="AC234" s="129">
        <f t="shared" si="109"/>
        <v>0.3</v>
      </c>
      <c r="AD234" s="129">
        <f t="shared" si="109"/>
        <v>0.3</v>
      </c>
      <c r="AE234" s="129">
        <f t="shared" si="109"/>
        <v>0.3</v>
      </c>
      <c r="AF234" s="129">
        <f t="shared" si="109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107"/>
        <v>0.4</v>
      </c>
      <c r="C235" s="129">
        <v>0.4</v>
      </c>
      <c r="D235" s="129">
        <f t="shared" si="108"/>
        <v>0.4</v>
      </c>
      <c r="E235" s="129">
        <f t="shared" si="108"/>
        <v>0.4</v>
      </c>
      <c r="F235" s="129">
        <f t="shared" si="108"/>
        <v>0.4</v>
      </c>
      <c r="G235" s="129">
        <f t="shared" si="108"/>
        <v>0.4</v>
      </c>
      <c r="H235" s="129">
        <f t="shared" si="108"/>
        <v>0.4</v>
      </c>
      <c r="I235" s="129">
        <f t="shared" si="108"/>
        <v>0.4</v>
      </c>
      <c r="J235" s="129">
        <f t="shared" si="108"/>
        <v>0.4</v>
      </c>
      <c r="K235" s="129">
        <f t="shared" si="108"/>
        <v>0.4</v>
      </c>
      <c r="L235" s="129">
        <f t="shared" si="108"/>
        <v>0.4</v>
      </c>
      <c r="M235" s="129">
        <f t="shared" si="108"/>
        <v>0.4</v>
      </c>
      <c r="N235" s="129">
        <f t="shared" si="108"/>
        <v>0.4</v>
      </c>
      <c r="O235" s="129">
        <f t="shared" si="108"/>
        <v>0.4</v>
      </c>
      <c r="P235" s="129">
        <f t="shared" si="108"/>
        <v>0.4</v>
      </c>
      <c r="Q235" s="129">
        <f t="shared" si="108"/>
        <v>0.4</v>
      </c>
      <c r="R235" s="129">
        <f t="shared" si="108"/>
        <v>0.4</v>
      </c>
      <c r="S235" s="129">
        <f t="shared" si="108"/>
        <v>0.4</v>
      </c>
      <c r="T235" s="129">
        <f t="shared" si="109"/>
        <v>0.4</v>
      </c>
      <c r="U235" s="129">
        <f t="shared" si="109"/>
        <v>0.4</v>
      </c>
      <c r="V235" s="129">
        <f t="shared" si="109"/>
        <v>0.4</v>
      </c>
      <c r="W235" s="129">
        <f t="shared" si="109"/>
        <v>0.4</v>
      </c>
      <c r="X235" s="129">
        <f t="shared" si="109"/>
        <v>0.4</v>
      </c>
      <c r="Y235" s="129">
        <f t="shared" si="109"/>
        <v>0.4</v>
      </c>
      <c r="Z235" s="129">
        <f t="shared" si="109"/>
        <v>0.4</v>
      </c>
      <c r="AA235" s="129">
        <f t="shared" si="109"/>
        <v>0.4</v>
      </c>
      <c r="AB235" s="129">
        <f t="shared" si="109"/>
        <v>0.4</v>
      </c>
      <c r="AC235" s="129">
        <f t="shared" si="109"/>
        <v>0.4</v>
      </c>
      <c r="AD235" s="129">
        <f t="shared" si="109"/>
        <v>0.4</v>
      </c>
      <c r="AE235" s="129">
        <f t="shared" si="109"/>
        <v>0.4</v>
      </c>
      <c r="AF235" s="129">
        <f t="shared" si="109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107"/>
        <v>0.64</v>
      </c>
      <c r="C236" s="133">
        <v>0.64</v>
      </c>
      <c r="D236" s="133">
        <f t="shared" si="108"/>
        <v>0.64</v>
      </c>
      <c r="E236" s="133">
        <f t="shared" si="108"/>
        <v>0.64</v>
      </c>
      <c r="F236" s="133">
        <f t="shared" si="108"/>
        <v>0.64</v>
      </c>
      <c r="G236" s="133">
        <f t="shared" si="108"/>
        <v>0.64</v>
      </c>
      <c r="H236" s="133">
        <f t="shared" si="108"/>
        <v>0.64</v>
      </c>
      <c r="I236" s="133">
        <f t="shared" si="108"/>
        <v>0.64</v>
      </c>
      <c r="J236" s="133">
        <f t="shared" si="108"/>
        <v>0.64</v>
      </c>
      <c r="K236" s="133">
        <f t="shared" si="108"/>
        <v>0.64</v>
      </c>
      <c r="L236" s="133">
        <f t="shared" si="108"/>
        <v>0.64</v>
      </c>
      <c r="M236" s="133">
        <f t="shared" si="108"/>
        <v>0.64</v>
      </c>
      <c r="N236" s="133">
        <f t="shared" si="108"/>
        <v>0.64</v>
      </c>
      <c r="O236" s="133">
        <f t="shared" si="108"/>
        <v>0.64</v>
      </c>
      <c r="P236" s="133">
        <f t="shared" si="108"/>
        <v>0.64</v>
      </c>
      <c r="Q236" s="133">
        <f t="shared" si="108"/>
        <v>0.64</v>
      </c>
      <c r="R236" s="133">
        <f t="shared" si="108"/>
        <v>0.64</v>
      </c>
      <c r="S236" s="133">
        <f t="shared" si="108"/>
        <v>0.64</v>
      </c>
      <c r="T236" s="133">
        <f t="shared" si="109"/>
        <v>0.64</v>
      </c>
      <c r="U236" s="133">
        <f t="shared" si="109"/>
        <v>0.64</v>
      </c>
      <c r="V236" s="133">
        <f t="shared" si="109"/>
        <v>0.64</v>
      </c>
      <c r="W236" s="133">
        <f t="shared" si="109"/>
        <v>0.64</v>
      </c>
      <c r="X236" s="133">
        <f t="shared" si="109"/>
        <v>0.64</v>
      </c>
      <c r="Y236" s="133">
        <f t="shared" si="109"/>
        <v>0.64</v>
      </c>
      <c r="Z236" s="133">
        <f t="shared" si="109"/>
        <v>0.64</v>
      </c>
      <c r="AA236" s="133">
        <f t="shared" si="109"/>
        <v>0.64</v>
      </c>
      <c r="AB236" s="133">
        <f t="shared" si="109"/>
        <v>0.64</v>
      </c>
      <c r="AC236" s="133">
        <f t="shared" si="109"/>
        <v>0.64</v>
      </c>
      <c r="AD236" s="133">
        <f t="shared" si="109"/>
        <v>0.64</v>
      </c>
      <c r="AE236" s="133">
        <f t="shared" si="109"/>
        <v>0.64</v>
      </c>
      <c r="AF236" s="133">
        <f t="shared" si="109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110">SUM(B231:B236)</f>
        <v>3.54</v>
      </c>
      <c r="C237" s="137">
        <f t="shared" si="110"/>
        <v>3.54</v>
      </c>
      <c r="D237" s="137">
        <f t="shared" si="110"/>
        <v>3.54</v>
      </c>
      <c r="E237" s="137">
        <f t="shared" si="110"/>
        <v>3.54</v>
      </c>
      <c r="F237" s="137">
        <f t="shared" si="110"/>
        <v>3.54</v>
      </c>
      <c r="G237" s="137">
        <f t="shared" si="110"/>
        <v>3.54</v>
      </c>
      <c r="H237" s="137">
        <f t="shared" si="110"/>
        <v>3.54</v>
      </c>
      <c r="I237" s="137">
        <f t="shared" si="110"/>
        <v>3.54</v>
      </c>
      <c r="J237" s="137">
        <f t="shared" si="110"/>
        <v>3.54</v>
      </c>
      <c r="K237" s="137">
        <f t="shared" si="110"/>
        <v>3.54</v>
      </c>
      <c r="L237" s="137">
        <f t="shared" si="110"/>
        <v>3.54</v>
      </c>
      <c r="M237" s="137">
        <f t="shared" si="110"/>
        <v>3.54</v>
      </c>
      <c r="N237" s="137">
        <f t="shared" si="110"/>
        <v>3.54</v>
      </c>
      <c r="O237" s="137">
        <f t="shared" si="110"/>
        <v>3.54</v>
      </c>
      <c r="P237" s="137">
        <f t="shared" si="110"/>
        <v>3.54</v>
      </c>
      <c r="Q237" s="137">
        <f t="shared" si="110"/>
        <v>3.54</v>
      </c>
      <c r="R237" s="137">
        <f t="shared" si="110"/>
        <v>3.54</v>
      </c>
      <c r="S237" s="137">
        <f t="shared" si="110"/>
        <v>3.54</v>
      </c>
      <c r="T237" s="137">
        <f t="shared" si="110"/>
        <v>3.54</v>
      </c>
      <c r="U237" s="137">
        <f t="shared" si="110"/>
        <v>3.54</v>
      </c>
      <c r="V237" s="137">
        <f t="shared" si="110"/>
        <v>3.54</v>
      </c>
      <c r="W237" s="137">
        <f t="shared" si="110"/>
        <v>3.54</v>
      </c>
      <c r="X237" s="137">
        <f t="shared" si="110"/>
        <v>3.54</v>
      </c>
      <c r="Y237" s="137">
        <f t="shared" si="110"/>
        <v>3.54</v>
      </c>
      <c r="Z237" s="137">
        <f t="shared" si="110"/>
        <v>3.54</v>
      </c>
      <c r="AA237" s="137">
        <f t="shared" si="110"/>
        <v>3.54</v>
      </c>
      <c r="AB237" s="137">
        <f t="shared" si="110"/>
        <v>3.54</v>
      </c>
      <c r="AC237" s="137">
        <f t="shared" si="110"/>
        <v>3.54</v>
      </c>
      <c r="AD237" s="137">
        <f t="shared" si="110"/>
        <v>3.54</v>
      </c>
      <c r="AE237" s="137">
        <f t="shared" si="110"/>
        <v>3.54</v>
      </c>
      <c r="AF237" s="137">
        <f t="shared" si="110"/>
        <v>3.54</v>
      </c>
      <c r="AG237" s="146">
        <f t="shared" si="110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1655.7599999999998</v>
      </c>
      <c r="C246" s="162">
        <f>INDEX(G9:N9,1,MATCH(MAX(G91:N91),G91:N91,0))</f>
        <v>0.375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5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2080/09/5)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2080/09/5)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111">B91</f>
        <v>1103.8600000000001</v>
      </c>
      <c r="U251" s="171">
        <f t="shared" si="111"/>
        <v>1113.26</v>
      </c>
      <c r="V251" s="171">
        <f t="shared" si="111"/>
        <v>1106.8599999999999</v>
      </c>
      <c r="W251" s="171">
        <f t="shared" si="111"/>
        <v>1111.76</v>
      </c>
      <c r="X251" s="171">
        <f t="shared" si="111"/>
        <v>1131.46</v>
      </c>
      <c r="Y251" s="171">
        <f t="shared" si="111"/>
        <v>1227.96</v>
      </c>
      <c r="Z251" s="171">
        <f t="shared" si="111"/>
        <v>1384.1599999999999</v>
      </c>
      <c r="AA251" s="171">
        <f t="shared" si="111"/>
        <v>1475.1599999999999</v>
      </c>
      <c r="AB251" s="171">
        <f t="shared" si="111"/>
        <v>1634.96</v>
      </c>
      <c r="AC251" s="171">
        <f t="shared" si="111"/>
        <v>1639.66</v>
      </c>
      <c r="AD251" s="171">
        <f t="shared" si="111"/>
        <v>1633.56</v>
      </c>
      <c r="AE251" s="171">
        <f t="shared" si="111"/>
        <v>1652.46</v>
      </c>
      <c r="AF251" s="171">
        <f t="shared" si="111"/>
        <v>1655.7599999999998</v>
      </c>
      <c r="AG251" s="171">
        <f t="shared" si="111"/>
        <v>1585.06</v>
      </c>
      <c r="AH251" s="171">
        <f t="shared" si="111"/>
        <v>1482.7600000000002</v>
      </c>
      <c r="AI251" s="171">
        <f t="shared" si="111"/>
        <v>1415.6599999999999</v>
      </c>
      <c r="AJ251" s="171">
        <f t="shared" si="111"/>
        <v>1344.6599999999999</v>
      </c>
      <c r="AK251" s="171">
        <f t="shared" si="111"/>
        <v>1316.76</v>
      </c>
      <c r="AL251" s="171">
        <f t="shared" si="111"/>
        <v>1352.76</v>
      </c>
      <c r="AM251" s="171">
        <f t="shared" si="111"/>
        <v>1385.29</v>
      </c>
      <c r="AN251" s="171">
        <f t="shared" si="111"/>
        <v>1419.66</v>
      </c>
      <c r="AO251" s="171">
        <f t="shared" si="111"/>
        <v>1574.3600000000001</v>
      </c>
      <c r="AP251" s="171">
        <f t="shared" si="111"/>
        <v>1798.76</v>
      </c>
      <c r="AQ251" s="171">
        <f t="shared" si="111"/>
        <v>1745.76</v>
      </c>
      <c r="AR251" s="171">
        <f t="shared" si="111"/>
        <v>1592.76</v>
      </c>
      <c r="AS251" s="171">
        <f t="shared" si="111"/>
        <v>1616.76</v>
      </c>
      <c r="AT251" s="171">
        <f t="shared" si="111"/>
        <v>1587.0600000000002</v>
      </c>
      <c r="AU251" s="171">
        <f t="shared" si="111"/>
        <v>1521.26</v>
      </c>
      <c r="AV251" s="171">
        <f t="shared" si="111"/>
        <v>1419.66</v>
      </c>
      <c r="AW251" s="171">
        <f t="shared" si="111"/>
        <v>1272.3599999999999</v>
      </c>
      <c r="AX251" s="171">
        <f t="shared" si="111"/>
        <v>1160.5600000000002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112">C236</f>
        <v>0.64</v>
      </c>
      <c r="C272" s="174">
        <f t="shared" si="112"/>
        <v>0.64</v>
      </c>
      <c r="D272" s="174">
        <f t="shared" si="112"/>
        <v>0.64</v>
      </c>
      <c r="E272" s="174">
        <f t="shared" si="112"/>
        <v>0.64</v>
      </c>
      <c r="F272" s="174">
        <f t="shared" si="112"/>
        <v>0.64</v>
      </c>
      <c r="G272" s="174">
        <f t="shared" si="112"/>
        <v>0.64</v>
      </c>
      <c r="H272" s="174">
        <f t="shared" si="112"/>
        <v>0.64</v>
      </c>
      <c r="I272" s="174">
        <f t="shared" si="112"/>
        <v>0.64</v>
      </c>
      <c r="J272" s="174">
        <f t="shared" si="112"/>
        <v>0.64</v>
      </c>
      <c r="K272" s="174">
        <f t="shared" si="112"/>
        <v>0.64</v>
      </c>
      <c r="L272" s="174">
        <f t="shared" si="112"/>
        <v>0.64</v>
      </c>
      <c r="M272" s="174">
        <f t="shared" si="112"/>
        <v>0.64</v>
      </c>
      <c r="N272" s="174">
        <f t="shared" si="112"/>
        <v>0.64</v>
      </c>
      <c r="O272" s="174">
        <f t="shared" si="112"/>
        <v>0.64</v>
      </c>
      <c r="P272" s="174">
        <f t="shared" si="112"/>
        <v>0.64</v>
      </c>
      <c r="Q272" s="174">
        <f t="shared" si="112"/>
        <v>0.64</v>
      </c>
      <c r="R272" s="174">
        <f t="shared" si="112"/>
        <v>0.64</v>
      </c>
      <c r="S272" s="174">
        <f t="shared" si="112"/>
        <v>0.64</v>
      </c>
      <c r="T272" s="174">
        <f t="shared" si="112"/>
        <v>0.64</v>
      </c>
      <c r="U272" s="174">
        <f t="shared" si="112"/>
        <v>0.64</v>
      </c>
      <c r="V272" s="174">
        <f t="shared" si="112"/>
        <v>0.64</v>
      </c>
      <c r="W272" s="174">
        <f t="shared" si="112"/>
        <v>0.64</v>
      </c>
      <c r="X272" s="174">
        <f t="shared" si="112"/>
        <v>0.64</v>
      </c>
      <c r="Y272" s="174">
        <f t="shared" si="112"/>
        <v>0.64</v>
      </c>
      <c r="Z272" s="174">
        <f t="shared" si="112"/>
        <v>0.64</v>
      </c>
      <c r="AA272" s="174">
        <f t="shared" si="112"/>
        <v>0.64</v>
      </c>
      <c r="AB272" s="174">
        <f t="shared" si="112"/>
        <v>0.64</v>
      </c>
      <c r="AC272" s="174">
        <f t="shared" si="112"/>
        <v>0.64</v>
      </c>
      <c r="AD272" s="174">
        <f t="shared" si="112"/>
        <v>0.64</v>
      </c>
      <c r="AE272" s="174">
        <f t="shared" si="112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113">IF(B240&lt;100,"",B240-520)</f>
        <v/>
      </c>
      <c r="C273" s="175" t="str">
        <f t="shared" si="113"/>
        <v/>
      </c>
      <c r="D273" s="175" t="str">
        <f t="shared" si="113"/>
        <v/>
      </c>
      <c r="E273" s="175" t="str">
        <f t="shared" si="113"/>
        <v/>
      </c>
      <c r="F273" s="175" t="str">
        <f t="shared" si="113"/>
        <v/>
      </c>
      <c r="G273" s="175" t="str">
        <f t="shared" si="113"/>
        <v/>
      </c>
      <c r="H273" s="175" t="str">
        <f t="shared" si="113"/>
        <v/>
      </c>
      <c r="I273" s="175" t="str">
        <f t="shared" si="113"/>
        <v/>
      </c>
      <c r="J273" s="175" t="str">
        <f t="shared" si="113"/>
        <v/>
      </c>
      <c r="K273" s="175" t="str">
        <f t="shared" si="113"/>
        <v/>
      </c>
      <c r="L273" s="175" t="str">
        <f t="shared" si="113"/>
        <v/>
      </c>
      <c r="M273" s="175" t="str">
        <f t="shared" si="113"/>
        <v/>
      </c>
      <c r="N273" s="175" t="str">
        <f t="shared" si="113"/>
        <v/>
      </c>
      <c r="O273" s="175" t="str">
        <f t="shared" si="113"/>
        <v/>
      </c>
      <c r="P273" s="175" t="str">
        <f t="shared" si="113"/>
        <v/>
      </c>
      <c r="Q273" s="175" t="str">
        <f t="shared" si="113"/>
        <v/>
      </c>
      <c r="R273" s="175" t="str">
        <f t="shared" si="113"/>
        <v/>
      </c>
      <c r="S273" s="175" t="str">
        <f t="shared" si="113"/>
        <v/>
      </c>
      <c r="T273" s="175" t="str">
        <f t="shared" si="113"/>
        <v/>
      </c>
      <c r="U273" s="175" t="str">
        <f t="shared" si="113"/>
        <v/>
      </c>
      <c r="V273" s="175" t="str">
        <f t="shared" si="113"/>
        <v/>
      </c>
      <c r="W273" s="175" t="str">
        <f t="shared" si="113"/>
        <v/>
      </c>
      <c r="X273" s="175" t="str">
        <f t="shared" si="113"/>
        <v/>
      </c>
      <c r="Y273" s="175" t="str">
        <f t="shared" si="113"/>
        <v/>
      </c>
      <c r="Z273" s="175" t="str">
        <f t="shared" si="113"/>
        <v/>
      </c>
      <c r="AA273" s="175" t="str">
        <f t="shared" si="113"/>
        <v/>
      </c>
      <c r="AB273" s="175" t="str">
        <f t="shared" si="113"/>
        <v/>
      </c>
      <c r="AC273" s="175" t="str">
        <f t="shared" si="113"/>
        <v/>
      </c>
      <c r="AD273" s="175" t="str">
        <f t="shared" si="113"/>
        <v/>
      </c>
      <c r="AE273" s="175" t="str">
        <f t="shared" si="113"/>
        <v/>
      </c>
      <c r="AF273" s="175" t="str">
        <f t="shared" si="113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114">IF(B241&lt;100,"",B241-620)</f>
        <v/>
      </c>
      <c r="C274" s="175" t="str">
        <f t="shared" si="114"/>
        <v/>
      </c>
      <c r="D274" s="175" t="str">
        <f t="shared" si="114"/>
        <v/>
      </c>
      <c r="E274" s="175" t="str">
        <f t="shared" si="114"/>
        <v/>
      </c>
      <c r="F274" s="175" t="str">
        <f t="shared" si="114"/>
        <v/>
      </c>
      <c r="G274" s="175" t="str">
        <f t="shared" si="114"/>
        <v/>
      </c>
      <c r="H274" s="175" t="str">
        <f t="shared" si="114"/>
        <v/>
      </c>
      <c r="I274" s="175" t="str">
        <f t="shared" si="114"/>
        <v/>
      </c>
      <c r="J274" s="175" t="str">
        <f t="shared" si="114"/>
        <v/>
      </c>
      <c r="K274" s="175" t="str">
        <f t="shared" si="114"/>
        <v/>
      </c>
      <c r="L274" s="175" t="str">
        <f t="shared" si="114"/>
        <v/>
      </c>
      <c r="M274" s="175" t="str">
        <f t="shared" si="114"/>
        <v/>
      </c>
      <c r="N274" s="175" t="str">
        <f t="shared" si="114"/>
        <v/>
      </c>
      <c r="O274" s="175" t="str">
        <f t="shared" si="114"/>
        <v/>
      </c>
      <c r="P274" s="175" t="str">
        <f t="shared" si="114"/>
        <v/>
      </c>
      <c r="Q274" s="175" t="str">
        <f t="shared" si="114"/>
        <v/>
      </c>
      <c r="R274" s="175" t="str">
        <f t="shared" si="114"/>
        <v/>
      </c>
      <c r="S274" s="175" t="str">
        <f t="shared" si="114"/>
        <v/>
      </c>
      <c r="T274" s="175" t="str">
        <f t="shared" si="114"/>
        <v/>
      </c>
      <c r="U274" s="175" t="str">
        <f t="shared" si="114"/>
        <v/>
      </c>
      <c r="V274" s="175" t="str">
        <f t="shared" si="114"/>
        <v/>
      </c>
      <c r="W274" s="175" t="str">
        <f t="shared" si="114"/>
        <v/>
      </c>
      <c r="X274" s="175" t="str">
        <f t="shared" si="114"/>
        <v/>
      </c>
      <c r="Y274" s="175" t="str">
        <f t="shared" si="114"/>
        <v/>
      </c>
      <c r="Z274" s="175" t="str">
        <f t="shared" si="114"/>
        <v/>
      </c>
      <c r="AA274" s="175" t="str">
        <f t="shared" si="114"/>
        <v/>
      </c>
      <c r="AB274" s="175" t="str">
        <f t="shared" si="114"/>
        <v/>
      </c>
      <c r="AC274" s="175" t="str">
        <f t="shared" si="114"/>
        <v/>
      </c>
      <c r="AD274" s="175" t="str">
        <f t="shared" si="114"/>
        <v/>
      </c>
      <c r="AE274" s="175" t="str">
        <f t="shared" si="114"/>
        <v/>
      </c>
      <c r="AF274" s="175" t="str">
        <f t="shared" si="114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115">IF(B242&lt;100,"",B242-330)</f>
        <v/>
      </c>
      <c r="C275" s="175" t="str">
        <f t="shared" si="115"/>
        <v/>
      </c>
      <c r="D275" s="175" t="str">
        <f t="shared" si="115"/>
        <v/>
      </c>
      <c r="E275" s="175" t="str">
        <f t="shared" si="115"/>
        <v/>
      </c>
      <c r="F275" s="175" t="str">
        <f t="shared" si="115"/>
        <v/>
      </c>
      <c r="G275" s="175" t="str">
        <f t="shared" si="115"/>
        <v/>
      </c>
      <c r="H275" s="175" t="str">
        <f t="shared" si="115"/>
        <v/>
      </c>
      <c r="I275" s="175" t="str">
        <f t="shared" si="115"/>
        <v/>
      </c>
      <c r="J275" s="175" t="str">
        <f t="shared" si="115"/>
        <v/>
      </c>
      <c r="K275" s="175" t="str">
        <f t="shared" si="115"/>
        <v/>
      </c>
      <c r="L275" s="175" t="str">
        <f t="shared" si="115"/>
        <v/>
      </c>
      <c r="M275" s="175" t="str">
        <f t="shared" si="115"/>
        <v/>
      </c>
      <c r="N275" s="175" t="str">
        <f t="shared" si="115"/>
        <v/>
      </c>
      <c r="O275" s="175" t="str">
        <f t="shared" si="115"/>
        <v/>
      </c>
      <c r="P275" s="175" t="str">
        <f t="shared" si="115"/>
        <v/>
      </c>
      <c r="Q275" s="175" t="str">
        <f t="shared" si="115"/>
        <v/>
      </c>
      <c r="R275" s="175" t="str">
        <f t="shared" si="115"/>
        <v/>
      </c>
      <c r="S275" s="175" t="str">
        <f t="shared" si="115"/>
        <v/>
      </c>
      <c r="T275" s="175" t="str">
        <f t="shared" si="115"/>
        <v/>
      </c>
      <c r="U275" s="175" t="str">
        <f t="shared" si="115"/>
        <v/>
      </c>
      <c r="V275" s="175" t="str">
        <f t="shared" si="115"/>
        <v/>
      </c>
      <c r="W275" s="175" t="str">
        <f t="shared" si="115"/>
        <v/>
      </c>
      <c r="X275" s="175" t="str">
        <f t="shared" si="115"/>
        <v/>
      </c>
      <c r="Y275" s="175" t="str">
        <f t="shared" si="115"/>
        <v/>
      </c>
      <c r="Z275" s="175" t="str">
        <f t="shared" si="115"/>
        <v/>
      </c>
      <c r="AA275" s="175" t="str">
        <f t="shared" si="115"/>
        <v/>
      </c>
      <c r="AB275" s="175" t="str">
        <f t="shared" si="115"/>
        <v/>
      </c>
      <c r="AC275" s="175" t="str">
        <f t="shared" si="115"/>
        <v/>
      </c>
      <c r="AD275" s="175" t="str">
        <f t="shared" si="115"/>
        <v/>
      </c>
      <c r="AE275" s="175" t="str">
        <f t="shared" si="115"/>
        <v/>
      </c>
      <c r="AF275" s="175" t="str">
        <f t="shared" si="115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116">IF(B243&lt;100,"",B243-1500)</f>
        <v/>
      </c>
      <c r="C276" s="175" t="str">
        <f t="shared" si="116"/>
        <v/>
      </c>
      <c r="D276" s="175" t="str">
        <f t="shared" si="116"/>
        <v/>
      </c>
      <c r="E276" s="175" t="str">
        <f t="shared" si="116"/>
        <v/>
      </c>
      <c r="F276" s="175" t="str">
        <f t="shared" si="116"/>
        <v/>
      </c>
      <c r="G276" s="175" t="str">
        <f t="shared" si="116"/>
        <v/>
      </c>
      <c r="H276" s="175" t="str">
        <f t="shared" si="116"/>
        <v/>
      </c>
      <c r="I276" s="175" t="str">
        <f t="shared" si="116"/>
        <v/>
      </c>
      <c r="J276" s="175" t="str">
        <f t="shared" si="116"/>
        <v/>
      </c>
      <c r="K276" s="175" t="str">
        <f t="shared" si="116"/>
        <v/>
      </c>
      <c r="L276" s="175" t="str">
        <f t="shared" si="116"/>
        <v/>
      </c>
      <c r="M276" s="175" t="str">
        <f t="shared" si="116"/>
        <v/>
      </c>
      <c r="N276" s="175" t="str">
        <f t="shared" si="116"/>
        <v/>
      </c>
      <c r="O276" s="175" t="str">
        <f t="shared" si="116"/>
        <v/>
      </c>
      <c r="P276" s="175" t="str">
        <f t="shared" si="116"/>
        <v/>
      </c>
      <c r="Q276" s="175" t="str">
        <f t="shared" si="116"/>
        <v/>
      </c>
      <c r="R276" s="175" t="str">
        <f t="shared" si="116"/>
        <v/>
      </c>
      <c r="S276" s="175" t="str">
        <f t="shared" si="116"/>
        <v/>
      </c>
      <c r="T276" s="175" t="str">
        <f t="shared" si="116"/>
        <v/>
      </c>
      <c r="U276" s="175" t="str">
        <f t="shared" si="116"/>
        <v/>
      </c>
      <c r="V276" s="175" t="str">
        <f t="shared" si="116"/>
        <v/>
      </c>
      <c r="W276" s="175" t="str">
        <f t="shared" si="116"/>
        <v/>
      </c>
      <c r="X276" s="175" t="str">
        <f t="shared" si="116"/>
        <v/>
      </c>
      <c r="Y276" s="175" t="str">
        <f t="shared" si="116"/>
        <v/>
      </c>
      <c r="Z276" s="175" t="str">
        <f t="shared" si="116"/>
        <v/>
      </c>
      <c r="AA276" s="175" t="str">
        <f t="shared" si="116"/>
        <v/>
      </c>
      <c r="AB276" s="175" t="str">
        <f t="shared" si="116"/>
        <v/>
      </c>
      <c r="AC276" s="175" t="str">
        <f t="shared" si="116"/>
        <v/>
      </c>
      <c r="AD276" s="175" t="str">
        <f t="shared" si="116"/>
        <v/>
      </c>
      <c r="AE276" s="175" t="str">
        <f t="shared" si="116"/>
        <v/>
      </c>
      <c r="AF276" s="175" t="str">
        <f t="shared" si="116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8:B24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8">
    <cfRule type="expression" dxfId="3246" priority="1">
      <formula>$AH11=0</formula>
    </cfRule>
  </conditionalFormatting>
  <conditionalFormatting sqref="B8 M8 S8 AB8">
    <cfRule type="expression" dxfId="3245" priority="121">
      <formula>C$9&lt;8/24</formula>
    </cfRule>
    <cfRule type="expression" dxfId="3244" priority="120">
      <formula>AND(C$9&gt;=8/24,C$9&lt;14/24)</formula>
    </cfRule>
    <cfRule type="expression" dxfId="3243" priority="119">
      <formula>AND(C$9&gt;=14/24,C$9&lt;20/24)</formula>
    </cfRule>
  </conditionalFormatting>
  <conditionalFormatting sqref="B54:L54">
    <cfRule type="expression" dxfId="3242" priority="43">
      <formula>B$9&gt;=20/24</formula>
    </cfRule>
    <cfRule type="expression" dxfId="3241" priority="44">
      <formula>AND(B$9&gt;=14/24,B$9&lt;20/24)</formula>
    </cfRule>
    <cfRule type="expression" dxfId="3240" priority="45">
      <formula>AND(B$9&gt;=8/24,B$9&lt;14/24)</formula>
    </cfRule>
    <cfRule type="expression" dxfId="3239" priority="46">
      <formula>B$9&lt;8/24</formula>
    </cfRule>
  </conditionalFormatting>
  <conditionalFormatting sqref="B54:L66 M61:AA66">
    <cfRule type="expression" dxfId="3238" priority="38">
      <formula>B54&gt;$AG54</formula>
    </cfRule>
  </conditionalFormatting>
  <conditionalFormatting sqref="B55:AA60">
    <cfRule type="expression" dxfId="3237" priority="56">
      <formula>B$9&gt;=20/24</formula>
    </cfRule>
    <cfRule type="expression" dxfId="3236" priority="57">
      <formula>AND(B$9&gt;=14/24,B$9&lt;20/24)</formula>
    </cfRule>
    <cfRule type="expression" dxfId="3235" priority="59">
      <formula>B$9&lt;8/24</formula>
    </cfRule>
    <cfRule type="expression" dxfId="3234" priority="58">
      <formula>AND(B$9&gt;=8/24,B$9&lt;14/24)</formula>
    </cfRule>
  </conditionalFormatting>
  <conditionalFormatting sqref="B9:AF45">
    <cfRule type="expression" dxfId="3233" priority="31">
      <formula>B$9&lt;8/24</formula>
    </cfRule>
    <cfRule type="expression" dxfId="3232" priority="30">
      <formula>AND(B$9&gt;=8/24,B$9&lt;14/24)</formula>
    </cfRule>
    <cfRule type="expression" dxfId="3231" priority="29">
      <formula>AND(B$9&gt;=14/24,B$9&lt;20/24)</formula>
    </cfRule>
    <cfRule type="expression" dxfId="3230" priority="28">
      <formula>B$9&gt;=20/24</formula>
    </cfRule>
  </conditionalFormatting>
  <conditionalFormatting sqref="B11:AF46">
    <cfRule type="expression" dxfId="3229" priority="27">
      <formula>B11&gt;$AG11</formula>
    </cfRule>
  </conditionalFormatting>
  <conditionalFormatting sqref="B46:AF46">
    <cfRule type="expression" dxfId="3228" priority="23">
      <formula>B$9&gt;=20/24</formula>
    </cfRule>
    <cfRule type="expression" dxfId="3227" priority="24">
      <formula>AND(B$9&gt;=14/24,B$9&lt;20/24)</formula>
    </cfRule>
    <cfRule type="expression" dxfId="3226" priority="25">
      <formula>AND(B$9&gt;=8/24,B$9&lt;14/24)</formula>
    </cfRule>
    <cfRule type="expression" dxfId="3225" priority="26">
      <formula>B$9&lt;8/24</formula>
    </cfRule>
  </conditionalFormatting>
  <conditionalFormatting sqref="B47:AF47">
    <cfRule type="expression" dxfId="3224" priority="37">
      <formula>B47&gt;$AG47</formula>
    </cfRule>
  </conditionalFormatting>
  <conditionalFormatting sqref="B47:AF49">
    <cfRule type="expression" dxfId="3223" priority="35">
      <formula>AND(B$9&gt;=8/24,B$9&lt;14/24)</formula>
    </cfRule>
    <cfRule type="expression" dxfId="3222" priority="33">
      <formula>B$9&gt;=20/24</formula>
    </cfRule>
    <cfRule type="expression" dxfId="3221" priority="34">
      <formula>AND(B$9&gt;=14/24,B$9&lt;20/24)</formula>
    </cfRule>
    <cfRule type="expression" dxfId="3220" priority="36">
      <formula>B$9&lt;8/24</formula>
    </cfRule>
  </conditionalFormatting>
  <conditionalFormatting sqref="B48:AF53">
    <cfRule type="expression" dxfId="3219" priority="32">
      <formula>B48&gt;$AG48</formula>
    </cfRule>
  </conditionalFormatting>
  <conditionalFormatting sqref="B51:AF53">
    <cfRule type="expression" dxfId="3218" priority="52">
      <formula>B$9&gt;=20/24</formula>
    </cfRule>
    <cfRule type="expression" dxfId="3217" priority="53">
      <formula>AND(B$9&gt;=14/24,B$9&lt;20/24)</formula>
    </cfRule>
    <cfRule type="expression" dxfId="3216" priority="54">
      <formula>AND(B$9&gt;=8/24,B$9&lt;14/24)</formula>
    </cfRule>
    <cfRule type="expression" dxfId="3215" priority="55">
      <formula>B$9&lt;8/24</formula>
    </cfRule>
  </conditionalFormatting>
  <conditionalFormatting sqref="B61:AF66">
    <cfRule type="expression" dxfId="3214" priority="42">
      <formula>B$9&lt;8/24</formula>
    </cfRule>
    <cfRule type="expression" dxfId="3213" priority="41">
      <formula>AND(B$9&gt;=8/24,B$9&lt;14/24)</formula>
    </cfRule>
    <cfRule type="expression" dxfId="3212" priority="39">
      <formula>B$9&gt;=20/24</formula>
    </cfRule>
    <cfRule type="expression" dxfId="3211" priority="40">
      <formula>AND(B$9&gt;=14/24,B$9&lt;20/24)</formula>
    </cfRule>
  </conditionalFormatting>
  <conditionalFormatting sqref="B69:AF71">
    <cfRule type="expression" dxfId="3210" priority="62">
      <formula>AND(B$9&gt;=14/24,B$9&lt;20/24)</formula>
    </cfRule>
    <cfRule type="expression" dxfId="3209" priority="60">
      <formula>B69&gt;$AG69</formula>
    </cfRule>
    <cfRule type="expression" dxfId="3208" priority="61">
      <formula>B$9&gt;=20/24</formula>
    </cfRule>
    <cfRule type="expression" dxfId="3207" priority="63">
      <formula>AND(B$9&gt;=8/24,B$9&lt;14/24)</formula>
    </cfRule>
    <cfRule type="expression" dxfId="3206" priority="64">
      <formula>B$9&lt;8/24</formula>
    </cfRule>
  </conditionalFormatting>
  <conditionalFormatting sqref="B73:AF91">
    <cfRule type="expression" dxfId="3205" priority="8">
      <formula>AND(B$9&gt;=8/24,B$9&lt;14/24)</formula>
    </cfRule>
    <cfRule type="expression" dxfId="3204" priority="6">
      <formula>B$9&gt;=20/24</formula>
    </cfRule>
    <cfRule type="expression" dxfId="3203" priority="7">
      <formula>AND(B$9&gt;=14/24,B$9&lt;20/24)</formula>
    </cfRule>
    <cfRule type="expression" dxfId="3202" priority="9">
      <formula>B$9&lt;8/24</formula>
    </cfRule>
  </conditionalFormatting>
  <conditionalFormatting sqref="B93:AF109">
    <cfRule type="expression" dxfId="3201" priority="3">
      <formula>AND(B$9&gt;=14/24,B$9&lt;20/24)</formula>
    </cfRule>
    <cfRule type="expression" dxfId="3200" priority="4">
      <formula>AND(B$9&gt;=8/24,B$9&lt;14/24)</formula>
    </cfRule>
    <cfRule type="expression" dxfId="3199" priority="5">
      <formula>B$9&lt;8/24</formula>
    </cfRule>
    <cfRule type="expression" dxfId="3198" priority="2">
      <formula>B$9&gt;=20/24</formula>
    </cfRule>
  </conditionalFormatting>
  <conditionalFormatting sqref="B111:AF122">
    <cfRule type="expression" dxfId="3197" priority="22">
      <formula>B$9&lt;8/24</formula>
    </cfRule>
    <cfRule type="expression" dxfId="3196" priority="21">
      <formula>AND(B$9&gt;=8/24,B$9&lt;14/24)</formula>
    </cfRule>
    <cfRule type="expression" dxfId="3195" priority="20">
      <formula>AND(B$9&gt;=14/24,B$9&lt;20/24)</formula>
    </cfRule>
    <cfRule type="expression" dxfId="3194" priority="19">
      <formula>B$9&gt;=20/24</formula>
    </cfRule>
  </conditionalFormatting>
  <conditionalFormatting sqref="B229:AF229 B231:B237 D231:AF237 U250:AF250">
    <cfRule type="expression" dxfId="3193" priority="115">
      <formula>B$9&lt;8/24</formula>
    </cfRule>
    <cfRule type="expression" dxfId="3192" priority="113">
      <formula>AND(B$9&gt;=14/24,B$9&lt;20/24)</formula>
    </cfRule>
    <cfRule type="expression" dxfId="3191" priority="114">
      <formula>AND(B$9&gt;=8/24,B$9&lt;14/24)</formula>
    </cfRule>
    <cfRule type="expression" dxfId="3190" priority="112">
      <formula>B$9&gt;=20/24</formula>
    </cfRule>
  </conditionalFormatting>
  <conditionalFormatting sqref="B67:AG68 B72:AG72">
    <cfRule type="expression" dxfId="3189" priority="47">
      <formula>B67&gt;$AG67</formula>
    </cfRule>
  </conditionalFormatting>
  <conditionalFormatting sqref="B72:AG72">
    <cfRule type="expression" dxfId="3188" priority="50">
      <formula>AND(B$9&gt;=8/24,B$9&lt;14/24)</formula>
    </cfRule>
    <cfRule type="expression" dxfId="3187" priority="49">
      <formula>AND(B$9&gt;=14/24,B$9&lt;20/24)</formula>
    </cfRule>
    <cfRule type="expression" dxfId="3186" priority="51">
      <formula>B$9&lt;8/24</formula>
    </cfRule>
    <cfRule type="expression" dxfId="3185" priority="48">
      <formula>B$9&gt;=20/24</formula>
    </cfRule>
  </conditionalFormatting>
  <conditionalFormatting sqref="M55:AF66">
    <cfRule type="expression" dxfId="3184" priority="10">
      <formula>M55&gt;$AG55</formula>
    </cfRule>
  </conditionalFormatting>
  <conditionalFormatting sqref="M54:AG54">
    <cfRule type="expression" dxfId="3183" priority="80">
      <formula>M54&gt;$AG54</formula>
    </cfRule>
    <cfRule type="expression" dxfId="3182" priority="81">
      <formula>M$9&gt;=20/24</formula>
    </cfRule>
    <cfRule type="expression" dxfId="3181" priority="82">
      <formula>AND(M$9&gt;=14/24,M$9&lt;20/24)</formula>
    </cfRule>
    <cfRule type="expression" dxfId="3180" priority="83">
      <formula>AND(M$9&gt;=8/24,M$9&lt;14/24)</formula>
    </cfRule>
    <cfRule type="expression" dxfId="3179" priority="84">
      <formula>M$9&lt;8/24</formula>
    </cfRule>
  </conditionalFormatting>
  <conditionalFormatting sqref="O3:P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178" priority="118">
      <formula>C$9&gt;=20/24</formula>
    </cfRule>
  </conditionalFormatting>
  <conditionalFormatting sqref="S8">
    <cfRule type="expression" dxfId="3177" priority="105">
      <formula>U$9&gt;=20/24</formula>
    </cfRule>
    <cfRule type="expression" dxfId="3176" priority="106">
      <formula>AND(U$9&gt;=14/24,U$9&lt;20/24)</formula>
    </cfRule>
    <cfRule type="expression" dxfId="3175" priority="107">
      <formula>AND(U$9&gt;=8/24,U$9&lt;14/24)</formula>
    </cfRule>
    <cfRule type="expression" dxfId="3174" priority="108">
      <formula>U$9&lt;8/24</formula>
    </cfRule>
  </conditionalFormatting>
  <conditionalFormatting sqref="S55:AF60">
    <cfRule type="expression" dxfId="3173" priority="15">
      <formula>S$9&gt;=20/24</formula>
    </cfRule>
    <cfRule type="expression" dxfId="3172" priority="16">
      <formula>AND(S$9&gt;=14/24,S$9&lt;20/24)</formula>
    </cfRule>
    <cfRule type="expression" dxfId="3171" priority="18">
      <formula>S$9&lt;8/24</formula>
    </cfRule>
    <cfRule type="expression" dxfId="3170" priority="17">
      <formula>AND(S$9&gt;=8/24,S$9&lt;14/24)</formula>
    </cfRule>
  </conditionalFormatting>
  <conditionalFormatting sqref="T250">
    <cfRule type="expression" dxfId="3169" priority="133">
      <formula>AX$9&lt;8/24</formula>
    </cfRule>
    <cfRule type="expression" dxfId="3168" priority="130">
      <formula>AX$9&gt;=20/24</formula>
    </cfRule>
    <cfRule type="expression" dxfId="3167" priority="131">
      <formula>AND(AX$9&gt;=14/24,AX$9&lt;20/24)</formula>
    </cfRule>
    <cfRule type="expression" dxfId="3166" priority="132">
      <formula>AND(AX$9&gt;=8/24,AX$9&lt;14/24)</formula>
    </cfRule>
  </conditionalFormatting>
  <conditionalFormatting sqref="V3 AB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165" priority="101">
      <formula>AD$9&gt;=20/24</formula>
    </cfRule>
    <cfRule type="expression" dxfId="3164" priority="102">
      <formula>AND(AD$9&gt;=14/24,AD$9&lt;20/24)</formula>
    </cfRule>
    <cfRule type="expression" dxfId="3163" priority="104">
      <formula>AD$9&lt;8/24</formula>
    </cfRule>
    <cfRule type="expression" dxfId="3162" priority="103">
      <formula>AND(AD$9&gt;=8/24,AD$9&lt;14/24)</formula>
    </cfRule>
  </conditionalFormatting>
  <conditionalFormatting sqref="AG50">
    <cfRule type="expression" dxfId="3161" priority="88">
      <formula>AG50&gt;$AG50</formula>
    </cfRule>
  </conditionalFormatting>
  <conditionalFormatting sqref="AG89">
    <cfRule type="expression" dxfId="3160" priority="91">
      <formula>AND(AG$9&gt;=8/24,AG$9&lt;14/24)</formula>
    </cfRule>
    <cfRule type="expression" dxfId="3159" priority="90">
      <formula>AND(AG$9&gt;=14/24,AG$9&lt;20/24)</formula>
    </cfRule>
    <cfRule type="expression" dxfId="3158" priority="89">
      <formula>AG$9&gt;=20/24</formula>
    </cfRule>
    <cfRule type="expression" dxfId="3157" priority="92">
      <formula>AG$9&lt;8/24</formula>
    </cfRule>
  </conditionalFormatting>
  <conditionalFormatting sqref="AG250">
    <cfRule type="expression" dxfId="3156" priority="123">
      <formula>AND(B$9&gt;=14/24,B$9&lt;20/24)</formula>
    </cfRule>
    <cfRule type="expression" dxfId="3155" priority="122">
      <formula>B$9&gt;=20/24</formula>
    </cfRule>
    <cfRule type="expression" dxfId="3154" priority="124">
      <formula>AND(B$9&gt;=8/24,B$9&lt;14/24)</formula>
    </cfRule>
    <cfRule type="expression" dxfId="3153" priority="125">
      <formula>B$9&lt;8/24</formula>
    </cfRule>
  </conditionalFormatting>
  <conditionalFormatting sqref="AH250:AX250">
    <cfRule type="expression" dxfId="3152" priority="126">
      <formula>AG$9&gt;=20/24</formula>
    </cfRule>
    <cfRule type="expression" dxfId="3151" priority="127">
      <formula>AND(AG$9&gt;=14/24,AG$9&lt;20/24)</formula>
    </cfRule>
    <cfRule type="expression" dxfId="3150" priority="128">
      <formula>AND(AG$9&gt;=8/24,AG$9&lt;14/24)</formula>
    </cfRule>
    <cfRule type="expression" dxfId="3149" priority="129">
      <formula>AG$9&lt;8/24</formula>
    </cfRule>
  </conditionalFormatting>
  <conditionalFormatting sqref="AL4:AL6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148" priority="135">
      <formula>AJ$9&gt;=20/24</formula>
    </cfRule>
    <cfRule type="expression" dxfId="3147" priority="136">
      <formula>AND(AJ$9&gt;=14/24,AJ$9&lt;20/24)</formula>
    </cfRule>
    <cfRule type="expression" dxfId="3146" priority="137">
      <formula>AND(AJ$9&gt;=8/24,AJ$9&lt;14/24)</formula>
    </cfRule>
    <cfRule type="expression" dxfId="3145" priority="138">
      <formula>AJ$9&lt;8/24</formula>
    </cfRule>
  </conditionalFormatting>
  <conditionalFormatting sqref="AL80:AN80 AL86:AN86">
    <cfRule type="expression" dxfId="3144" priority="76">
      <formula>AL$9&gt;=20/24</formula>
    </cfRule>
    <cfRule type="expression" dxfId="3143" priority="77">
      <formula>AND(AL$9&gt;=14/24,AL$9&lt;20/24)</formula>
    </cfRule>
    <cfRule type="expression" dxfId="3142" priority="78">
      <formula>AND(AL$9&gt;=8/24,AL$9&lt;14/24)</formula>
    </cfRule>
    <cfRule type="expression" dxfId="3141" priority="79">
      <formula>AL$9&lt;8/24</formula>
    </cfRule>
  </conditionalFormatting>
  <conditionalFormatting sqref="AN81:AN84">
    <cfRule type="expression" dxfId="3140" priority="72">
      <formula>AN$9&gt;=20/24</formula>
    </cfRule>
    <cfRule type="expression" dxfId="3139" priority="73">
      <formula>AND(AN$9&gt;=14/24,AN$9&lt;20/24)</formula>
    </cfRule>
    <cfRule type="expression" dxfId="3138" priority="74">
      <formula>AND(AN$9&gt;=8/24,AN$9&lt;14/24)</formula>
    </cfRule>
    <cfRule type="expression" dxfId="3137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6DA8-E4E6-42D7-B1D3-CEBB8AAE781E}">
  <sheetPr codeName="Sheet7"/>
  <dimension ref="A1:CJ283"/>
  <sheetViews>
    <sheetView workbookViewId="0">
      <pane xSplit="1" ySplit="10" topLeftCell="B10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H118" sqref="H11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2080/09/6</v>
      </c>
      <c r="C4" s="246"/>
      <c r="D4" s="246"/>
      <c r="E4" s="247" t="str">
        <f ca="1">"2080/"&amp;"09/"&amp;INT(MID(CELL("filename",G6),FIND("]",CELL("filename",G6))+1,200))</f>
        <v>2080/09/6</v>
      </c>
      <c r="F4" s="247"/>
      <c r="G4" s="247"/>
      <c r="H4" s="247" t="str">
        <f ca="1">TEXT(E4,"dddd")</f>
        <v>Friday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212</v>
      </c>
      <c r="C5" s="30">
        <f t="shared" si="0"/>
        <v>226.1</v>
      </c>
      <c r="D5" s="30">
        <f t="shared" si="0"/>
        <v>201</v>
      </c>
      <c r="E5" s="30">
        <f t="shared" si="0"/>
        <v>212</v>
      </c>
      <c r="F5" s="30">
        <f t="shared" si="0"/>
        <v>214</v>
      </c>
      <c r="G5" s="30">
        <f t="shared" si="0"/>
        <v>220</v>
      </c>
      <c r="H5" s="30">
        <f t="shared" si="0"/>
        <v>213.2</v>
      </c>
      <c r="I5" s="30">
        <f t="shared" si="0"/>
        <v>231</v>
      </c>
      <c r="J5" s="30">
        <f t="shared" si="0"/>
        <v>185</v>
      </c>
      <c r="K5" s="30">
        <f t="shared" si="0"/>
        <v>77</v>
      </c>
      <c r="L5" s="30">
        <f t="shared" si="0"/>
        <v>8.5</v>
      </c>
      <c r="M5" s="30">
        <f t="shared" si="0"/>
        <v>30</v>
      </c>
      <c r="N5" s="30">
        <f t="shared" si="0"/>
        <v>139.5</v>
      </c>
      <c r="O5" s="30">
        <f t="shared" si="0"/>
        <v>294.3</v>
      </c>
      <c r="P5" s="30">
        <f t="shared" si="0"/>
        <v>308</v>
      </c>
      <c r="Q5" s="30">
        <f t="shared" si="0"/>
        <v>325</v>
      </c>
      <c r="R5" s="30">
        <f t="shared" si="0"/>
        <v>356</v>
      </c>
      <c r="S5" s="30">
        <f t="shared" si="0"/>
        <v>370</v>
      </c>
      <c r="T5" s="30">
        <f t="shared" si="0"/>
        <v>405</v>
      </c>
      <c r="U5" s="30">
        <f t="shared" si="0"/>
        <v>129</v>
      </c>
      <c r="V5" s="30">
        <f t="shared" si="0"/>
        <v>0</v>
      </c>
      <c r="W5" s="30">
        <f t="shared" si="0"/>
        <v>0</v>
      </c>
      <c r="X5" s="30">
        <f t="shared" si="0"/>
        <v>12</v>
      </c>
      <c r="Y5" s="30">
        <f t="shared" si="0"/>
        <v>65</v>
      </c>
      <c r="Z5" s="30">
        <f t="shared" si="0"/>
        <v>142</v>
      </c>
      <c r="AA5" s="30">
        <f t="shared" si="0"/>
        <v>197</v>
      </c>
      <c r="AB5" s="30">
        <f t="shared" si="0"/>
        <v>166</v>
      </c>
      <c r="AC5" s="30">
        <f t="shared" si="0"/>
        <v>163</v>
      </c>
      <c r="AD5" s="30">
        <f t="shared" si="0"/>
        <v>186</v>
      </c>
      <c r="AE5" s="30">
        <f t="shared" si="0"/>
        <v>195</v>
      </c>
      <c r="AF5" s="30">
        <f>B84</f>
        <v>261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1748MW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Load=1104</v>
      </c>
      <c r="B7" s="35">
        <f>B92</f>
        <v>1174.28</v>
      </c>
      <c r="C7" s="35">
        <f t="shared" ref="C7:AF7" si="1">C92</f>
        <v>1130.28</v>
      </c>
      <c r="D7" s="35">
        <f t="shared" si="1"/>
        <v>1140.98</v>
      </c>
      <c r="E7" s="35">
        <f t="shared" si="1"/>
        <v>1103.8800000000001</v>
      </c>
      <c r="F7" s="35">
        <f t="shared" si="1"/>
        <v>1119.8800000000001</v>
      </c>
      <c r="G7" s="35">
        <f t="shared" si="1"/>
        <v>1201.8800000000001</v>
      </c>
      <c r="H7" s="35">
        <f t="shared" si="1"/>
        <v>1279.0800000000002</v>
      </c>
      <c r="I7" s="35">
        <f t="shared" si="1"/>
        <v>1389.88</v>
      </c>
      <c r="J7" s="35">
        <f t="shared" si="1"/>
        <v>1477.68</v>
      </c>
      <c r="K7" s="35">
        <f t="shared" si="1"/>
        <v>1645.18</v>
      </c>
      <c r="L7" s="35">
        <f t="shared" si="1"/>
        <v>1748.48</v>
      </c>
      <c r="M7" s="35">
        <f t="shared" si="1"/>
        <v>1734.18</v>
      </c>
      <c r="N7" s="35">
        <f t="shared" si="1"/>
        <v>1675.7800000000002</v>
      </c>
      <c r="O7" s="35">
        <f t="shared" si="1"/>
        <v>1616.7800000000002</v>
      </c>
      <c r="P7" s="35">
        <f t="shared" si="1"/>
        <v>1555.98</v>
      </c>
      <c r="Q7" s="35">
        <f t="shared" si="1"/>
        <v>1452.5800000000002</v>
      </c>
      <c r="R7" s="35">
        <f t="shared" si="1"/>
        <v>1363.38</v>
      </c>
      <c r="S7" s="35">
        <f t="shared" si="1"/>
        <v>1365.48</v>
      </c>
      <c r="T7" s="35">
        <f t="shared" si="1"/>
        <v>1346.08</v>
      </c>
      <c r="U7" s="35">
        <f t="shared" si="1"/>
        <v>1375.68</v>
      </c>
      <c r="V7" s="35">
        <f t="shared" si="1"/>
        <v>1425.58</v>
      </c>
      <c r="W7" s="35">
        <f t="shared" si="1"/>
        <v>1376.58</v>
      </c>
      <c r="X7" s="35">
        <f t="shared" si="1"/>
        <v>1599.1799999999998</v>
      </c>
      <c r="Y7" s="35">
        <f t="shared" si="1"/>
        <v>1701.1799999999998</v>
      </c>
      <c r="Z7" s="35">
        <f t="shared" si="1"/>
        <v>1590.28</v>
      </c>
      <c r="AA7" s="35">
        <f t="shared" si="1"/>
        <v>1561.1799999999998</v>
      </c>
      <c r="AB7" s="35">
        <f t="shared" si="1"/>
        <v>1532.08</v>
      </c>
      <c r="AC7" s="35">
        <f t="shared" si="1"/>
        <v>1480.28</v>
      </c>
      <c r="AD7" s="35">
        <f t="shared" si="1"/>
        <v>1379.08</v>
      </c>
      <c r="AE7" s="35">
        <f t="shared" si="1"/>
        <v>1202.78</v>
      </c>
      <c r="AF7" s="35">
        <f t="shared" si="1"/>
        <v>1105.18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40.4</v>
      </c>
      <c r="C11" s="45">
        <v>40.4</v>
      </c>
      <c r="D11" s="45">
        <v>40.4</v>
      </c>
      <c r="E11" s="45">
        <v>40.4</v>
      </c>
      <c r="F11" s="45">
        <v>40.4</v>
      </c>
      <c r="G11" s="45">
        <v>40.4</v>
      </c>
      <c r="H11" s="45">
        <v>40.4</v>
      </c>
      <c r="I11" s="45">
        <v>40.4</v>
      </c>
      <c r="J11" s="45">
        <v>40.4</v>
      </c>
      <c r="K11" s="45">
        <v>40.4</v>
      </c>
      <c r="L11" s="45">
        <v>40.4</v>
      </c>
      <c r="M11" s="45">
        <v>40.4</v>
      </c>
      <c r="N11" s="45">
        <v>40.4</v>
      </c>
      <c r="O11" s="45">
        <v>40.4</v>
      </c>
      <c r="P11" s="45">
        <v>40.4</v>
      </c>
      <c r="Q11" s="45">
        <v>40.4</v>
      </c>
      <c r="R11" s="45">
        <v>40.4</v>
      </c>
      <c r="S11" s="45">
        <v>40.4</v>
      </c>
      <c r="T11" s="45">
        <v>40.4</v>
      </c>
      <c r="U11" s="45">
        <v>40.4</v>
      </c>
      <c r="V11" s="45">
        <v>39.799999999999997</v>
      </c>
      <c r="W11" s="45">
        <v>39.799999999999997</v>
      </c>
      <c r="X11" s="45">
        <v>40</v>
      </c>
      <c r="Y11" s="45">
        <v>40</v>
      </c>
      <c r="Z11" s="45">
        <v>40</v>
      </c>
      <c r="AA11" s="45">
        <v>40</v>
      </c>
      <c r="AB11" s="45">
        <v>40</v>
      </c>
      <c r="AC11" s="45">
        <v>40</v>
      </c>
      <c r="AD11" s="45">
        <v>40</v>
      </c>
      <c r="AE11" s="45">
        <v>40</v>
      </c>
      <c r="AF11" s="45">
        <v>40</v>
      </c>
      <c r="AG11" s="46">
        <v>86</v>
      </c>
      <c r="AH11" s="47">
        <f t="shared" ref="AH11:AH76" si="2">MAX(B11:AF11)</f>
        <v>40.4</v>
      </c>
      <c r="AI11" s="48">
        <f t="shared" ref="AI11:AI76" si="3">MIN(B11:AF11)</f>
        <v>39.799999999999997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19</v>
      </c>
      <c r="C12" s="45">
        <v>19</v>
      </c>
      <c r="D12" s="45">
        <v>19</v>
      </c>
      <c r="E12" s="45">
        <v>19</v>
      </c>
      <c r="F12" s="45">
        <v>19</v>
      </c>
      <c r="G12" s="45">
        <v>19</v>
      </c>
      <c r="H12" s="45">
        <v>19</v>
      </c>
      <c r="I12" s="45">
        <v>19</v>
      </c>
      <c r="J12" s="45">
        <v>19</v>
      </c>
      <c r="K12" s="45">
        <v>19</v>
      </c>
      <c r="L12" s="45">
        <v>19</v>
      </c>
      <c r="M12" s="45">
        <v>19</v>
      </c>
      <c r="N12" s="45">
        <v>19</v>
      </c>
      <c r="O12" s="45">
        <v>19</v>
      </c>
      <c r="P12" s="45">
        <v>19</v>
      </c>
      <c r="Q12" s="45">
        <v>19</v>
      </c>
      <c r="R12" s="45">
        <v>19</v>
      </c>
      <c r="S12" s="45">
        <v>19</v>
      </c>
      <c r="T12" s="45">
        <v>19</v>
      </c>
      <c r="U12" s="45">
        <v>19</v>
      </c>
      <c r="V12" s="45">
        <v>18.5</v>
      </c>
      <c r="W12" s="45">
        <v>18.5</v>
      </c>
      <c r="X12" s="45">
        <v>18.5</v>
      </c>
      <c r="Y12" s="45">
        <v>18.5</v>
      </c>
      <c r="Z12" s="45">
        <v>18.5</v>
      </c>
      <c r="AA12" s="45">
        <v>18.5</v>
      </c>
      <c r="AB12" s="45">
        <v>18.5</v>
      </c>
      <c r="AC12" s="45">
        <v>18.5</v>
      </c>
      <c r="AD12" s="45">
        <v>18.5</v>
      </c>
      <c r="AE12" s="45">
        <v>18.5</v>
      </c>
      <c r="AF12" s="45">
        <v>18.5</v>
      </c>
      <c r="AG12" s="49">
        <v>54</v>
      </c>
      <c r="AH12" s="47">
        <f t="shared" si="2"/>
        <v>19</v>
      </c>
      <c r="AI12" s="48">
        <f t="shared" si="3"/>
        <v>18.5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23.2</v>
      </c>
      <c r="C13" s="45">
        <v>23.2</v>
      </c>
      <c r="D13" s="45">
        <v>23.1</v>
      </c>
      <c r="E13" s="45">
        <v>23.1</v>
      </c>
      <c r="F13" s="45">
        <v>23.1</v>
      </c>
      <c r="G13" s="45">
        <v>23.1</v>
      </c>
      <c r="H13" s="45">
        <v>23.1</v>
      </c>
      <c r="I13" s="45">
        <v>23.1</v>
      </c>
      <c r="J13" s="45">
        <v>23.1</v>
      </c>
      <c r="K13" s="45">
        <v>23.1</v>
      </c>
      <c r="L13" s="45">
        <v>23.1</v>
      </c>
      <c r="M13" s="45">
        <v>23.1</v>
      </c>
      <c r="N13" s="45">
        <v>23.1</v>
      </c>
      <c r="O13" s="45">
        <v>23.1</v>
      </c>
      <c r="P13" s="45">
        <v>23.1</v>
      </c>
      <c r="Q13" s="45">
        <v>23.1</v>
      </c>
      <c r="R13" s="45">
        <v>23.1</v>
      </c>
      <c r="S13" s="45">
        <v>23.1</v>
      </c>
      <c r="T13" s="45">
        <v>23.1</v>
      </c>
      <c r="U13" s="45">
        <v>23.1</v>
      </c>
      <c r="V13" s="45">
        <v>20.9</v>
      </c>
      <c r="W13" s="45">
        <v>20.9</v>
      </c>
      <c r="X13" s="45">
        <v>21</v>
      </c>
      <c r="Y13" s="45">
        <v>21</v>
      </c>
      <c r="Z13" s="45">
        <v>21</v>
      </c>
      <c r="AA13" s="45">
        <v>21</v>
      </c>
      <c r="AB13" s="45">
        <v>21</v>
      </c>
      <c r="AC13" s="45">
        <v>21</v>
      </c>
      <c r="AD13" s="45">
        <v>21</v>
      </c>
      <c r="AE13" s="45">
        <v>21</v>
      </c>
      <c r="AF13" s="45">
        <v>21</v>
      </c>
      <c r="AG13" s="46">
        <v>52.4</v>
      </c>
      <c r="AH13" s="47">
        <f t="shared" si="2"/>
        <v>23.2</v>
      </c>
      <c r="AI13" s="48">
        <f t="shared" si="3"/>
        <v>20.9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44.2</v>
      </c>
      <c r="C14" s="45">
        <v>44.2</v>
      </c>
      <c r="D14" s="45">
        <v>44.3</v>
      </c>
      <c r="E14" s="45">
        <v>44.3</v>
      </c>
      <c r="F14" s="45">
        <v>44.3</v>
      </c>
      <c r="G14" s="45">
        <v>44.3</v>
      </c>
      <c r="H14" s="45">
        <v>44.3</v>
      </c>
      <c r="I14" s="45">
        <v>44.3</v>
      </c>
      <c r="J14" s="45">
        <v>44.3</v>
      </c>
      <c r="K14" s="45">
        <v>44.3</v>
      </c>
      <c r="L14" s="45">
        <v>44.3</v>
      </c>
      <c r="M14" s="45">
        <v>44.3</v>
      </c>
      <c r="N14" s="45">
        <v>44.3</v>
      </c>
      <c r="O14" s="45">
        <v>44.3</v>
      </c>
      <c r="P14" s="45">
        <v>44.3</v>
      </c>
      <c r="Q14" s="45">
        <v>44.3</v>
      </c>
      <c r="R14" s="45">
        <v>44.3</v>
      </c>
      <c r="S14" s="45">
        <v>44.3</v>
      </c>
      <c r="T14" s="45">
        <v>44.3</v>
      </c>
      <c r="U14" s="45">
        <v>44.3</v>
      </c>
      <c r="V14" s="51">
        <v>44.3</v>
      </c>
      <c r="W14" s="51">
        <v>44.3</v>
      </c>
      <c r="X14" s="51">
        <v>44.3</v>
      </c>
      <c r="Y14" s="51">
        <v>44.3</v>
      </c>
      <c r="Z14" s="51">
        <v>44.3</v>
      </c>
      <c r="AA14" s="51">
        <v>44.3</v>
      </c>
      <c r="AB14" s="51">
        <v>44.3</v>
      </c>
      <c r="AC14" s="51">
        <v>44.3</v>
      </c>
      <c r="AD14" s="51">
        <v>44.3</v>
      </c>
      <c r="AE14" s="51">
        <v>44.3</v>
      </c>
      <c r="AF14" s="51">
        <v>44.3</v>
      </c>
      <c r="AG14" s="49">
        <v>50</v>
      </c>
      <c r="AH14" s="47">
        <f t="shared" si="2"/>
        <v>44.3</v>
      </c>
      <c r="AI14" s="48">
        <f t="shared" si="3"/>
        <v>44.2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24.5</v>
      </c>
      <c r="C15" s="45">
        <v>24.5</v>
      </c>
      <c r="D15" s="45">
        <v>23.6</v>
      </c>
      <c r="E15" s="45">
        <v>23.6</v>
      </c>
      <c r="F15" s="45">
        <v>23.6</v>
      </c>
      <c r="G15" s="45">
        <v>23.6</v>
      </c>
      <c r="H15" s="45">
        <v>23.6</v>
      </c>
      <c r="I15" s="45">
        <v>23.6</v>
      </c>
      <c r="J15" s="45">
        <v>23.6</v>
      </c>
      <c r="K15" s="45">
        <v>23.6</v>
      </c>
      <c r="L15" s="45">
        <v>23.6</v>
      </c>
      <c r="M15" s="45">
        <v>23.6</v>
      </c>
      <c r="N15" s="45">
        <v>23.6</v>
      </c>
      <c r="O15" s="45">
        <v>23.6</v>
      </c>
      <c r="P15" s="45">
        <v>23.6</v>
      </c>
      <c r="Q15" s="45">
        <v>23.6</v>
      </c>
      <c r="R15" s="45">
        <v>23.6</v>
      </c>
      <c r="S15" s="45">
        <v>23.6</v>
      </c>
      <c r="T15" s="45">
        <v>23.6</v>
      </c>
      <c r="U15" s="45">
        <v>23.6</v>
      </c>
      <c r="V15" s="45">
        <v>24.3</v>
      </c>
      <c r="W15" s="45">
        <v>24.3</v>
      </c>
      <c r="X15" s="45">
        <v>24.3</v>
      </c>
      <c r="Y15" s="45">
        <v>24.3</v>
      </c>
      <c r="Z15" s="45">
        <v>24.3</v>
      </c>
      <c r="AA15" s="45">
        <v>24.3</v>
      </c>
      <c r="AB15" s="45">
        <v>24.3</v>
      </c>
      <c r="AC15" s="45">
        <v>24.3</v>
      </c>
      <c r="AD15" s="45">
        <v>24.3</v>
      </c>
      <c r="AE15" s="45">
        <v>24.3</v>
      </c>
      <c r="AF15" s="45">
        <v>24.3</v>
      </c>
      <c r="AG15" s="49">
        <v>45</v>
      </c>
      <c r="AH15" s="47">
        <f t="shared" si="2"/>
        <v>24.5</v>
      </c>
      <c r="AI15" s="48">
        <f t="shared" si="3"/>
        <v>23.6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</v>
      </c>
      <c r="C16" s="45">
        <v>17</v>
      </c>
      <c r="D16" s="45">
        <v>17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49">
        <v>44</v>
      </c>
      <c r="AH16" s="47">
        <f>MAX(B16:AG16)</f>
        <v>44</v>
      </c>
      <c r="AI16" s="48">
        <f>MIN(B16:AG16)</f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49">
        <v>42</v>
      </c>
      <c r="AH17" s="47">
        <f t="shared" si="2"/>
        <v>12.5</v>
      </c>
      <c r="AI17" s="48">
        <f t="shared" si="3"/>
        <v>12.5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13.7</v>
      </c>
      <c r="C18" s="45">
        <v>13.7</v>
      </c>
      <c r="D18" s="45">
        <v>13.7</v>
      </c>
      <c r="E18" s="45">
        <v>13.7</v>
      </c>
      <c r="F18" s="45">
        <v>13.7</v>
      </c>
      <c r="G18" s="45">
        <v>13.7</v>
      </c>
      <c r="H18" s="45">
        <v>13.7</v>
      </c>
      <c r="I18" s="45">
        <v>13.7</v>
      </c>
      <c r="J18" s="45">
        <v>0</v>
      </c>
      <c r="K18" s="45">
        <v>13.7</v>
      </c>
      <c r="L18" s="45">
        <v>13.7</v>
      </c>
      <c r="M18" s="45">
        <v>13.7</v>
      </c>
      <c r="N18" s="45">
        <v>13.7</v>
      </c>
      <c r="O18" s="45">
        <v>13.7</v>
      </c>
      <c r="P18" s="45">
        <v>13.7</v>
      </c>
      <c r="Q18" s="45">
        <v>13.7</v>
      </c>
      <c r="R18" s="45">
        <v>13.7</v>
      </c>
      <c r="S18" s="45">
        <v>13.7</v>
      </c>
      <c r="T18" s="45">
        <v>13.7</v>
      </c>
      <c r="U18" s="45">
        <v>13.7</v>
      </c>
      <c r="V18" s="45">
        <v>13.7</v>
      </c>
      <c r="W18" s="45">
        <v>13.7</v>
      </c>
      <c r="X18" s="45">
        <v>13.7</v>
      </c>
      <c r="Y18" s="45">
        <v>13.7</v>
      </c>
      <c r="Z18" s="45">
        <v>13.7</v>
      </c>
      <c r="AA18" s="45">
        <v>13.7</v>
      </c>
      <c r="AB18" s="45">
        <v>13.7</v>
      </c>
      <c r="AC18" s="45">
        <v>13.7</v>
      </c>
      <c r="AD18" s="45">
        <v>13.7</v>
      </c>
      <c r="AE18" s="45">
        <v>13.7</v>
      </c>
      <c r="AF18" s="45">
        <v>13.7</v>
      </c>
      <c r="AG18" s="49">
        <v>38.46</v>
      </c>
      <c r="AH18" s="47">
        <f t="shared" si="2"/>
        <v>13.7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17.5</v>
      </c>
      <c r="C19" s="45">
        <v>17.5</v>
      </c>
      <c r="D19" s="45">
        <v>17.5</v>
      </c>
      <c r="E19" s="45">
        <v>17.5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17.5</v>
      </c>
      <c r="AC19" s="45">
        <v>17.5</v>
      </c>
      <c r="AD19" s="45">
        <v>17.5</v>
      </c>
      <c r="AE19" s="45">
        <v>17.5</v>
      </c>
      <c r="AF19" s="45">
        <v>17.5</v>
      </c>
      <c r="AG19" s="49">
        <v>36</v>
      </c>
      <c r="AH19" s="47">
        <f t="shared" si="2"/>
        <v>17.5</v>
      </c>
      <c r="AI19" s="48">
        <f t="shared" si="3"/>
        <v>17.5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12.1</v>
      </c>
      <c r="C20" s="45">
        <v>12.1</v>
      </c>
      <c r="D20" s="45">
        <v>12.1</v>
      </c>
      <c r="E20" s="45">
        <v>12.1</v>
      </c>
      <c r="F20" s="45">
        <v>12.1</v>
      </c>
      <c r="G20" s="45">
        <v>12.1</v>
      </c>
      <c r="H20" s="45">
        <v>12.1</v>
      </c>
      <c r="I20" s="45">
        <v>12.1</v>
      </c>
      <c r="J20" s="45">
        <v>12.1</v>
      </c>
      <c r="K20" s="45">
        <v>12.1</v>
      </c>
      <c r="L20" s="45">
        <v>12.1</v>
      </c>
      <c r="M20" s="45">
        <v>12.1</v>
      </c>
      <c r="N20" s="45">
        <v>12.1</v>
      </c>
      <c r="O20" s="45">
        <v>12.1</v>
      </c>
      <c r="P20" s="45">
        <v>12.1</v>
      </c>
      <c r="Q20" s="45">
        <v>12.1</v>
      </c>
      <c r="R20" s="45">
        <v>12.1</v>
      </c>
      <c r="S20" s="45">
        <v>12.1</v>
      </c>
      <c r="T20" s="45">
        <v>12.1</v>
      </c>
      <c r="U20" s="45">
        <v>12.1</v>
      </c>
      <c r="V20" s="45">
        <v>12.1</v>
      </c>
      <c r="W20" s="45">
        <v>12.1</v>
      </c>
      <c r="X20" s="45">
        <v>12.1</v>
      </c>
      <c r="Y20" s="45">
        <v>12.1</v>
      </c>
      <c r="Z20" s="45">
        <v>12.1</v>
      </c>
      <c r="AA20" s="45">
        <v>12.1</v>
      </c>
      <c r="AB20" s="45">
        <v>12.1</v>
      </c>
      <c r="AC20" s="45">
        <v>12.1</v>
      </c>
      <c r="AD20" s="45">
        <v>12.1</v>
      </c>
      <c r="AE20" s="45">
        <v>12.1</v>
      </c>
      <c r="AF20" s="45">
        <v>12.1</v>
      </c>
      <c r="AG20" s="52">
        <v>30</v>
      </c>
      <c r="AH20" s="47">
        <f t="shared" si="2"/>
        <v>12.1</v>
      </c>
      <c r="AI20" s="48">
        <f t="shared" si="3"/>
        <v>12.1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25.1</v>
      </c>
      <c r="C21" s="45">
        <v>25.1</v>
      </c>
      <c r="D21" s="45">
        <v>25.1</v>
      </c>
      <c r="E21" s="45">
        <v>25.1</v>
      </c>
      <c r="F21" s="45">
        <v>25.1</v>
      </c>
      <c r="G21" s="45">
        <v>25.1</v>
      </c>
      <c r="H21" s="45">
        <v>25.1</v>
      </c>
      <c r="I21" s="45">
        <v>25.1</v>
      </c>
      <c r="J21" s="45">
        <v>25.1</v>
      </c>
      <c r="K21" s="45">
        <v>25.1</v>
      </c>
      <c r="L21" s="45">
        <v>25.1</v>
      </c>
      <c r="M21" s="45">
        <v>25.1</v>
      </c>
      <c r="N21" s="45">
        <v>25.1</v>
      </c>
      <c r="O21" s="45">
        <v>25.1</v>
      </c>
      <c r="P21" s="45">
        <v>25.1</v>
      </c>
      <c r="Q21" s="45">
        <v>25.1</v>
      </c>
      <c r="R21" s="45">
        <v>25.1</v>
      </c>
      <c r="S21" s="45">
        <v>25.1</v>
      </c>
      <c r="T21" s="45">
        <v>25.1</v>
      </c>
      <c r="U21" s="45">
        <v>25.1</v>
      </c>
      <c r="V21" s="45">
        <v>25.1</v>
      </c>
      <c r="W21" s="45">
        <v>25.1</v>
      </c>
      <c r="X21" s="45">
        <v>25.7</v>
      </c>
      <c r="Y21" s="45">
        <v>25.7</v>
      </c>
      <c r="Z21" s="45">
        <v>25.7</v>
      </c>
      <c r="AA21" s="45">
        <v>25.7</v>
      </c>
      <c r="AB21" s="45">
        <v>25.7</v>
      </c>
      <c r="AC21" s="45">
        <v>25.7</v>
      </c>
      <c r="AD21" s="45">
        <v>25.7</v>
      </c>
      <c r="AE21" s="45">
        <v>25.7</v>
      </c>
      <c r="AF21" s="45">
        <v>25.7</v>
      </c>
      <c r="AG21" s="49">
        <v>24.2</v>
      </c>
      <c r="AH21" s="47">
        <f t="shared" si="2"/>
        <v>25.7</v>
      </c>
      <c r="AI21" s="48">
        <f t="shared" si="3"/>
        <v>25.1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13.2</v>
      </c>
      <c r="C22" s="45">
        <v>13.2</v>
      </c>
      <c r="D22" s="45">
        <v>13.6</v>
      </c>
      <c r="E22" s="45">
        <v>13.6</v>
      </c>
      <c r="F22" s="45">
        <v>13.6</v>
      </c>
      <c r="G22" s="45">
        <v>13.6</v>
      </c>
      <c r="H22" s="45">
        <v>13.6</v>
      </c>
      <c r="I22" s="45">
        <v>13.6</v>
      </c>
      <c r="J22" s="45">
        <v>13.6</v>
      </c>
      <c r="K22" s="45">
        <v>13.6</v>
      </c>
      <c r="L22" s="45">
        <v>13.6</v>
      </c>
      <c r="M22" s="45">
        <v>13.6</v>
      </c>
      <c r="N22" s="45">
        <v>13.6</v>
      </c>
      <c r="O22" s="45">
        <v>13.6</v>
      </c>
      <c r="P22" s="45">
        <v>13.6</v>
      </c>
      <c r="Q22" s="45">
        <v>13.6</v>
      </c>
      <c r="R22" s="45">
        <v>13.6</v>
      </c>
      <c r="S22" s="45">
        <v>13.6</v>
      </c>
      <c r="T22" s="45">
        <v>13.6</v>
      </c>
      <c r="U22" s="45">
        <v>13.6</v>
      </c>
      <c r="V22" s="45">
        <v>13.6</v>
      </c>
      <c r="W22" s="45">
        <v>13.6</v>
      </c>
      <c r="X22" s="45">
        <v>13.6</v>
      </c>
      <c r="Y22" s="45">
        <v>13.6</v>
      </c>
      <c r="Z22" s="45">
        <v>13.6</v>
      </c>
      <c r="AA22" s="45">
        <v>13.6</v>
      </c>
      <c r="AB22" s="45">
        <v>13.6</v>
      </c>
      <c r="AC22" s="45">
        <v>13.6</v>
      </c>
      <c r="AD22" s="45">
        <v>13.6</v>
      </c>
      <c r="AE22" s="45">
        <v>13.6</v>
      </c>
      <c r="AF22" s="45">
        <v>13.6</v>
      </c>
      <c r="AG22" s="49">
        <v>28</v>
      </c>
      <c r="AH22" s="47">
        <f t="shared" si="2"/>
        <v>13.6</v>
      </c>
      <c r="AI22" s="48">
        <f t="shared" si="3"/>
        <v>13.2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</v>
      </c>
      <c r="C23" s="45">
        <v>10</v>
      </c>
      <c r="D23" s="45">
        <v>11.1</v>
      </c>
      <c r="E23" s="45">
        <v>11.1</v>
      </c>
      <c r="F23" s="45">
        <v>11.1</v>
      </c>
      <c r="G23" s="45">
        <v>11.1</v>
      </c>
      <c r="H23" s="45">
        <v>11.1</v>
      </c>
      <c r="I23" s="45">
        <v>11.1</v>
      </c>
      <c r="J23" s="45">
        <v>11.1</v>
      </c>
      <c r="K23" s="45">
        <v>11.1</v>
      </c>
      <c r="L23" s="45">
        <v>11.1</v>
      </c>
      <c r="M23" s="45">
        <v>11.1</v>
      </c>
      <c r="N23" s="45">
        <v>11.1</v>
      </c>
      <c r="O23" s="45">
        <v>11.1</v>
      </c>
      <c r="P23" s="45">
        <v>11.1</v>
      </c>
      <c r="Q23" s="45">
        <v>11.1</v>
      </c>
      <c r="R23" s="45">
        <v>11.1</v>
      </c>
      <c r="S23" s="45">
        <v>11.1</v>
      </c>
      <c r="T23" s="45">
        <v>11.1</v>
      </c>
      <c r="U23" s="45">
        <v>11.1</v>
      </c>
      <c r="V23" s="45">
        <v>11.1</v>
      </c>
      <c r="W23" s="45">
        <v>11.1</v>
      </c>
      <c r="X23" s="45">
        <v>11</v>
      </c>
      <c r="Y23" s="45">
        <v>11</v>
      </c>
      <c r="Z23" s="45">
        <v>11</v>
      </c>
      <c r="AA23" s="45">
        <v>11</v>
      </c>
      <c r="AB23" s="45">
        <v>11</v>
      </c>
      <c r="AC23" s="45">
        <v>11</v>
      </c>
      <c r="AD23" s="45">
        <v>11</v>
      </c>
      <c r="AE23" s="45">
        <v>11</v>
      </c>
      <c r="AF23" s="45">
        <v>11</v>
      </c>
      <c r="AG23" s="52">
        <v>30</v>
      </c>
      <c r="AH23" s="47">
        <f t="shared" si="2"/>
        <v>11.1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13.1</v>
      </c>
      <c r="C24" s="45">
        <v>13.1</v>
      </c>
      <c r="D24" s="45">
        <v>13.1</v>
      </c>
      <c r="E24" s="45">
        <v>13.1</v>
      </c>
      <c r="F24" s="45">
        <v>13.1</v>
      </c>
      <c r="G24" s="45">
        <v>13.1</v>
      </c>
      <c r="H24" s="45">
        <v>13.1</v>
      </c>
      <c r="I24" s="45">
        <v>13.1</v>
      </c>
      <c r="J24" s="45">
        <v>13.1</v>
      </c>
      <c r="K24" s="45">
        <v>13.1</v>
      </c>
      <c r="L24" s="45">
        <v>13.1</v>
      </c>
      <c r="M24" s="45">
        <v>13.1</v>
      </c>
      <c r="N24" s="45">
        <v>13.1</v>
      </c>
      <c r="O24" s="45">
        <v>13.1</v>
      </c>
      <c r="P24" s="45">
        <v>13.1</v>
      </c>
      <c r="Q24" s="45">
        <v>13.1</v>
      </c>
      <c r="R24" s="45">
        <v>13.1</v>
      </c>
      <c r="S24" s="45">
        <v>13.1</v>
      </c>
      <c r="T24" s="45">
        <v>13.1</v>
      </c>
      <c r="U24" s="45">
        <v>13.1</v>
      </c>
      <c r="V24" s="45">
        <v>13.1</v>
      </c>
      <c r="W24" s="45">
        <v>13.1</v>
      </c>
      <c r="X24" s="45">
        <v>13.1</v>
      </c>
      <c r="Y24" s="45">
        <v>13.1</v>
      </c>
      <c r="Z24" s="45">
        <v>13.1</v>
      </c>
      <c r="AA24" s="45">
        <v>13.1</v>
      </c>
      <c r="AB24" s="45">
        <v>13.1</v>
      </c>
      <c r="AC24" s="45">
        <v>13.1</v>
      </c>
      <c r="AD24" s="45">
        <v>13.1</v>
      </c>
      <c r="AE24" s="45">
        <v>13.1</v>
      </c>
      <c r="AF24" s="45">
        <v>13.1</v>
      </c>
      <c r="AG24" s="49">
        <v>25</v>
      </c>
      <c r="AH24" s="47">
        <f t="shared" si="2"/>
        <v>13.1</v>
      </c>
      <c r="AI24" s="48">
        <f t="shared" si="3"/>
        <v>13.1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9.5</v>
      </c>
      <c r="C26" s="45">
        <v>9.5</v>
      </c>
      <c r="D26" s="45">
        <v>9.5</v>
      </c>
      <c r="E26" s="45">
        <v>9.5</v>
      </c>
      <c r="F26" s="45">
        <v>9.5</v>
      </c>
      <c r="G26" s="45">
        <v>9.5</v>
      </c>
      <c r="H26" s="45">
        <v>9.5</v>
      </c>
      <c r="I26" s="45">
        <v>9.5</v>
      </c>
      <c r="J26" s="45">
        <v>9.5</v>
      </c>
      <c r="K26" s="45">
        <v>9.5</v>
      </c>
      <c r="L26" s="45">
        <v>9.5</v>
      </c>
      <c r="M26" s="45">
        <v>9.5</v>
      </c>
      <c r="N26" s="45">
        <v>9.5</v>
      </c>
      <c r="O26" s="45">
        <v>9.5</v>
      </c>
      <c r="P26" s="45">
        <v>9.5</v>
      </c>
      <c r="Q26" s="45">
        <v>9.5</v>
      </c>
      <c r="R26" s="45">
        <v>9.5</v>
      </c>
      <c r="S26" s="45">
        <v>9.5</v>
      </c>
      <c r="T26" s="45">
        <v>9.5</v>
      </c>
      <c r="U26" s="45">
        <v>9.5</v>
      </c>
      <c r="V26" s="45">
        <v>9.5</v>
      </c>
      <c r="W26" s="45">
        <v>9.5</v>
      </c>
      <c r="X26" s="45">
        <v>9.5</v>
      </c>
      <c r="Y26" s="45">
        <v>9.5</v>
      </c>
      <c r="Z26" s="45">
        <v>9.5</v>
      </c>
      <c r="AA26" s="45">
        <v>9.5</v>
      </c>
      <c r="AB26" s="45">
        <v>9.5</v>
      </c>
      <c r="AC26" s="45">
        <v>9.5</v>
      </c>
      <c r="AD26" s="45">
        <v>9.5</v>
      </c>
      <c r="AE26" s="45">
        <v>9.5</v>
      </c>
      <c r="AF26" s="45">
        <v>9.5</v>
      </c>
      <c r="AG26" s="49">
        <v>25</v>
      </c>
      <c r="AH26" s="47">
        <f t="shared" si="2"/>
        <v>9.5</v>
      </c>
      <c r="AI26" s="48">
        <f t="shared" si="3"/>
        <v>9.5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12.7</v>
      </c>
      <c r="C27" s="45">
        <v>12.7</v>
      </c>
      <c r="D27" s="45">
        <v>12.2</v>
      </c>
      <c r="E27" s="45">
        <v>12.2</v>
      </c>
      <c r="F27" s="45">
        <v>12.2</v>
      </c>
      <c r="G27" s="45">
        <v>12.2</v>
      </c>
      <c r="H27" s="45">
        <v>12.2</v>
      </c>
      <c r="I27" s="45">
        <v>12.2</v>
      </c>
      <c r="J27" s="45">
        <v>12.2</v>
      </c>
      <c r="K27" s="45">
        <v>12.2</v>
      </c>
      <c r="L27" s="45">
        <v>12.2</v>
      </c>
      <c r="M27" s="45">
        <v>12.2</v>
      </c>
      <c r="N27" s="45">
        <v>12.2</v>
      </c>
      <c r="O27" s="45">
        <v>12.2</v>
      </c>
      <c r="P27" s="45">
        <v>12.2</v>
      </c>
      <c r="Q27" s="45">
        <v>12.2</v>
      </c>
      <c r="R27" s="45">
        <v>12.2</v>
      </c>
      <c r="S27" s="45">
        <v>12.2</v>
      </c>
      <c r="T27" s="45">
        <v>12.2</v>
      </c>
      <c r="U27" s="45">
        <v>12.2</v>
      </c>
      <c r="V27" s="45">
        <v>12.2</v>
      </c>
      <c r="W27" s="45">
        <v>12.2</v>
      </c>
      <c r="X27" s="45">
        <v>12.2</v>
      </c>
      <c r="Y27" s="45">
        <v>12.2</v>
      </c>
      <c r="Z27" s="45">
        <v>12.2</v>
      </c>
      <c r="AA27" s="45">
        <v>12.2</v>
      </c>
      <c r="AB27" s="45">
        <v>12.2</v>
      </c>
      <c r="AC27" s="45">
        <v>12.2</v>
      </c>
      <c r="AD27" s="45">
        <v>12.2</v>
      </c>
      <c r="AE27" s="45">
        <v>12.2</v>
      </c>
      <c r="AF27" s="45">
        <v>12.2</v>
      </c>
      <c r="AG27" s="49">
        <v>25</v>
      </c>
      <c r="AH27" s="47">
        <f t="shared" si="2"/>
        <v>12.7</v>
      </c>
      <c r="AI27" s="48">
        <f t="shared" si="3"/>
        <v>12.2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11.8</v>
      </c>
      <c r="C28" s="45">
        <v>11.8</v>
      </c>
      <c r="D28" s="45">
        <v>11.7</v>
      </c>
      <c r="E28" s="45">
        <v>11.7</v>
      </c>
      <c r="F28" s="45">
        <v>11.7</v>
      </c>
      <c r="G28" s="45">
        <v>11.7</v>
      </c>
      <c r="H28" s="45">
        <v>11.7</v>
      </c>
      <c r="I28" s="45">
        <v>11.7</v>
      </c>
      <c r="J28" s="45">
        <v>11.7</v>
      </c>
      <c r="K28" s="45">
        <v>11.7</v>
      </c>
      <c r="L28" s="45">
        <v>11.7</v>
      </c>
      <c r="M28" s="45">
        <v>11.7</v>
      </c>
      <c r="N28" s="45">
        <v>11.7</v>
      </c>
      <c r="O28" s="45">
        <v>11.7</v>
      </c>
      <c r="P28" s="45">
        <v>11.7</v>
      </c>
      <c r="Q28" s="45">
        <v>11.7</v>
      </c>
      <c r="R28" s="45">
        <v>11.7</v>
      </c>
      <c r="S28" s="45">
        <v>11.7</v>
      </c>
      <c r="T28" s="45">
        <v>11.7</v>
      </c>
      <c r="U28" s="45">
        <v>11.7</v>
      </c>
      <c r="V28" s="45">
        <v>11.7</v>
      </c>
      <c r="W28" s="45">
        <v>11.7</v>
      </c>
      <c r="X28" s="45">
        <v>11.7</v>
      </c>
      <c r="Y28" s="45">
        <v>11.7</v>
      </c>
      <c r="Z28" s="45">
        <v>11.7</v>
      </c>
      <c r="AA28" s="45">
        <v>11.7</v>
      </c>
      <c r="AB28" s="45">
        <v>11.7</v>
      </c>
      <c r="AC28" s="45">
        <v>11.7</v>
      </c>
      <c r="AD28" s="45">
        <v>11.7</v>
      </c>
      <c r="AE28" s="45">
        <v>11.7</v>
      </c>
      <c r="AF28" s="45">
        <v>11.7</v>
      </c>
      <c r="AG28" s="49">
        <v>23.5</v>
      </c>
      <c r="AH28" s="47">
        <f t="shared" si="2"/>
        <v>11.8</v>
      </c>
      <c r="AI28" s="48">
        <f t="shared" si="3"/>
        <v>11.7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49">
        <v>22.2</v>
      </c>
      <c r="AH29" s="47">
        <f t="shared" si="2"/>
        <v>6</v>
      </c>
      <c r="AI29" s="48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12</v>
      </c>
      <c r="C32" s="45">
        <v>12</v>
      </c>
      <c r="D32" s="45">
        <v>12.2</v>
      </c>
      <c r="E32" s="45">
        <v>12.2</v>
      </c>
      <c r="F32" s="45">
        <v>12.2</v>
      </c>
      <c r="G32" s="45">
        <v>12.2</v>
      </c>
      <c r="H32" s="45">
        <v>12.2</v>
      </c>
      <c r="I32" s="45">
        <v>12.2</v>
      </c>
      <c r="J32" s="45">
        <v>12.2</v>
      </c>
      <c r="K32" s="45">
        <v>12.2</v>
      </c>
      <c r="L32" s="45">
        <v>12.2</v>
      </c>
      <c r="M32" s="45">
        <v>12.2</v>
      </c>
      <c r="N32" s="45">
        <v>12.2</v>
      </c>
      <c r="O32" s="45">
        <v>12.2</v>
      </c>
      <c r="P32" s="45">
        <v>12.2</v>
      </c>
      <c r="Q32" s="45">
        <v>12.2</v>
      </c>
      <c r="R32" s="45">
        <v>12.2</v>
      </c>
      <c r="S32" s="45">
        <v>12.2</v>
      </c>
      <c r="T32" s="45">
        <v>12.2</v>
      </c>
      <c r="U32" s="45">
        <v>12.2</v>
      </c>
      <c r="V32" s="45">
        <v>12.2</v>
      </c>
      <c r="W32" s="45">
        <v>12.2</v>
      </c>
      <c r="X32" s="45">
        <v>12.2</v>
      </c>
      <c r="Y32" s="45">
        <v>12.2</v>
      </c>
      <c r="Z32" s="45">
        <v>12.2</v>
      </c>
      <c r="AA32" s="45">
        <v>12.2</v>
      </c>
      <c r="AB32" s="45">
        <v>12.2</v>
      </c>
      <c r="AC32" s="45">
        <v>12.2</v>
      </c>
      <c r="AD32" s="45">
        <v>12.2</v>
      </c>
      <c r="AE32" s="45">
        <v>12.2</v>
      </c>
      <c r="AF32" s="45">
        <v>12.2</v>
      </c>
      <c r="AG32" s="49">
        <v>22</v>
      </c>
      <c r="AH32" s="47">
        <f t="shared" si="2"/>
        <v>12.2</v>
      </c>
      <c r="AI32" s="48">
        <f t="shared" si="3"/>
        <v>12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8.6999999999999993</v>
      </c>
      <c r="C33" s="45">
        <v>8.6999999999999993</v>
      </c>
      <c r="D33" s="45">
        <v>8.6999999999999993</v>
      </c>
      <c r="E33" s="45">
        <v>8.6999999999999993</v>
      </c>
      <c r="F33" s="45">
        <v>8.6999999999999993</v>
      </c>
      <c r="G33" s="45">
        <v>8.6999999999999993</v>
      </c>
      <c r="H33" s="45">
        <v>8.6999999999999993</v>
      </c>
      <c r="I33" s="45">
        <v>8.6999999999999993</v>
      </c>
      <c r="J33" s="45">
        <v>8.6999999999999993</v>
      </c>
      <c r="K33" s="45">
        <v>8.6999999999999993</v>
      </c>
      <c r="L33" s="45">
        <v>8.6999999999999993</v>
      </c>
      <c r="M33" s="45">
        <v>8.6999999999999993</v>
      </c>
      <c r="N33" s="45">
        <v>8.6999999999999993</v>
      </c>
      <c r="O33" s="45">
        <v>8.6999999999999993</v>
      </c>
      <c r="P33" s="45">
        <v>8.6999999999999993</v>
      </c>
      <c r="Q33" s="45">
        <v>8.6999999999999993</v>
      </c>
      <c r="R33" s="45">
        <v>8.6999999999999993</v>
      </c>
      <c r="S33" s="45">
        <v>8.6999999999999993</v>
      </c>
      <c r="T33" s="45">
        <v>8.6999999999999993</v>
      </c>
      <c r="U33" s="45">
        <v>8.6999999999999993</v>
      </c>
      <c r="V33" s="45">
        <v>8.6999999999999993</v>
      </c>
      <c r="W33" s="45">
        <v>8.6999999999999993</v>
      </c>
      <c r="X33" s="45">
        <v>8.6999999999999993</v>
      </c>
      <c r="Y33" s="45">
        <v>8.6999999999999993</v>
      </c>
      <c r="Z33" s="45">
        <v>8.6999999999999993</v>
      </c>
      <c r="AA33" s="45">
        <v>8.6999999999999993</v>
      </c>
      <c r="AB33" s="45">
        <v>8.6999999999999993</v>
      </c>
      <c r="AC33" s="45">
        <v>8.6999999999999993</v>
      </c>
      <c r="AD33" s="45">
        <v>8.6999999999999993</v>
      </c>
      <c r="AE33" s="45">
        <v>8.6999999999999993</v>
      </c>
      <c r="AF33" s="45">
        <v>8.6999999999999993</v>
      </c>
      <c r="AG33" s="49">
        <v>20</v>
      </c>
      <c r="AH33" s="47">
        <f t="shared" si="2"/>
        <v>8.6999999999999993</v>
      </c>
      <c r="AI33" s="48">
        <f t="shared" si="3"/>
        <v>8.6999999999999993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49">
        <v>18</v>
      </c>
      <c r="AH34" s="47">
        <f t="shared" si="2"/>
        <v>6</v>
      </c>
      <c r="AI34" s="48">
        <f t="shared" si="3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0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5.8</v>
      </c>
      <c r="Q45" s="45">
        <v>5.8</v>
      </c>
      <c r="R45" s="45">
        <v>5.8</v>
      </c>
      <c r="S45" s="45">
        <v>5.8</v>
      </c>
      <c r="T45" s="45">
        <v>5.8</v>
      </c>
      <c r="U45" s="45">
        <v>5.8</v>
      </c>
      <c r="V45" s="45">
        <v>5.8</v>
      </c>
      <c r="W45" s="45">
        <v>5.8</v>
      </c>
      <c r="X45" s="45">
        <v>5.8</v>
      </c>
      <c r="Y45" s="45">
        <v>5.8</v>
      </c>
      <c r="Z45" s="45">
        <v>5.8</v>
      </c>
      <c r="AA45" s="45">
        <v>5.8</v>
      </c>
      <c r="AB45" s="45">
        <v>5.8</v>
      </c>
      <c r="AC45" s="45">
        <v>5.8</v>
      </c>
      <c r="AD45" s="45">
        <v>5.8</v>
      </c>
      <c r="AE45" s="45">
        <v>5.8</v>
      </c>
      <c r="AF45" s="45">
        <v>5.8</v>
      </c>
      <c r="AG45" s="55">
        <v>10</v>
      </c>
      <c r="AH45" s="47">
        <f t="shared" si="2"/>
        <v>5.8</v>
      </c>
      <c r="AI45" s="48">
        <f t="shared" si="3"/>
        <v>5.8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0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250</v>
      </c>
      <c r="C48" s="57">
        <v>250</v>
      </c>
      <c r="D48" s="57">
        <v>250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250</v>
      </c>
      <c r="N48" s="57">
        <v>250</v>
      </c>
      <c r="O48" s="57">
        <v>250</v>
      </c>
      <c r="P48" s="57">
        <v>250</v>
      </c>
      <c r="Q48" s="57">
        <v>250</v>
      </c>
      <c r="R48" s="57">
        <v>250</v>
      </c>
      <c r="S48" s="57">
        <v>250</v>
      </c>
      <c r="T48" s="57">
        <v>250</v>
      </c>
      <c r="U48" s="57">
        <v>250</v>
      </c>
      <c r="V48" s="57">
        <v>250</v>
      </c>
      <c r="W48" s="57">
        <v>250</v>
      </c>
      <c r="X48" s="57">
        <v>250</v>
      </c>
      <c r="Y48" s="57">
        <v>250</v>
      </c>
      <c r="Z48" s="57">
        <v>250</v>
      </c>
      <c r="AA48" s="57">
        <v>250</v>
      </c>
      <c r="AB48" s="57">
        <v>250</v>
      </c>
      <c r="AC48" s="57">
        <v>250</v>
      </c>
      <c r="AD48" s="57">
        <v>250</v>
      </c>
      <c r="AE48" s="57">
        <v>250</v>
      </c>
      <c r="AF48" s="57">
        <v>250</v>
      </c>
      <c r="AG48" s="55">
        <v>85</v>
      </c>
      <c r="AH48" s="47">
        <f t="shared" si="2"/>
        <v>250</v>
      </c>
      <c r="AI48" s="48">
        <f t="shared" si="3"/>
        <v>250</v>
      </c>
      <c r="AK48" s="50"/>
    </row>
    <row r="49" spans="1:41" ht="15.75" thickBot="1" x14ac:dyDescent="0.3">
      <c r="A49" s="58" t="s">
        <v>57</v>
      </c>
      <c r="B49" s="57">
        <f>9.9+28.2</f>
        <v>38.1</v>
      </c>
      <c r="C49" s="57">
        <f>9.9+28.2</f>
        <v>38.1</v>
      </c>
      <c r="D49" s="57">
        <f>10.2+28.5</f>
        <v>38.700000000000003</v>
      </c>
      <c r="E49" s="57">
        <f>10.2+28.5</f>
        <v>38.700000000000003</v>
      </c>
      <c r="F49" s="57">
        <f>27.3+9.6</f>
        <v>36.9</v>
      </c>
      <c r="G49" s="57">
        <f>27.3+9.6</f>
        <v>36.9</v>
      </c>
      <c r="H49" s="57">
        <f>27.3+9.6</f>
        <v>36.9</v>
      </c>
      <c r="I49" s="57">
        <f>27.3+9.6</f>
        <v>36.9</v>
      </c>
      <c r="J49" s="57">
        <f>27.3+9.6</f>
        <v>36.9</v>
      </c>
      <c r="K49" s="51">
        <f>26.1+9.1</f>
        <v>35.200000000000003</v>
      </c>
      <c r="L49" s="51">
        <v>33.5</v>
      </c>
      <c r="M49" s="51">
        <v>33.5</v>
      </c>
      <c r="N49" s="51">
        <v>33.5</v>
      </c>
      <c r="O49" s="51">
        <v>33.5</v>
      </c>
      <c r="P49" s="51">
        <v>33.5</v>
      </c>
      <c r="Q49" s="51">
        <v>33.5</v>
      </c>
      <c r="R49" s="51">
        <v>33.5</v>
      </c>
      <c r="S49" s="51">
        <v>36.5</v>
      </c>
      <c r="T49" s="51">
        <v>36.5</v>
      </c>
      <c r="U49" s="51">
        <v>36.5</v>
      </c>
      <c r="V49" s="51">
        <v>36.5</v>
      </c>
      <c r="W49" s="51">
        <v>36.5</v>
      </c>
      <c r="X49" s="57">
        <v>36.5</v>
      </c>
      <c r="Y49" s="57">
        <v>36.5</v>
      </c>
      <c r="Z49" s="57">
        <v>36.5</v>
      </c>
      <c r="AA49" s="57">
        <v>36.5</v>
      </c>
      <c r="AB49" s="57">
        <v>34.1</v>
      </c>
      <c r="AC49" s="57">
        <v>35.6</v>
      </c>
      <c r="AD49" s="57">
        <v>35.6</v>
      </c>
      <c r="AE49" s="57">
        <v>35.6</v>
      </c>
      <c r="AF49" s="57">
        <v>35.6</v>
      </c>
      <c r="AG49" s="55">
        <v>240</v>
      </c>
      <c r="AH49" s="47">
        <f t="shared" si="2"/>
        <v>38.700000000000003</v>
      </c>
      <c r="AI49" s="48">
        <f t="shared" si="3"/>
        <v>33.5</v>
      </c>
      <c r="AK49" s="50"/>
    </row>
    <row r="50" spans="1:41" ht="15.75" thickBot="1" x14ac:dyDescent="0.3">
      <c r="A50" s="59" t="s">
        <v>58</v>
      </c>
      <c r="B50" s="60">
        <f t="shared" ref="B50:C50" si="4">SUM(B11:B48)</f>
        <v>689</v>
      </c>
      <c r="C50" s="60">
        <f t="shared" si="4"/>
        <v>689</v>
      </c>
      <c r="D50" s="60">
        <f t="shared" ref="D50:E50" si="5">SUM(D11:D48)</f>
        <v>689.2</v>
      </c>
      <c r="E50" s="60">
        <f t="shared" si="5"/>
        <v>689.2</v>
      </c>
      <c r="F50" s="60">
        <f t="shared" ref="F50:G50" si="6">SUM(F11:F48)</f>
        <v>689.2</v>
      </c>
      <c r="G50" s="60">
        <f t="shared" si="6"/>
        <v>689.2</v>
      </c>
      <c r="H50" s="60">
        <f t="shared" ref="H50:I50" si="7">SUM(H11:H48)</f>
        <v>689.2</v>
      </c>
      <c r="I50" s="60">
        <f t="shared" si="7"/>
        <v>689.2</v>
      </c>
      <c r="J50" s="60">
        <f t="shared" ref="J50" si="8">SUM(J11:J48)</f>
        <v>661.3</v>
      </c>
      <c r="K50" s="60">
        <f t="shared" ref="K50:AF50" si="9">SUM(K11:K48)</f>
        <v>689.2</v>
      </c>
      <c r="L50" s="60">
        <f t="shared" si="9"/>
        <v>689.2</v>
      </c>
      <c r="M50" s="60">
        <f t="shared" si="9"/>
        <v>689.2</v>
      </c>
      <c r="N50" s="60">
        <f t="shared" si="9"/>
        <v>689.2</v>
      </c>
      <c r="O50" s="60">
        <f t="shared" si="9"/>
        <v>689.2</v>
      </c>
      <c r="P50" s="60">
        <f t="shared" si="9"/>
        <v>689.2</v>
      </c>
      <c r="Q50" s="60">
        <f t="shared" si="9"/>
        <v>689.2</v>
      </c>
      <c r="R50" s="60">
        <f t="shared" si="9"/>
        <v>689.2</v>
      </c>
      <c r="S50" s="60">
        <f t="shared" si="9"/>
        <v>689.2</v>
      </c>
      <c r="T50" s="60">
        <f t="shared" si="9"/>
        <v>689.2</v>
      </c>
      <c r="U50" s="60">
        <f t="shared" si="9"/>
        <v>689.2</v>
      </c>
      <c r="V50" s="60">
        <f t="shared" si="9"/>
        <v>686.59999999999991</v>
      </c>
      <c r="W50" s="60">
        <f t="shared" si="9"/>
        <v>686.59999999999991</v>
      </c>
      <c r="X50" s="60">
        <f t="shared" si="9"/>
        <v>687.4</v>
      </c>
      <c r="Y50" s="60">
        <f t="shared" si="9"/>
        <v>687.4</v>
      </c>
      <c r="Z50" s="60">
        <f t="shared" si="9"/>
        <v>687.4</v>
      </c>
      <c r="AA50" s="60">
        <f t="shared" si="9"/>
        <v>687.4</v>
      </c>
      <c r="AB50" s="60">
        <f t="shared" si="9"/>
        <v>687.4</v>
      </c>
      <c r="AC50" s="60">
        <f t="shared" si="9"/>
        <v>687.4</v>
      </c>
      <c r="AD50" s="60">
        <f t="shared" si="9"/>
        <v>687.4</v>
      </c>
      <c r="AE50" s="60">
        <f t="shared" si="9"/>
        <v>687.4</v>
      </c>
      <c r="AF50" s="60">
        <f t="shared" si="9"/>
        <v>687.4</v>
      </c>
      <c r="AG50" s="61">
        <f>SUM(AG13:AG48)</f>
        <v>922.14</v>
      </c>
      <c r="AH50" s="47">
        <f t="shared" si="2"/>
        <v>689.2</v>
      </c>
      <c r="AI50" s="48">
        <f t="shared" si="3"/>
        <v>661.3</v>
      </c>
      <c r="AK50" s="50"/>
    </row>
    <row r="51" spans="1:41" x14ac:dyDescent="0.25">
      <c r="A51" s="62" t="s">
        <v>59</v>
      </c>
      <c r="B51" s="45">
        <v>22</v>
      </c>
      <c r="C51" s="45">
        <v>12</v>
      </c>
      <c r="D51" s="45">
        <v>12</v>
      </c>
      <c r="E51" s="45">
        <v>0</v>
      </c>
      <c r="F51" s="45">
        <v>0</v>
      </c>
      <c r="G51" s="45">
        <v>30</v>
      </c>
      <c r="H51" s="45">
        <v>60</v>
      </c>
      <c r="I51" s="45">
        <v>90</v>
      </c>
      <c r="J51" s="45">
        <v>150</v>
      </c>
      <c r="K51" s="45">
        <v>230</v>
      </c>
      <c r="L51" s="45">
        <v>410</v>
      </c>
      <c r="M51" s="45">
        <v>456</v>
      </c>
      <c r="N51" s="63">
        <v>430</v>
      </c>
      <c r="O51" s="63">
        <v>120</v>
      </c>
      <c r="P51" s="63">
        <v>100</v>
      </c>
      <c r="Q51" s="63">
        <v>80</v>
      </c>
      <c r="R51" s="63">
        <v>15</v>
      </c>
      <c r="S51" s="63">
        <v>0</v>
      </c>
      <c r="T51" s="45">
        <v>0</v>
      </c>
      <c r="U51" s="45">
        <v>0</v>
      </c>
      <c r="V51" s="45">
        <v>250</v>
      </c>
      <c r="W51" s="45">
        <v>250</v>
      </c>
      <c r="X51" s="45">
        <v>250</v>
      </c>
      <c r="Y51" s="45">
        <v>340</v>
      </c>
      <c r="Z51" s="45">
        <v>200</v>
      </c>
      <c r="AA51" s="45">
        <v>120</v>
      </c>
      <c r="AB51" s="45">
        <v>120</v>
      </c>
      <c r="AC51" s="45">
        <v>120</v>
      </c>
      <c r="AD51" s="45">
        <v>120</v>
      </c>
      <c r="AE51" s="45">
        <v>40</v>
      </c>
      <c r="AF51" s="45">
        <v>15</v>
      </c>
      <c r="AG51" s="52">
        <v>456</v>
      </c>
      <c r="AH51" s="47">
        <f t="shared" si="2"/>
        <v>456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42</v>
      </c>
      <c r="N52" s="65">
        <v>42</v>
      </c>
      <c r="O52" s="65">
        <v>42</v>
      </c>
      <c r="P52" s="65">
        <v>42</v>
      </c>
      <c r="Q52" s="65">
        <v>42</v>
      </c>
      <c r="R52" s="65">
        <v>42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5">
        <v>60</v>
      </c>
      <c r="AH52" s="47">
        <f t="shared" si="2"/>
        <v>42</v>
      </c>
      <c r="AI52" s="48">
        <f t="shared" si="3"/>
        <v>42</v>
      </c>
      <c r="AK52" s="50"/>
    </row>
    <row r="53" spans="1:41" ht="15.75" thickBot="1" x14ac:dyDescent="0.3">
      <c r="A53" s="66" t="s">
        <v>61</v>
      </c>
      <c r="B53" s="67">
        <v>13.6</v>
      </c>
      <c r="C53" s="67">
        <v>13.6</v>
      </c>
      <c r="D53" s="67">
        <v>13.7</v>
      </c>
      <c r="E53" s="67">
        <v>13.7</v>
      </c>
      <c r="F53" s="67">
        <v>13.7</v>
      </c>
      <c r="G53" s="67">
        <v>13.7</v>
      </c>
      <c r="H53" s="67">
        <v>13.7</v>
      </c>
      <c r="I53" s="67">
        <v>13.7</v>
      </c>
      <c r="J53" s="67">
        <v>13.7</v>
      </c>
      <c r="K53" s="67">
        <v>18.100000000000001</v>
      </c>
      <c r="L53" s="67">
        <v>18.100000000000001</v>
      </c>
      <c r="M53" s="67">
        <v>18.100000000000001</v>
      </c>
      <c r="N53" s="67">
        <v>18.100000000000001</v>
      </c>
      <c r="O53" s="67">
        <v>14.2</v>
      </c>
      <c r="P53" s="67">
        <v>14.1</v>
      </c>
      <c r="Q53" s="67">
        <v>14.2</v>
      </c>
      <c r="R53" s="67">
        <v>14.1</v>
      </c>
      <c r="S53" s="67">
        <v>14.1</v>
      </c>
      <c r="T53" s="67">
        <v>12.2</v>
      </c>
      <c r="U53" s="67">
        <v>12.2</v>
      </c>
      <c r="V53" s="67">
        <v>12.2</v>
      </c>
      <c r="W53" s="67">
        <v>12.2</v>
      </c>
      <c r="X53" s="67">
        <v>12.2</v>
      </c>
      <c r="Y53" s="67">
        <v>12.2</v>
      </c>
      <c r="Z53" s="67">
        <v>12.2</v>
      </c>
      <c r="AA53" s="67">
        <v>12.2</v>
      </c>
      <c r="AB53" s="67">
        <v>12.2</v>
      </c>
      <c r="AC53" s="67">
        <v>12.2</v>
      </c>
      <c r="AD53" s="67">
        <v>12.2</v>
      </c>
      <c r="AE53" s="67">
        <v>12.2</v>
      </c>
      <c r="AF53" s="67">
        <v>12.2</v>
      </c>
      <c r="AG53" s="68">
        <v>22.1</v>
      </c>
      <c r="AH53" s="47">
        <f t="shared" si="2"/>
        <v>18.100000000000001</v>
      </c>
      <c r="AI53" s="48">
        <f t="shared" si="3"/>
        <v>12.2</v>
      </c>
      <c r="AK53" s="50"/>
    </row>
    <row r="54" spans="1:41" ht="15.75" thickBot="1" x14ac:dyDescent="0.3">
      <c r="A54" s="69" t="s">
        <v>62</v>
      </c>
      <c r="B54" s="60">
        <f t="shared" ref="B54:C54" si="10">SUM(B51:B53)</f>
        <v>77.599999999999994</v>
      </c>
      <c r="C54" s="60">
        <f t="shared" si="10"/>
        <v>67.599999999999994</v>
      </c>
      <c r="D54" s="60">
        <f t="shared" ref="D54:E54" si="11">SUM(D51:D53)</f>
        <v>67.7</v>
      </c>
      <c r="E54" s="60">
        <f t="shared" si="11"/>
        <v>55.7</v>
      </c>
      <c r="F54" s="60">
        <f t="shared" ref="F54:AG54" si="12">SUM(F51:F53)</f>
        <v>55.7</v>
      </c>
      <c r="G54" s="60">
        <f t="shared" ref="G54:H54" si="13">SUM(G51:G53)</f>
        <v>85.7</v>
      </c>
      <c r="H54" s="60">
        <f t="shared" si="13"/>
        <v>115.7</v>
      </c>
      <c r="I54" s="60">
        <f t="shared" ref="I54" si="14">SUM(I51:I53)</f>
        <v>145.69999999999999</v>
      </c>
      <c r="J54" s="60">
        <f t="shared" si="12"/>
        <v>205.7</v>
      </c>
      <c r="K54" s="60">
        <f t="shared" si="12"/>
        <v>290.10000000000002</v>
      </c>
      <c r="L54" s="60">
        <f t="shared" si="12"/>
        <v>470.1</v>
      </c>
      <c r="M54" s="60">
        <f t="shared" si="12"/>
        <v>516.1</v>
      </c>
      <c r="N54" s="60">
        <f t="shared" si="12"/>
        <v>490.1</v>
      </c>
      <c r="O54" s="60">
        <f t="shared" si="12"/>
        <v>176.2</v>
      </c>
      <c r="P54" s="60">
        <f t="shared" si="12"/>
        <v>156.1</v>
      </c>
      <c r="Q54" s="60">
        <f t="shared" si="12"/>
        <v>136.19999999999999</v>
      </c>
      <c r="R54" s="60">
        <f t="shared" si="12"/>
        <v>71.099999999999994</v>
      </c>
      <c r="S54" s="60">
        <f t="shared" si="12"/>
        <v>56.1</v>
      </c>
      <c r="T54" s="60">
        <f t="shared" si="12"/>
        <v>54.2</v>
      </c>
      <c r="U54" s="60">
        <f t="shared" si="12"/>
        <v>54.2</v>
      </c>
      <c r="V54" s="60">
        <f t="shared" si="12"/>
        <v>304.2</v>
      </c>
      <c r="W54" s="60">
        <f t="shared" si="12"/>
        <v>304.2</v>
      </c>
      <c r="X54" s="60">
        <f t="shared" si="12"/>
        <v>304.2</v>
      </c>
      <c r="Y54" s="60">
        <f t="shared" si="12"/>
        <v>394.2</v>
      </c>
      <c r="Z54" s="60">
        <f t="shared" si="12"/>
        <v>254.2</v>
      </c>
      <c r="AA54" s="60">
        <f t="shared" si="12"/>
        <v>174.2</v>
      </c>
      <c r="AB54" s="60">
        <f t="shared" si="12"/>
        <v>174.2</v>
      </c>
      <c r="AC54" s="60">
        <f t="shared" si="12"/>
        <v>174.2</v>
      </c>
      <c r="AD54" s="60">
        <f t="shared" si="12"/>
        <v>174.2</v>
      </c>
      <c r="AE54" s="60">
        <f t="shared" si="12"/>
        <v>94.2</v>
      </c>
      <c r="AF54" s="60">
        <f t="shared" si="12"/>
        <v>69.2</v>
      </c>
      <c r="AG54" s="61">
        <f t="shared" si="12"/>
        <v>538.1</v>
      </c>
      <c r="AH54" s="47">
        <f t="shared" si="2"/>
        <v>516.1</v>
      </c>
      <c r="AI54" s="48">
        <f t="shared" si="3"/>
        <v>54.2</v>
      </c>
      <c r="AK54" s="50"/>
    </row>
    <row r="55" spans="1:41" x14ac:dyDescent="0.25">
      <c r="A55" s="44" t="s">
        <v>63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50</v>
      </c>
      <c r="H55" s="45">
        <v>70</v>
      </c>
      <c r="I55" s="45">
        <v>105</v>
      </c>
      <c r="J55" s="45">
        <v>98</v>
      </c>
      <c r="K55" s="45">
        <v>142.30000000000001</v>
      </c>
      <c r="L55" s="45">
        <v>145.4</v>
      </c>
      <c r="M55" s="45">
        <v>145.4</v>
      </c>
      <c r="N55" s="45">
        <v>145.4</v>
      </c>
      <c r="O55" s="45">
        <v>145.4</v>
      </c>
      <c r="P55" s="45">
        <v>143.6</v>
      </c>
      <c r="Q55" s="45">
        <v>102</v>
      </c>
      <c r="R55" s="45">
        <v>111.5</v>
      </c>
      <c r="S55" s="45">
        <v>101</v>
      </c>
      <c r="T55" s="45">
        <v>70</v>
      </c>
      <c r="U55" s="45">
        <v>70</v>
      </c>
      <c r="V55" s="45">
        <v>90</v>
      </c>
      <c r="W55" s="45">
        <v>90</v>
      </c>
      <c r="X55" s="45">
        <v>142</v>
      </c>
      <c r="Y55" s="45">
        <v>142</v>
      </c>
      <c r="Z55" s="45">
        <v>140</v>
      </c>
      <c r="AA55" s="45">
        <v>142</v>
      </c>
      <c r="AB55" s="45">
        <v>126</v>
      </c>
      <c r="AC55" s="45">
        <v>98</v>
      </c>
      <c r="AD55" s="45">
        <v>76.8</v>
      </c>
      <c r="AE55" s="45">
        <v>45.9</v>
      </c>
      <c r="AF55" s="45">
        <v>0</v>
      </c>
      <c r="AG55" s="52">
        <v>144</v>
      </c>
      <c r="AH55" s="47">
        <f t="shared" si="2"/>
        <v>145.4</v>
      </c>
      <c r="AI55" s="48">
        <f t="shared" si="3"/>
        <v>0</v>
      </c>
      <c r="AK55" s="50"/>
    </row>
    <row r="56" spans="1:41" x14ac:dyDescent="0.25">
      <c r="A56" s="54" t="s">
        <v>64</v>
      </c>
      <c r="B56" s="65">
        <v>0</v>
      </c>
      <c r="C56" s="65">
        <v>25</v>
      </c>
      <c r="D56" s="65">
        <v>24.9</v>
      </c>
      <c r="E56" s="65">
        <v>24.9</v>
      </c>
      <c r="F56" s="65">
        <v>26.8</v>
      </c>
      <c r="G56" s="65">
        <v>26.8</v>
      </c>
      <c r="H56" s="65">
        <v>35</v>
      </c>
      <c r="I56" s="65">
        <v>69.3</v>
      </c>
      <c r="J56" s="65">
        <v>69.3</v>
      </c>
      <c r="K56" s="65">
        <v>70.099999999999994</v>
      </c>
      <c r="L56" s="65">
        <v>70.3</v>
      </c>
      <c r="M56" s="65">
        <v>70.3</v>
      </c>
      <c r="N56" s="65">
        <v>67.400000000000006</v>
      </c>
      <c r="O56" s="65">
        <v>68.400000000000006</v>
      </c>
      <c r="P56" s="65">
        <v>45.6</v>
      </c>
      <c r="Q56" s="65">
        <v>35.1</v>
      </c>
      <c r="R56" s="65">
        <v>35.299999999999997</v>
      </c>
      <c r="S56" s="65">
        <v>33</v>
      </c>
      <c r="T56" s="65">
        <v>33</v>
      </c>
      <c r="U56" s="65">
        <v>30</v>
      </c>
      <c r="V56" s="45">
        <v>44.2</v>
      </c>
      <c r="W56" s="45">
        <v>44.2</v>
      </c>
      <c r="X56" s="45">
        <v>70</v>
      </c>
      <c r="Y56" s="45">
        <v>70</v>
      </c>
      <c r="Z56" s="45">
        <v>69.8</v>
      </c>
      <c r="AA56" s="45">
        <v>70</v>
      </c>
      <c r="AB56" s="45">
        <v>70</v>
      </c>
      <c r="AC56" s="45">
        <v>70</v>
      </c>
      <c r="AD56" s="45">
        <v>70</v>
      </c>
      <c r="AE56" s="45">
        <v>24</v>
      </c>
      <c r="AF56" s="45">
        <v>0</v>
      </c>
      <c r="AG56" s="55">
        <v>70</v>
      </c>
      <c r="AH56" s="47">
        <f t="shared" si="2"/>
        <v>70.3</v>
      </c>
      <c r="AI56" s="48">
        <f t="shared" si="3"/>
        <v>0</v>
      </c>
      <c r="AK56" s="50"/>
    </row>
    <row r="57" spans="1:41" x14ac:dyDescent="0.25">
      <c r="A57" s="54" t="s">
        <v>65</v>
      </c>
      <c r="B57" s="65">
        <v>31.8</v>
      </c>
      <c r="C57" s="65">
        <v>31.8</v>
      </c>
      <c r="D57" s="65">
        <v>32</v>
      </c>
      <c r="E57" s="65">
        <v>32</v>
      </c>
      <c r="F57" s="65">
        <v>32</v>
      </c>
      <c r="G57" s="65">
        <v>32</v>
      </c>
      <c r="H57" s="65">
        <v>45</v>
      </c>
      <c r="I57" s="65">
        <v>63.3</v>
      </c>
      <c r="J57" s="65">
        <v>63.3</v>
      </c>
      <c r="K57" s="65">
        <v>67</v>
      </c>
      <c r="L57" s="65">
        <v>66.8</v>
      </c>
      <c r="M57" s="65">
        <v>66.8</v>
      </c>
      <c r="N57" s="65">
        <v>45.9</v>
      </c>
      <c r="O57" s="65">
        <v>40</v>
      </c>
      <c r="P57" s="65">
        <v>20.7</v>
      </c>
      <c r="Q57" s="65">
        <v>20</v>
      </c>
      <c r="R57" s="65">
        <v>22.6</v>
      </c>
      <c r="S57" s="65">
        <v>23</v>
      </c>
      <c r="T57" s="65">
        <v>23</v>
      </c>
      <c r="U57" s="65">
        <v>23</v>
      </c>
      <c r="V57" s="45">
        <v>45.3</v>
      </c>
      <c r="W57" s="45">
        <v>45.3</v>
      </c>
      <c r="X57" s="45">
        <v>70</v>
      </c>
      <c r="Y57" s="45">
        <v>70</v>
      </c>
      <c r="Z57" s="45">
        <v>68.3</v>
      </c>
      <c r="AA57" s="45">
        <v>70</v>
      </c>
      <c r="AB57" s="45">
        <v>70</v>
      </c>
      <c r="AC57" s="45">
        <v>70</v>
      </c>
      <c r="AD57" s="45">
        <v>70</v>
      </c>
      <c r="AE57" s="45">
        <v>49</v>
      </c>
      <c r="AF57" s="45">
        <v>47.3</v>
      </c>
      <c r="AG57" s="55">
        <v>69</v>
      </c>
      <c r="AH57" s="47">
        <f t="shared" si="2"/>
        <v>70</v>
      </c>
      <c r="AI57" s="48">
        <f t="shared" si="3"/>
        <v>20</v>
      </c>
      <c r="AK57" s="50"/>
    </row>
    <row r="58" spans="1:41" x14ac:dyDescent="0.25">
      <c r="A58" s="54" t="s">
        <v>66</v>
      </c>
      <c r="B58" s="65">
        <v>59</v>
      </c>
      <c r="C58" s="65">
        <v>59</v>
      </c>
      <c r="D58" s="65">
        <v>54.9</v>
      </c>
      <c r="E58" s="65">
        <v>54.9</v>
      </c>
      <c r="F58" s="65">
        <v>58</v>
      </c>
      <c r="G58" s="65">
        <v>58</v>
      </c>
      <c r="H58" s="65">
        <v>58</v>
      </c>
      <c r="I58" s="65">
        <v>58</v>
      </c>
      <c r="J58" s="65">
        <v>58</v>
      </c>
      <c r="K58" s="57">
        <v>58</v>
      </c>
      <c r="L58" s="57">
        <v>58</v>
      </c>
      <c r="M58" s="57">
        <v>60</v>
      </c>
      <c r="N58" s="57">
        <v>60</v>
      </c>
      <c r="O58" s="57">
        <v>60</v>
      </c>
      <c r="P58" s="57">
        <v>60</v>
      </c>
      <c r="Q58" s="57">
        <v>60</v>
      </c>
      <c r="R58" s="65">
        <v>55.7</v>
      </c>
      <c r="S58" s="65">
        <v>55.7</v>
      </c>
      <c r="T58" s="65">
        <v>55.7</v>
      </c>
      <c r="U58" s="65">
        <v>55.7</v>
      </c>
      <c r="V58" s="45">
        <v>56.4</v>
      </c>
      <c r="W58" s="45">
        <v>56.4</v>
      </c>
      <c r="X58" s="45">
        <v>56.4</v>
      </c>
      <c r="Y58" s="45">
        <v>56.4</v>
      </c>
      <c r="Z58" s="45">
        <v>56.4</v>
      </c>
      <c r="AA58" s="45">
        <v>56.4</v>
      </c>
      <c r="AB58" s="45">
        <v>56.4</v>
      </c>
      <c r="AC58" s="45">
        <v>56.4</v>
      </c>
      <c r="AD58" s="45">
        <v>56.4</v>
      </c>
      <c r="AE58" s="45">
        <v>60</v>
      </c>
      <c r="AF58" s="45">
        <v>60</v>
      </c>
      <c r="AG58" s="55">
        <v>60</v>
      </c>
      <c r="AH58" s="47">
        <f t="shared" si="2"/>
        <v>60</v>
      </c>
      <c r="AI58" s="48">
        <f t="shared" si="3"/>
        <v>54.9</v>
      </c>
      <c r="AK58" s="50"/>
    </row>
    <row r="59" spans="1:41" x14ac:dyDescent="0.25">
      <c r="A59" s="54" t="s">
        <v>67</v>
      </c>
      <c r="B59" s="65">
        <v>10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57">
        <v>15</v>
      </c>
      <c r="L59" s="57">
        <v>29</v>
      </c>
      <c r="M59" s="57">
        <v>29</v>
      </c>
      <c r="N59" s="57">
        <v>29</v>
      </c>
      <c r="O59" s="57">
        <v>29</v>
      </c>
      <c r="P59" s="57">
        <v>15</v>
      </c>
      <c r="Q59" s="57">
        <v>10</v>
      </c>
      <c r="R59" s="65">
        <v>0</v>
      </c>
      <c r="S59" s="65">
        <v>0</v>
      </c>
      <c r="T59" s="65">
        <v>0</v>
      </c>
      <c r="U59" s="65">
        <v>0</v>
      </c>
      <c r="V59" s="45">
        <v>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28</v>
      </c>
      <c r="AC59" s="45">
        <v>15</v>
      </c>
      <c r="AD59" s="45">
        <v>10</v>
      </c>
      <c r="AE59" s="45">
        <v>10</v>
      </c>
      <c r="AF59" s="45">
        <v>0</v>
      </c>
      <c r="AG59" s="55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4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65">
        <v>0</v>
      </c>
      <c r="L60" s="65">
        <v>0.2</v>
      </c>
      <c r="M60" s="65">
        <v>0.2</v>
      </c>
      <c r="N60" s="65">
        <v>3.2</v>
      </c>
      <c r="O60" s="65">
        <v>4.5999999999999996</v>
      </c>
      <c r="P60" s="65">
        <v>13.5</v>
      </c>
      <c r="Q60" s="65">
        <v>15.4</v>
      </c>
      <c r="R60" s="65">
        <v>6.1</v>
      </c>
      <c r="S60" s="65">
        <v>6.1</v>
      </c>
      <c r="T60" s="65">
        <v>5.6</v>
      </c>
      <c r="U60" s="65">
        <v>3.2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5">
        <v>25</v>
      </c>
      <c r="AH60" s="47">
        <f t="shared" si="2"/>
        <v>15.4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4" t="s">
        <v>70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5">
        <v>15</v>
      </c>
      <c r="AH62" s="47">
        <f t="shared" si="2"/>
        <v>0</v>
      </c>
      <c r="AI62" s="48">
        <f t="shared" si="3"/>
        <v>0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13</v>
      </c>
      <c r="C63" s="65">
        <v>13</v>
      </c>
      <c r="D63" s="65">
        <v>13.4</v>
      </c>
      <c r="E63" s="65">
        <v>13.4</v>
      </c>
      <c r="F63" s="65">
        <v>13.4</v>
      </c>
      <c r="G63" s="65">
        <v>13.4</v>
      </c>
      <c r="H63" s="65">
        <v>13.4</v>
      </c>
      <c r="I63" s="65">
        <v>13.4</v>
      </c>
      <c r="J63" s="65">
        <v>13.4</v>
      </c>
      <c r="K63" s="65">
        <v>13.4</v>
      </c>
      <c r="L63" s="65">
        <v>13.4</v>
      </c>
      <c r="M63" s="65">
        <v>13.4</v>
      </c>
      <c r="N63" s="65">
        <v>13.4</v>
      </c>
      <c r="O63" s="65">
        <v>13.4</v>
      </c>
      <c r="P63" s="65">
        <v>13.4</v>
      </c>
      <c r="Q63" s="65">
        <v>12.4</v>
      </c>
      <c r="R63" s="65">
        <v>12.5</v>
      </c>
      <c r="S63" s="65">
        <v>12.1</v>
      </c>
      <c r="T63" s="65">
        <v>12.1</v>
      </c>
      <c r="U63" s="65">
        <v>12.1</v>
      </c>
      <c r="V63" s="65">
        <v>12.1</v>
      </c>
      <c r="W63" s="65">
        <v>12.1</v>
      </c>
      <c r="X63" s="65">
        <v>12.1</v>
      </c>
      <c r="Y63" s="65">
        <v>12.1</v>
      </c>
      <c r="Z63" s="65">
        <v>12.1</v>
      </c>
      <c r="AA63" s="65">
        <v>12.1</v>
      </c>
      <c r="AB63" s="65">
        <v>12.1</v>
      </c>
      <c r="AC63" s="65">
        <v>12.1</v>
      </c>
      <c r="AD63" s="65">
        <v>12.1</v>
      </c>
      <c r="AE63" s="65">
        <v>12.1</v>
      </c>
      <c r="AF63" s="65">
        <v>12.1</v>
      </c>
      <c r="AG63" s="55">
        <v>14.1</v>
      </c>
      <c r="AH63" s="47">
        <f t="shared" si="2"/>
        <v>13.4</v>
      </c>
      <c r="AI63" s="48">
        <f t="shared" si="3"/>
        <v>12.1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5.2</v>
      </c>
      <c r="C64" s="65">
        <v>5.2</v>
      </c>
      <c r="D64" s="65">
        <v>5.0999999999999996</v>
      </c>
      <c r="E64" s="65">
        <v>5.0999999999999996</v>
      </c>
      <c r="F64" s="65">
        <v>5.0999999999999996</v>
      </c>
      <c r="G64" s="65">
        <v>5.0999999999999996</v>
      </c>
      <c r="H64" s="65">
        <v>5.0999999999999996</v>
      </c>
      <c r="I64" s="65">
        <v>5.0999999999999996</v>
      </c>
      <c r="J64" s="65">
        <v>0</v>
      </c>
      <c r="K64" s="65">
        <v>7.4</v>
      </c>
      <c r="L64" s="65">
        <v>7.4</v>
      </c>
      <c r="M64" s="65">
        <v>6.8</v>
      </c>
      <c r="N64" s="65">
        <v>6.8</v>
      </c>
      <c r="O64" s="65">
        <v>6.8</v>
      </c>
      <c r="P64" s="65">
        <v>6.8</v>
      </c>
      <c r="Q64" s="65">
        <v>6.6</v>
      </c>
      <c r="R64" s="65">
        <v>6.7</v>
      </c>
      <c r="S64" s="65">
        <v>5.8</v>
      </c>
      <c r="T64" s="65">
        <v>5.8</v>
      </c>
      <c r="U64" s="65">
        <v>5.8</v>
      </c>
      <c r="V64" s="65">
        <v>5.8</v>
      </c>
      <c r="W64" s="65">
        <v>5.8</v>
      </c>
      <c r="X64" s="65">
        <v>5.8</v>
      </c>
      <c r="Y64" s="65">
        <v>5.8</v>
      </c>
      <c r="Z64" s="65">
        <v>5.8</v>
      </c>
      <c r="AA64" s="65">
        <v>5.8</v>
      </c>
      <c r="AB64" s="65">
        <v>5.8</v>
      </c>
      <c r="AC64" s="65">
        <v>5.8</v>
      </c>
      <c r="AD64" s="65">
        <v>6.7</v>
      </c>
      <c r="AE64" s="65">
        <v>6.7</v>
      </c>
      <c r="AF64" s="65">
        <v>6.7</v>
      </c>
      <c r="AG64" s="55">
        <v>14</v>
      </c>
      <c r="AH64" s="47">
        <f t="shared" si="2"/>
        <v>7.4</v>
      </c>
      <c r="AI64" s="48">
        <f t="shared" si="3"/>
        <v>0</v>
      </c>
      <c r="AK64" s="50"/>
    </row>
    <row r="65" spans="1:40" x14ac:dyDescent="0.25">
      <c r="A65" s="54" t="s">
        <v>73</v>
      </c>
      <c r="B65" s="65">
        <v>6.5</v>
      </c>
      <c r="C65" s="65">
        <v>6.5</v>
      </c>
      <c r="D65" s="65">
        <v>6.5</v>
      </c>
      <c r="E65" s="65">
        <v>6.5</v>
      </c>
      <c r="F65" s="65">
        <v>6.5</v>
      </c>
      <c r="G65" s="65">
        <v>6.5</v>
      </c>
      <c r="H65" s="65">
        <v>6.5</v>
      </c>
      <c r="I65" s="65">
        <v>6.5</v>
      </c>
      <c r="J65" s="65">
        <v>6.5</v>
      </c>
      <c r="K65" s="65">
        <v>6.5</v>
      </c>
      <c r="L65" s="65">
        <v>6.5</v>
      </c>
      <c r="M65" s="65">
        <v>6.5</v>
      </c>
      <c r="N65" s="65">
        <v>6.5</v>
      </c>
      <c r="O65" s="65">
        <v>6.5</v>
      </c>
      <c r="P65" s="65">
        <v>6.5</v>
      </c>
      <c r="Q65" s="65">
        <v>6.5</v>
      </c>
      <c r="R65" s="65">
        <v>6.5</v>
      </c>
      <c r="S65" s="65">
        <v>6.3</v>
      </c>
      <c r="T65" s="65">
        <v>6.3</v>
      </c>
      <c r="U65" s="65">
        <v>6.3</v>
      </c>
      <c r="V65" s="65">
        <v>6.3</v>
      </c>
      <c r="W65" s="65">
        <v>6.3</v>
      </c>
      <c r="X65" s="65">
        <v>6.3</v>
      </c>
      <c r="Y65" s="65">
        <v>6.3</v>
      </c>
      <c r="Z65" s="65">
        <v>6.3</v>
      </c>
      <c r="AA65" s="65">
        <v>6.3</v>
      </c>
      <c r="AB65" s="65">
        <v>6.3</v>
      </c>
      <c r="AC65" s="65">
        <v>6.3</v>
      </c>
      <c r="AD65" s="65">
        <v>6.3</v>
      </c>
      <c r="AE65" s="65">
        <v>6.3</v>
      </c>
      <c r="AF65" s="65">
        <v>6.3</v>
      </c>
      <c r="AG65" s="55">
        <v>10.050000000000001</v>
      </c>
      <c r="AH65" s="47">
        <f t="shared" si="2"/>
        <v>6.5</v>
      </c>
      <c r="AI65" s="48">
        <f t="shared" si="3"/>
        <v>6.3</v>
      </c>
      <c r="AK65" s="50"/>
    </row>
    <row r="66" spans="1:40" x14ac:dyDescent="0.25">
      <c r="A66" s="54" t="s">
        <v>74</v>
      </c>
      <c r="B66" s="65">
        <v>1.64</v>
      </c>
      <c r="C66" s="65">
        <v>1.64</v>
      </c>
      <c r="D66" s="65">
        <v>1.64</v>
      </c>
      <c r="E66" s="65">
        <v>1.64</v>
      </c>
      <c r="F66" s="65">
        <v>1.64</v>
      </c>
      <c r="G66" s="65">
        <v>1.64</v>
      </c>
      <c r="H66" s="65">
        <v>1.64</v>
      </c>
      <c r="I66" s="65">
        <v>1.64</v>
      </c>
      <c r="J66" s="65">
        <v>1.64</v>
      </c>
      <c r="K66" s="65">
        <v>1.64</v>
      </c>
      <c r="L66" s="65">
        <v>1.64</v>
      </c>
      <c r="M66" s="65">
        <v>1.64</v>
      </c>
      <c r="N66" s="65">
        <v>1.64</v>
      </c>
      <c r="O66" s="65">
        <v>1.64</v>
      </c>
      <c r="P66" s="65">
        <v>1.64</v>
      </c>
      <c r="Q66" s="65">
        <v>1.64</v>
      </c>
      <c r="R66" s="65">
        <v>1.64</v>
      </c>
      <c r="S66" s="65">
        <v>1.64</v>
      </c>
      <c r="T66" s="65">
        <v>1.64</v>
      </c>
      <c r="U66" s="65">
        <v>1.64</v>
      </c>
      <c r="V66" s="65">
        <v>1.64</v>
      </c>
      <c r="W66" s="65">
        <v>1.64</v>
      </c>
      <c r="X66" s="65">
        <v>1.64</v>
      </c>
      <c r="Y66" s="65">
        <v>1.64</v>
      </c>
      <c r="Z66" s="65">
        <v>1.64</v>
      </c>
      <c r="AA66" s="65">
        <v>1.64</v>
      </c>
      <c r="AB66" s="65">
        <v>1.64</v>
      </c>
      <c r="AC66" s="65">
        <v>1.64</v>
      </c>
      <c r="AD66" s="65">
        <v>1.64</v>
      </c>
      <c r="AE66" s="65">
        <v>1.64</v>
      </c>
      <c r="AF66" s="65">
        <v>1.64</v>
      </c>
      <c r="AG66" s="55">
        <v>6.2</v>
      </c>
      <c r="AH66" s="47">
        <f t="shared" si="2"/>
        <v>1.64</v>
      </c>
      <c r="AI66" s="48">
        <f t="shared" si="3"/>
        <v>1.64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4" t="s">
        <v>76</v>
      </c>
      <c r="B68" s="60">
        <f t="shared" ref="B68:C68" si="15">SUM(B55:B67)</f>
        <v>146.67999999999998</v>
      </c>
      <c r="C68" s="60">
        <f t="shared" si="15"/>
        <v>161.67999999999998</v>
      </c>
      <c r="D68" s="60">
        <f t="shared" ref="D68" si="16">SUM(D55:D67)</f>
        <v>157.97999999999996</v>
      </c>
      <c r="E68" s="60">
        <f t="shared" ref="E68:AG68" si="17">SUM(E55:E67)</f>
        <v>157.97999999999996</v>
      </c>
      <c r="F68" s="60">
        <f t="shared" si="17"/>
        <v>162.97999999999999</v>
      </c>
      <c r="G68" s="60">
        <f t="shared" si="17"/>
        <v>212.98</v>
      </c>
      <c r="H68" s="60">
        <f t="shared" si="17"/>
        <v>254.17999999999998</v>
      </c>
      <c r="I68" s="60">
        <f t="shared" si="17"/>
        <v>341.78000000000003</v>
      </c>
      <c r="J68" s="60">
        <f t="shared" si="17"/>
        <v>329.68</v>
      </c>
      <c r="K68" s="60">
        <f t="shared" si="17"/>
        <v>400.87999999999994</v>
      </c>
      <c r="L68" s="60">
        <f t="shared" si="17"/>
        <v>418.17999999999995</v>
      </c>
      <c r="M68" s="60">
        <f t="shared" si="17"/>
        <v>419.58</v>
      </c>
      <c r="N68" s="60">
        <f t="shared" si="17"/>
        <v>398.78</v>
      </c>
      <c r="O68" s="60">
        <f t="shared" si="17"/>
        <v>395.28000000000003</v>
      </c>
      <c r="P68" s="60">
        <f t="shared" si="17"/>
        <v>346.28</v>
      </c>
      <c r="Q68" s="60">
        <f t="shared" si="17"/>
        <v>289.18</v>
      </c>
      <c r="R68" s="60">
        <f t="shared" si="17"/>
        <v>278.08000000000004</v>
      </c>
      <c r="S68" s="60">
        <f t="shared" si="17"/>
        <v>264.18</v>
      </c>
      <c r="T68" s="60">
        <f t="shared" si="17"/>
        <v>232.67999999999998</v>
      </c>
      <c r="U68" s="60">
        <f t="shared" si="17"/>
        <v>227.27999999999997</v>
      </c>
      <c r="V68" s="60">
        <f t="shared" si="17"/>
        <v>281.28000000000003</v>
      </c>
      <c r="W68" s="60">
        <f t="shared" si="17"/>
        <v>311.28000000000003</v>
      </c>
      <c r="X68" s="60">
        <f t="shared" si="17"/>
        <v>413.78000000000003</v>
      </c>
      <c r="Y68" s="60">
        <f t="shared" si="17"/>
        <v>413.78000000000003</v>
      </c>
      <c r="Z68" s="60">
        <f t="shared" si="17"/>
        <v>409.88000000000005</v>
      </c>
      <c r="AA68" s="60">
        <f t="shared" si="17"/>
        <v>413.78000000000003</v>
      </c>
      <c r="AB68" s="60">
        <f t="shared" si="17"/>
        <v>395.78000000000003</v>
      </c>
      <c r="AC68" s="60">
        <f t="shared" si="17"/>
        <v>354.78000000000003</v>
      </c>
      <c r="AD68" s="60">
        <f t="shared" si="17"/>
        <v>329.48</v>
      </c>
      <c r="AE68" s="60">
        <f t="shared" si="17"/>
        <v>235.17999999999998</v>
      </c>
      <c r="AF68" s="60">
        <f t="shared" si="17"/>
        <v>153.57999999999998</v>
      </c>
      <c r="AG68" s="61">
        <f t="shared" si="17"/>
        <v>489.91</v>
      </c>
      <c r="AH68" s="47">
        <f t="shared" si="2"/>
        <v>419.58</v>
      </c>
      <c r="AI68" s="48">
        <f t="shared" si="3"/>
        <v>146.67999999999998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/>
      <c r="F69" s="45"/>
      <c r="G69" s="45"/>
      <c r="H69" s="45"/>
      <c r="I69" s="45"/>
      <c r="J69" s="45"/>
      <c r="K69" s="45"/>
      <c r="L69" s="45">
        <v>14</v>
      </c>
      <c r="M69" s="45">
        <v>13.7</v>
      </c>
      <c r="N69" s="45">
        <v>29.1</v>
      </c>
      <c r="O69" s="45">
        <v>59.2</v>
      </c>
      <c r="P69" s="45">
        <v>13.7</v>
      </c>
      <c r="Q69" s="45">
        <v>0</v>
      </c>
      <c r="R69" s="45">
        <v>0</v>
      </c>
      <c r="S69" s="45">
        <v>0</v>
      </c>
      <c r="T69" s="45">
        <v>0</v>
      </c>
      <c r="U69" s="45"/>
      <c r="V69" s="45">
        <v>14</v>
      </c>
      <c r="W69" s="45">
        <v>14</v>
      </c>
      <c r="X69" s="45">
        <v>59.8</v>
      </c>
      <c r="Y69" s="45">
        <v>59.8</v>
      </c>
      <c r="Z69" s="45">
        <v>59.8</v>
      </c>
      <c r="AA69" s="45">
        <v>59.8</v>
      </c>
      <c r="AB69" s="45">
        <v>20.2</v>
      </c>
      <c r="AC69" s="45">
        <v>29.6</v>
      </c>
      <c r="AD69" s="45">
        <v>0</v>
      </c>
      <c r="AE69" s="45">
        <v>0</v>
      </c>
      <c r="AF69" s="45">
        <v>0</v>
      </c>
      <c r="AG69" s="52">
        <v>60</v>
      </c>
      <c r="AH69" s="47">
        <f t="shared" si="2"/>
        <v>59.8</v>
      </c>
      <c r="AI69" s="48">
        <f t="shared" si="3"/>
        <v>0</v>
      </c>
      <c r="AK69" s="50"/>
    </row>
    <row r="70" spans="1:40" x14ac:dyDescent="0.25">
      <c r="A70" s="54" t="s">
        <v>78</v>
      </c>
      <c r="B70" s="65">
        <v>0</v>
      </c>
      <c r="C70" s="65">
        <v>0</v>
      </c>
      <c r="D70" s="65">
        <v>0</v>
      </c>
      <c r="E70" s="65"/>
      <c r="F70" s="65"/>
      <c r="G70" s="65"/>
      <c r="H70" s="65"/>
      <c r="I70" s="65"/>
      <c r="J70" s="65"/>
      <c r="K70" s="65"/>
      <c r="L70" s="65">
        <v>0</v>
      </c>
      <c r="M70" s="65">
        <v>5.2</v>
      </c>
      <c r="N70" s="65">
        <v>13.6</v>
      </c>
      <c r="O70" s="65">
        <v>27.4</v>
      </c>
      <c r="P70" s="65">
        <v>4.7</v>
      </c>
      <c r="Q70" s="65">
        <v>0</v>
      </c>
      <c r="R70" s="65">
        <v>0</v>
      </c>
      <c r="S70" s="65">
        <v>0</v>
      </c>
      <c r="T70" s="65">
        <v>0</v>
      </c>
      <c r="U70" s="65"/>
      <c r="V70" s="65">
        <v>7.4</v>
      </c>
      <c r="W70" s="65">
        <v>7.4</v>
      </c>
      <c r="X70" s="65">
        <v>24.9</v>
      </c>
      <c r="Y70" s="65">
        <v>24.9</v>
      </c>
      <c r="Z70" s="65">
        <v>24.9</v>
      </c>
      <c r="AA70" s="65">
        <v>24.9</v>
      </c>
      <c r="AB70" s="65">
        <v>5.5</v>
      </c>
      <c r="AC70" s="65">
        <v>13.4</v>
      </c>
      <c r="AD70" s="65">
        <v>0</v>
      </c>
      <c r="AE70" s="65">
        <v>0</v>
      </c>
      <c r="AF70" s="65">
        <v>0</v>
      </c>
      <c r="AG70" s="55">
        <v>32</v>
      </c>
      <c r="AH70" s="47">
        <f t="shared" si="2"/>
        <v>27.4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67">
        <v>0</v>
      </c>
      <c r="C71" s="67">
        <v>0</v>
      </c>
      <c r="D71" s="67">
        <v>0</v>
      </c>
      <c r="E71" s="67"/>
      <c r="F71" s="67"/>
      <c r="G71" s="67"/>
      <c r="H71" s="67"/>
      <c r="I71" s="67"/>
      <c r="J71" s="67"/>
      <c r="K71" s="67"/>
      <c r="L71" s="67">
        <v>0</v>
      </c>
      <c r="M71" s="67">
        <v>1.9</v>
      </c>
      <c r="N71" s="67">
        <v>5</v>
      </c>
      <c r="O71" s="67">
        <v>10</v>
      </c>
      <c r="P71" s="67">
        <v>1.7</v>
      </c>
      <c r="Q71" s="67">
        <v>0</v>
      </c>
      <c r="R71" s="67">
        <v>0</v>
      </c>
      <c r="S71" s="67">
        <v>0</v>
      </c>
      <c r="T71" s="67">
        <v>0</v>
      </c>
      <c r="U71" s="67"/>
      <c r="V71" s="67">
        <v>3.1</v>
      </c>
      <c r="W71" s="67">
        <v>3.1</v>
      </c>
      <c r="X71" s="67">
        <v>9.1</v>
      </c>
      <c r="Y71" s="67">
        <v>9.1</v>
      </c>
      <c r="Z71" s="67">
        <v>9.1</v>
      </c>
      <c r="AA71" s="67">
        <v>9.1</v>
      </c>
      <c r="AB71" s="67">
        <v>2</v>
      </c>
      <c r="AC71" s="67">
        <v>4.9000000000000004</v>
      </c>
      <c r="AD71" s="67">
        <v>0</v>
      </c>
      <c r="AE71" s="67">
        <v>0</v>
      </c>
      <c r="AF71" s="67">
        <v>0</v>
      </c>
      <c r="AG71" s="68">
        <v>14</v>
      </c>
      <c r="AH71" s="47">
        <f t="shared" si="2"/>
        <v>10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 t="shared" ref="B72:C72" si="18">B69+B70+B71</f>
        <v>0</v>
      </c>
      <c r="C72" s="60">
        <f t="shared" si="18"/>
        <v>0</v>
      </c>
      <c r="D72" s="60">
        <f t="shared" ref="D72" si="19">D69+D70+D71</f>
        <v>0</v>
      </c>
      <c r="E72" s="60">
        <f t="shared" ref="E72:AF72" si="20">E69+E70+E71</f>
        <v>0</v>
      </c>
      <c r="F72" s="60">
        <f t="shared" si="20"/>
        <v>0</v>
      </c>
      <c r="G72" s="60">
        <f t="shared" si="20"/>
        <v>0</v>
      </c>
      <c r="H72" s="60">
        <f t="shared" si="20"/>
        <v>0</v>
      </c>
      <c r="I72" s="60">
        <f t="shared" si="20"/>
        <v>0</v>
      </c>
      <c r="J72" s="60">
        <f t="shared" si="20"/>
        <v>0</v>
      </c>
      <c r="K72" s="60">
        <f t="shared" si="20"/>
        <v>0</v>
      </c>
      <c r="L72" s="60">
        <f t="shared" si="20"/>
        <v>14</v>
      </c>
      <c r="M72" s="60">
        <f t="shared" si="20"/>
        <v>20.799999999999997</v>
      </c>
      <c r="N72" s="60">
        <f t="shared" si="20"/>
        <v>47.7</v>
      </c>
      <c r="O72" s="60">
        <f t="shared" si="20"/>
        <v>96.6</v>
      </c>
      <c r="P72" s="60">
        <f t="shared" si="20"/>
        <v>20.099999999999998</v>
      </c>
      <c r="Q72" s="60">
        <f t="shared" si="20"/>
        <v>0</v>
      </c>
      <c r="R72" s="60">
        <f t="shared" si="20"/>
        <v>0</v>
      </c>
      <c r="S72" s="60">
        <f t="shared" si="20"/>
        <v>0</v>
      </c>
      <c r="T72" s="60">
        <f t="shared" si="20"/>
        <v>0</v>
      </c>
      <c r="U72" s="60">
        <f t="shared" si="20"/>
        <v>0</v>
      </c>
      <c r="V72" s="60">
        <f t="shared" si="20"/>
        <v>24.5</v>
      </c>
      <c r="W72" s="60">
        <f t="shared" si="20"/>
        <v>24.5</v>
      </c>
      <c r="X72" s="60">
        <f t="shared" si="20"/>
        <v>93.799999999999983</v>
      </c>
      <c r="Y72" s="60">
        <f t="shared" si="20"/>
        <v>93.799999999999983</v>
      </c>
      <c r="Z72" s="60">
        <f t="shared" si="20"/>
        <v>93.799999999999983</v>
      </c>
      <c r="AA72" s="60">
        <f t="shared" si="20"/>
        <v>93.799999999999983</v>
      </c>
      <c r="AB72" s="60">
        <f t="shared" si="20"/>
        <v>27.7</v>
      </c>
      <c r="AC72" s="60">
        <f t="shared" si="20"/>
        <v>47.9</v>
      </c>
      <c r="AD72" s="60">
        <f t="shared" si="20"/>
        <v>0</v>
      </c>
      <c r="AE72" s="60">
        <f t="shared" si="20"/>
        <v>0</v>
      </c>
      <c r="AF72" s="60">
        <f t="shared" si="20"/>
        <v>0</v>
      </c>
      <c r="AG72" s="61">
        <f>SUM(AG69:AG71)</f>
        <v>106</v>
      </c>
      <c r="AH72" s="47">
        <f t="shared" si="2"/>
        <v>96.6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0</v>
      </c>
      <c r="C73" s="45">
        <v>0</v>
      </c>
      <c r="D73" s="45">
        <v>0</v>
      </c>
      <c r="E73" s="45"/>
      <c r="F73" s="45"/>
      <c r="G73" s="45"/>
      <c r="H73" s="45"/>
      <c r="I73" s="45"/>
      <c r="J73" s="45"/>
      <c r="K73" s="45"/>
      <c r="L73" s="45"/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/>
      <c r="Z73" s="45"/>
      <c r="AA73" s="45"/>
      <c r="AB73" s="45"/>
      <c r="AC73" s="45"/>
      <c r="AD73" s="45"/>
      <c r="AE73" s="45"/>
      <c r="AF73" s="45"/>
      <c r="AG73" s="52"/>
      <c r="AH73" s="47">
        <f t="shared" si="2"/>
        <v>0</v>
      </c>
      <c r="AI73" s="48">
        <f t="shared" si="3"/>
        <v>0</v>
      </c>
      <c r="AK73" s="50"/>
    </row>
    <row r="74" spans="1:40" x14ac:dyDescent="0.25">
      <c r="A74" s="54" t="s">
        <v>82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/>
      <c r="Z74" s="65"/>
      <c r="AA74" s="65"/>
      <c r="AB74" s="65"/>
      <c r="AC74" s="65"/>
      <c r="AD74" s="65"/>
      <c r="AE74" s="65"/>
      <c r="AF74" s="65"/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261</v>
      </c>
      <c r="C75" s="65">
        <v>212</v>
      </c>
      <c r="D75" s="65">
        <v>226.1</v>
      </c>
      <c r="E75" s="65">
        <v>201</v>
      </c>
      <c r="F75" s="65">
        <v>212</v>
      </c>
      <c r="G75" s="65">
        <v>214</v>
      </c>
      <c r="H75" s="65">
        <v>220</v>
      </c>
      <c r="I75" s="65">
        <v>213.2</v>
      </c>
      <c r="J75" s="65">
        <v>231</v>
      </c>
      <c r="K75" s="65">
        <v>185</v>
      </c>
      <c r="L75" s="65">
        <v>77</v>
      </c>
      <c r="M75" s="65">
        <v>8.5</v>
      </c>
      <c r="N75" s="65">
        <v>30</v>
      </c>
      <c r="O75" s="65">
        <v>139.5</v>
      </c>
      <c r="P75" s="65">
        <v>294.3</v>
      </c>
      <c r="Q75" s="65">
        <v>308</v>
      </c>
      <c r="R75" s="65">
        <v>325</v>
      </c>
      <c r="S75" s="65">
        <v>356</v>
      </c>
      <c r="T75" s="65">
        <v>370</v>
      </c>
      <c r="U75" s="65">
        <v>405</v>
      </c>
      <c r="V75" s="65">
        <v>129</v>
      </c>
      <c r="W75" s="65">
        <v>-15</v>
      </c>
      <c r="X75" s="65">
        <v>0</v>
      </c>
      <c r="Y75" s="65">
        <v>12</v>
      </c>
      <c r="Z75" s="65">
        <v>65</v>
      </c>
      <c r="AA75" s="65">
        <v>142</v>
      </c>
      <c r="AB75" s="65">
        <v>197</v>
      </c>
      <c r="AC75" s="65">
        <v>166</v>
      </c>
      <c r="AD75" s="65">
        <v>163</v>
      </c>
      <c r="AE75" s="65">
        <v>186</v>
      </c>
      <c r="AF75" s="65">
        <v>195</v>
      </c>
      <c r="AG75" s="75"/>
      <c r="AH75" s="47">
        <f t="shared" si="2"/>
        <v>405</v>
      </c>
      <c r="AI75" s="48">
        <f t="shared" si="3"/>
        <v>-15</v>
      </c>
      <c r="AK75" s="50"/>
    </row>
    <row r="76" spans="1:40" x14ac:dyDescent="0.25">
      <c r="A76" s="54" t="s">
        <v>84</v>
      </c>
      <c r="B76" s="65"/>
      <c r="C76" s="65"/>
      <c r="D76" s="65"/>
      <c r="E76" s="76"/>
      <c r="F76" s="76"/>
      <c r="G76" s="76"/>
      <c r="H76" s="76"/>
      <c r="I76" s="76"/>
      <c r="J76" s="76"/>
      <c r="K76" s="76"/>
      <c r="L76" s="76"/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/>
      <c r="Z76" s="76"/>
      <c r="AA76" s="76"/>
      <c r="AB76" s="76"/>
      <c r="AC76" s="76"/>
      <c r="AD76" s="65"/>
      <c r="AE76" s="76"/>
      <c r="AF76" s="76"/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2" si="21">MAX(B77:AF77)</f>
        <v>0</v>
      </c>
      <c r="AI77" s="48">
        <f t="shared" ref="AI77:AI122" si="22">MIN(B77:AF77)</f>
        <v>0</v>
      </c>
      <c r="AK77" s="50"/>
    </row>
    <row r="78" spans="1:40" x14ac:dyDescent="0.25">
      <c r="A78" s="54" t="s">
        <v>86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21"/>
        <v>0</v>
      </c>
      <c r="AI78" s="48">
        <f t="shared" si="22"/>
        <v>0</v>
      </c>
      <c r="AK78" s="50"/>
    </row>
    <row r="79" spans="1:40" ht="15.75" thickBot="1" x14ac:dyDescent="0.3">
      <c r="A79" s="54" t="s">
        <v>87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21"/>
        <v>0</v>
      </c>
      <c r="AI79" s="48">
        <f t="shared" si="22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21"/>
        <v>0</v>
      </c>
      <c r="AI80" s="48">
        <f t="shared" si="22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21"/>
        <v>0</v>
      </c>
      <c r="AI81" s="48">
        <f t="shared" si="22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21"/>
        <v>0</v>
      </c>
      <c r="AI82" s="48">
        <f t="shared" si="22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21"/>
        <v>0</v>
      </c>
      <c r="AI83" s="48">
        <f t="shared" si="22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C84" si="23">SUMIF(B73:B83,"&gt;0")</f>
        <v>261</v>
      </c>
      <c r="C84" s="60">
        <f t="shared" si="23"/>
        <v>212</v>
      </c>
      <c r="D84" s="60">
        <f t="shared" ref="D84" si="24">SUMIF(D73:D83,"&gt;0")</f>
        <v>226.1</v>
      </c>
      <c r="E84" s="60">
        <f t="shared" ref="E84:AF84" si="25">SUMIF(E73:E83,"&gt;0")</f>
        <v>201</v>
      </c>
      <c r="F84" s="60">
        <f t="shared" si="25"/>
        <v>212</v>
      </c>
      <c r="G84" s="60">
        <f t="shared" si="25"/>
        <v>214</v>
      </c>
      <c r="H84" s="60">
        <f t="shared" si="25"/>
        <v>220</v>
      </c>
      <c r="I84" s="60">
        <f t="shared" si="25"/>
        <v>213.2</v>
      </c>
      <c r="J84" s="60">
        <f t="shared" si="25"/>
        <v>231</v>
      </c>
      <c r="K84" s="60">
        <f t="shared" si="25"/>
        <v>185</v>
      </c>
      <c r="L84" s="60">
        <f t="shared" si="25"/>
        <v>77</v>
      </c>
      <c r="M84" s="60">
        <f t="shared" si="25"/>
        <v>8.5</v>
      </c>
      <c r="N84" s="60">
        <f t="shared" si="25"/>
        <v>30</v>
      </c>
      <c r="O84" s="60">
        <f t="shared" si="25"/>
        <v>139.5</v>
      </c>
      <c r="P84" s="60">
        <f t="shared" si="25"/>
        <v>294.3</v>
      </c>
      <c r="Q84" s="60">
        <f t="shared" si="25"/>
        <v>308</v>
      </c>
      <c r="R84" s="60">
        <f t="shared" si="25"/>
        <v>325</v>
      </c>
      <c r="S84" s="60">
        <f t="shared" si="25"/>
        <v>356</v>
      </c>
      <c r="T84" s="60">
        <f t="shared" si="25"/>
        <v>370</v>
      </c>
      <c r="U84" s="60">
        <f t="shared" si="25"/>
        <v>405</v>
      </c>
      <c r="V84" s="60">
        <f t="shared" si="25"/>
        <v>129</v>
      </c>
      <c r="W84" s="60">
        <f t="shared" si="25"/>
        <v>0</v>
      </c>
      <c r="X84" s="60">
        <f t="shared" si="25"/>
        <v>0</v>
      </c>
      <c r="Y84" s="60">
        <f t="shared" si="25"/>
        <v>12</v>
      </c>
      <c r="Z84" s="60">
        <f t="shared" si="25"/>
        <v>65</v>
      </c>
      <c r="AA84" s="60">
        <f t="shared" si="25"/>
        <v>142</v>
      </c>
      <c r="AB84" s="60">
        <f t="shared" si="25"/>
        <v>197</v>
      </c>
      <c r="AC84" s="60">
        <f t="shared" si="25"/>
        <v>166</v>
      </c>
      <c r="AD84" s="60">
        <f t="shared" si="25"/>
        <v>163</v>
      </c>
      <c r="AE84" s="60">
        <f t="shared" si="25"/>
        <v>186</v>
      </c>
      <c r="AF84" s="60">
        <f t="shared" si="25"/>
        <v>195</v>
      </c>
      <c r="AG84" s="88">
        <f>SUM(AG73:AG83)</f>
        <v>0</v>
      </c>
      <c r="AH84" s="47">
        <f t="shared" si="21"/>
        <v>405</v>
      </c>
      <c r="AI84" s="48">
        <f t="shared" si="22"/>
        <v>0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21"/>
        <v>0</v>
      </c>
      <c r="AI85" s="48">
        <f t="shared" si="22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21"/>
        <v>0</v>
      </c>
      <c r="AI86" s="48">
        <f t="shared" si="22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21"/>
        <v>0</v>
      </c>
      <c r="AI87" s="48">
        <f t="shared" si="22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21"/>
        <v>0</v>
      </c>
      <c r="AI88" s="48">
        <f t="shared" si="22"/>
        <v>0</v>
      </c>
    </row>
    <row r="89" spans="1:40" ht="15.75" thickBot="1" x14ac:dyDescent="0.3">
      <c r="A89" s="74" t="s">
        <v>100</v>
      </c>
      <c r="B89" s="95">
        <f t="shared" ref="B89:C89" si="26">B50+B54+B72+B68+B84+B88</f>
        <v>1174.28</v>
      </c>
      <c r="C89" s="95">
        <f t="shared" si="26"/>
        <v>1130.28</v>
      </c>
      <c r="D89" s="95">
        <f t="shared" ref="D89" si="27">D50+D54+D72+D68+D84+D88</f>
        <v>1140.98</v>
      </c>
      <c r="E89" s="95">
        <f t="shared" ref="E89:AG89" si="28">E50+E54+E72+E68+E84+E88</f>
        <v>1103.8800000000001</v>
      </c>
      <c r="F89" s="95">
        <f t="shared" si="28"/>
        <v>1119.8800000000001</v>
      </c>
      <c r="G89" s="95">
        <f t="shared" si="28"/>
        <v>1201.8800000000001</v>
      </c>
      <c r="H89" s="95">
        <f t="shared" si="28"/>
        <v>1279.0800000000002</v>
      </c>
      <c r="I89" s="95">
        <f t="shared" si="28"/>
        <v>1389.88</v>
      </c>
      <c r="J89" s="95">
        <f t="shared" si="28"/>
        <v>1427.68</v>
      </c>
      <c r="K89" s="95">
        <f t="shared" si="28"/>
        <v>1565.18</v>
      </c>
      <c r="L89" s="95">
        <f t="shared" si="28"/>
        <v>1668.48</v>
      </c>
      <c r="M89" s="95">
        <f t="shared" si="28"/>
        <v>1654.18</v>
      </c>
      <c r="N89" s="95">
        <f t="shared" si="28"/>
        <v>1655.7800000000002</v>
      </c>
      <c r="O89" s="95">
        <f t="shared" si="28"/>
        <v>1496.7800000000002</v>
      </c>
      <c r="P89" s="95">
        <f t="shared" si="28"/>
        <v>1505.98</v>
      </c>
      <c r="Q89" s="95">
        <f t="shared" si="28"/>
        <v>1422.5800000000002</v>
      </c>
      <c r="R89" s="95">
        <f t="shared" si="28"/>
        <v>1363.38</v>
      </c>
      <c r="S89" s="95">
        <f t="shared" si="28"/>
        <v>1365.48</v>
      </c>
      <c r="T89" s="95">
        <f t="shared" si="28"/>
        <v>1346.08</v>
      </c>
      <c r="U89" s="95">
        <f t="shared" si="28"/>
        <v>1375.68</v>
      </c>
      <c r="V89" s="95">
        <f t="shared" si="28"/>
        <v>1425.58</v>
      </c>
      <c r="W89" s="95">
        <f t="shared" si="28"/>
        <v>1326.58</v>
      </c>
      <c r="X89" s="95">
        <f t="shared" si="28"/>
        <v>1499.1799999999998</v>
      </c>
      <c r="Y89" s="95">
        <f t="shared" si="28"/>
        <v>1601.1799999999998</v>
      </c>
      <c r="Z89" s="95">
        <f t="shared" si="28"/>
        <v>1510.28</v>
      </c>
      <c r="AA89" s="95">
        <f t="shared" si="28"/>
        <v>1511.1799999999998</v>
      </c>
      <c r="AB89" s="95">
        <f t="shared" si="28"/>
        <v>1482.08</v>
      </c>
      <c r="AC89" s="95">
        <f t="shared" si="28"/>
        <v>1430.28</v>
      </c>
      <c r="AD89" s="95">
        <f t="shared" si="28"/>
        <v>1354.08</v>
      </c>
      <c r="AE89" s="95">
        <f t="shared" si="28"/>
        <v>1202.78</v>
      </c>
      <c r="AF89" s="95">
        <f t="shared" si="28"/>
        <v>1105.18</v>
      </c>
      <c r="AG89" s="61">
        <f t="shared" si="28"/>
        <v>2111.5500000000002</v>
      </c>
      <c r="AH89" s="47">
        <f t="shared" si="21"/>
        <v>1668.48</v>
      </c>
      <c r="AI89" s="48">
        <f t="shared" si="22"/>
        <v>1103.8800000000001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>
        <v>50</v>
      </c>
      <c r="K90" s="97">
        <v>80</v>
      </c>
      <c r="L90" s="97">
        <v>80</v>
      </c>
      <c r="M90" s="97">
        <v>80</v>
      </c>
      <c r="N90" s="97">
        <v>20</v>
      </c>
      <c r="O90" s="97">
        <v>120</v>
      </c>
      <c r="P90" s="97">
        <v>50</v>
      </c>
      <c r="Q90" s="97">
        <v>30</v>
      </c>
      <c r="R90" s="97"/>
      <c r="S90" s="97"/>
      <c r="T90" s="97"/>
      <c r="U90" s="97"/>
      <c r="V90" s="97"/>
      <c r="W90" s="97">
        <v>50</v>
      </c>
      <c r="X90" s="97">
        <v>100</v>
      </c>
      <c r="Y90" s="97">
        <v>100</v>
      </c>
      <c r="Z90" s="97">
        <v>80</v>
      </c>
      <c r="AA90" s="97">
        <v>50</v>
      </c>
      <c r="AB90" s="97">
        <v>50</v>
      </c>
      <c r="AC90" s="97">
        <v>50</v>
      </c>
      <c r="AD90" s="97">
        <v>25</v>
      </c>
      <c r="AE90" s="97"/>
      <c r="AF90" s="97"/>
      <c r="AG90" s="88"/>
      <c r="AH90" s="47">
        <f t="shared" si="21"/>
        <v>120</v>
      </c>
      <c r="AI90" s="48">
        <f t="shared" si="22"/>
        <v>20</v>
      </c>
    </row>
    <row r="91" spans="1:40" ht="15.75" thickBot="1" x14ac:dyDescent="0.3">
      <c r="A91" s="74" t="s">
        <v>102</v>
      </c>
      <c r="B91" s="95">
        <f t="shared" ref="B91:C91" si="29">B89+B90</f>
        <v>1174.28</v>
      </c>
      <c r="C91" s="95">
        <f t="shared" si="29"/>
        <v>1130.28</v>
      </c>
      <c r="D91" s="95">
        <f t="shared" ref="D91" si="30">D89+D90</f>
        <v>1140.98</v>
      </c>
      <c r="E91" s="95">
        <f t="shared" ref="E91:AF91" si="31">E89+E90</f>
        <v>1103.8800000000001</v>
      </c>
      <c r="F91" s="95">
        <f t="shared" si="31"/>
        <v>1119.8800000000001</v>
      </c>
      <c r="G91" s="95">
        <f t="shared" si="31"/>
        <v>1201.8800000000001</v>
      </c>
      <c r="H91" s="95">
        <f t="shared" si="31"/>
        <v>1279.0800000000002</v>
      </c>
      <c r="I91" s="95">
        <f t="shared" si="31"/>
        <v>1389.88</v>
      </c>
      <c r="J91" s="95">
        <f t="shared" si="31"/>
        <v>1477.68</v>
      </c>
      <c r="K91" s="95">
        <f t="shared" si="31"/>
        <v>1645.18</v>
      </c>
      <c r="L91" s="95">
        <f t="shared" si="31"/>
        <v>1748.48</v>
      </c>
      <c r="M91" s="95">
        <f t="shared" si="31"/>
        <v>1734.18</v>
      </c>
      <c r="N91" s="95">
        <f t="shared" si="31"/>
        <v>1675.7800000000002</v>
      </c>
      <c r="O91" s="95">
        <f t="shared" si="31"/>
        <v>1616.7800000000002</v>
      </c>
      <c r="P91" s="95">
        <f t="shared" si="31"/>
        <v>1555.98</v>
      </c>
      <c r="Q91" s="95">
        <f t="shared" si="31"/>
        <v>1452.5800000000002</v>
      </c>
      <c r="R91" s="95">
        <f t="shared" si="31"/>
        <v>1363.38</v>
      </c>
      <c r="S91" s="95">
        <f t="shared" si="31"/>
        <v>1365.48</v>
      </c>
      <c r="T91" s="95">
        <f t="shared" si="31"/>
        <v>1346.08</v>
      </c>
      <c r="U91" s="95">
        <f t="shared" si="31"/>
        <v>1375.68</v>
      </c>
      <c r="V91" s="95">
        <f t="shared" si="31"/>
        <v>1425.58</v>
      </c>
      <c r="W91" s="95">
        <f t="shared" si="31"/>
        <v>1376.58</v>
      </c>
      <c r="X91" s="95">
        <f t="shared" si="31"/>
        <v>1599.1799999999998</v>
      </c>
      <c r="Y91" s="95">
        <f t="shared" si="31"/>
        <v>1701.1799999999998</v>
      </c>
      <c r="Z91" s="95">
        <f t="shared" si="31"/>
        <v>1590.28</v>
      </c>
      <c r="AA91" s="95">
        <f t="shared" si="31"/>
        <v>1561.1799999999998</v>
      </c>
      <c r="AB91" s="95">
        <f t="shared" si="31"/>
        <v>1532.08</v>
      </c>
      <c r="AC91" s="95">
        <f t="shared" si="31"/>
        <v>1480.28</v>
      </c>
      <c r="AD91" s="95">
        <f t="shared" si="31"/>
        <v>1379.08</v>
      </c>
      <c r="AE91" s="95">
        <f t="shared" si="31"/>
        <v>1202.78</v>
      </c>
      <c r="AF91" s="95">
        <f t="shared" si="31"/>
        <v>1105.18</v>
      </c>
      <c r="AG91" s="88">
        <f>AG88+AG84+AG72+AG68+AG50+AG90</f>
        <v>1573.45</v>
      </c>
      <c r="AH91" s="47">
        <f t="shared" si="21"/>
        <v>1748.48</v>
      </c>
      <c r="AI91" s="48">
        <f t="shared" si="22"/>
        <v>1103.8800000000001</v>
      </c>
    </row>
    <row r="92" spans="1:40" ht="15.75" thickBot="1" x14ac:dyDescent="0.3">
      <c r="A92" s="74" t="s">
        <v>103</v>
      </c>
      <c r="B92" s="95">
        <f t="shared" ref="B92:C92" si="32">B91-(-B99)</f>
        <v>1174.28</v>
      </c>
      <c r="C92" s="95">
        <f t="shared" si="32"/>
        <v>1130.28</v>
      </c>
      <c r="D92" s="95">
        <f t="shared" ref="D92" si="33">D91-(-D99)</f>
        <v>1140.98</v>
      </c>
      <c r="E92" s="95">
        <f t="shared" ref="E92:AF92" si="34">E91-(-E99)</f>
        <v>1103.8800000000001</v>
      </c>
      <c r="F92" s="95">
        <f t="shared" si="34"/>
        <v>1119.8800000000001</v>
      </c>
      <c r="G92" s="95">
        <f t="shared" si="34"/>
        <v>1201.8800000000001</v>
      </c>
      <c r="H92" s="95">
        <f t="shared" si="34"/>
        <v>1279.0800000000002</v>
      </c>
      <c r="I92" s="95">
        <f t="shared" si="34"/>
        <v>1389.88</v>
      </c>
      <c r="J92" s="95">
        <f t="shared" si="34"/>
        <v>1477.68</v>
      </c>
      <c r="K92" s="95">
        <f t="shared" si="34"/>
        <v>1645.18</v>
      </c>
      <c r="L92" s="95">
        <f t="shared" si="34"/>
        <v>1748.48</v>
      </c>
      <c r="M92" s="95">
        <f t="shared" si="34"/>
        <v>1734.18</v>
      </c>
      <c r="N92" s="95">
        <f t="shared" si="34"/>
        <v>1675.7800000000002</v>
      </c>
      <c r="O92" s="95">
        <f t="shared" si="34"/>
        <v>1616.7800000000002</v>
      </c>
      <c r="P92" s="95">
        <f t="shared" si="34"/>
        <v>1555.98</v>
      </c>
      <c r="Q92" s="95">
        <f t="shared" si="34"/>
        <v>1452.5800000000002</v>
      </c>
      <c r="R92" s="95">
        <f t="shared" si="34"/>
        <v>1363.38</v>
      </c>
      <c r="S92" s="95">
        <f t="shared" si="34"/>
        <v>1365.48</v>
      </c>
      <c r="T92" s="95">
        <f t="shared" si="34"/>
        <v>1346.08</v>
      </c>
      <c r="U92" s="95">
        <f t="shared" si="34"/>
        <v>1375.68</v>
      </c>
      <c r="V92" s="95">
        <f t="shared" si="34"/>
        <v>1425.58</v>
      </c>
      <c r="W92" s="95">
        <f t="shared" si="34"/>
        <v>1376.58</v>
      </c>
      <c r="X92" s="95">
        <f t="shared" si="34"/>
        <v>1599.1799999999998</v>
      </c>
      <c r="Y92" s="95">
        <f t="shared" si="34"/>
        <v>1701.1799999999998</v>
      </c>
      <c r="Z92" s="95">
        <f t="shared" si="34"/>
        <v>1590.28</v>
      </c>
      <c r="AA92" s="95">
        <f t="shared" si="34"/>
        <v>1561.1799999999998</v>
      </c>
      <c r="AB92" s="95">
        <f t="shared" si="34"/>
        <v>1532.08</v>
      </c>
      <c r="AC92" s="95">
        <f t="shared" si="34"/>
        <v>1480.28</v>
      </c>
      <c r="AD92" s="95">
        <f t="shared" si="34"/>
        <v>1379.08</v>
      </c>
      <c r="AE92" s="95">
        <f t="shared" si="34"/>
        <v>1202.78</v>
      </c>
      <c r="AF92" s="95">
        <f t="shared" si="34"/>
        <v>1105.18</v>
      </c>
      <c r="AG92" s="88"/>
      <c r="AH92" s="47">
        <f t="shared" si="21"/>
        <v>1748.48</v>
      </c>
      <c r="AI92" s="48">
        <f t="shared" si="22"/>
        <v>1103.8800000000001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21"/>
        <v>0</v>
      </c>
      <c r="AI93" s="48">
        <f t="shared" si="22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21"/>
        <v>0</v>
      </c>
      <c r="AI94" s="48">
        <f t="shared" si="22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1"/>
        <v>0</v>
      </c>
      <c r="AI95" s="48">
        <f t="shared" si="22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21"/>
        <v>0</v>
      </c>
      <c r="AI96" s="48">
        <f t="shared" si="22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21"/>
        <v>0</v>
      </c>
      <c r="AI97" s="48">
        <f t="shared" si="22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21"/>
        <v>0</v>
      </c>
      <c r="AI98" s="48">
        <f t="shared" si="22"/>
        <v>0</v>
      </c>
    </row>
    <row r="99" spans="1:37" ht="15.75" thickBot="1" x14ac:dyDescent="0.3">
      <c r="A99" s="99" t="s">
        <v>107</v>
      </c>
      <c r="B99" s="60">
        <f t="shared" ref="B99:C99" si="35">IF(B84&lt;0,B75+B73,0)</f>
        <v>0</v>
      </c>
      <c r="C99" s="60">
        <f t="shared" si="35"/>
        <v>0</v>
      </c>
      <c r="D99" s="60">
        <f t="shared" ref="D99" si="36">IF(D84&lt;0,D75+D73,0)</f>
        <v>0</v>
      </c>
      <c r="E99" s="60">
        <f t="shared" ref="E99:AF99" si="37">IF(E84&lt;0,E75+E73,0)</f>
        <v>0</v>
      </c>
      <c r="F99" s="60">
        <f t="shared" si="37"/>
        <v>0</v>
      </c>
      <c r="G99" s="60">
        <f t="shared" si="37"/>
        <v>0</v>
      </c>
      <c r="H99" s="60">
        <f t="shared" si="37"/>
        <v>0</v>
      </c>
      <c r="I99" s="60">
        <f t="shared" si="37"/>
        <v>0</v>
      </c>
      <c r="J99" s="60">
        <f t="shared" si="37"/>
        <v>0</v>
      </c>
      <c r="K99" s="60">
        <f t="shared" si="37"/>
        <v>0</v>
      </c>
      <c r="L99" s="60">
        <f t="shared" si="37"/>
        <v>0</v>
      </c>
      <c r="M99" s="60">
        <f t="shared" si="37"/>
        <v>0</v>
      </c>
      <c r="N99" s="60">
        <f t="shared" si="37"/>
        <v>0</v>
      </c>
      <c r="O99" s="60">
        <f t="shared" si="37"/>
        <v>0</v>
      </c>
      <c r="P99" s="60">
        <f t="shared" si="37"/>
        <v>0</v>
      </c>
      <c r="Q99" s="60">
        <f t="shared" si="37"/>
        <v>0</v>
      </c>
      <c r="R99" s="60">
        <f t="shared" si="37"/>
        <v>0</v>
      </c>
      <c r="S99" s="60">
        <f t="shared" si="37"/>
        <v>0</v>
      </c>
      <c r="T99" s="60">
        <f t="shared" si="37"/>
        <v>0</v>
      </c>
      <c r="U99" s="60">
        <f t="shared" si="37"/>
        <v>0</v>
      </c>
      <c r="V99" s="60">
        <f t="shared" si="37"/>
        <v>0</v>
      </c>
      <c r="W99" s="60">
        <f t="shared" si="37"/>
        <v>0</v>
      </c>
      <c r="X99" s="60">
        <f t="shared" si="37"/>
        <v>0</v>
      </c>
      <c r="Y99" s="60">
        <f t="shared" si="37"/>
        <v>0</v>
      </c>
      <c r="Z99" s="60">
        <f t="shared" si="37"/>
        <v>0</v>
      </c>
      <c r="AA99" s="60">
        <f t="shared" si="37"/>
        <v>0</v>
      </c>
      <c r="AB99" s="60">
        <f t="shared" si="37"/>
        <v>0</v>
      </c>
      <c r="AC99" s="60">
        <f t="shared" si="37"/>
        <v>0</v>
      </c>
      <c r="AD99" s="60">
        <f t="shared" si="37"/>
        <v>0</v>
      </c>
      <c r="AE99" s="60">
        <f t="shared" si="37"/>
        <v>0</v>
      </c>
      <c r="AF99" s="60">
        <f t="shared" si="37"/>
        <v>0</v>
      </c>
      <c r="AG99" s="88"/>
      <c r="AH99" s="47">
        <f t="shared" si="21"/>
        <v>0</v>
      </c>
      <c r="AI99" s="48">
        <f t="shared" si="22"/>
        <v>0</v>
      </c>
      <c r="AK99" s="50"/>
    </row>
    <row r="100" spans="1:37" ht="15.75" thickBot="1" x14ac:dyDescent="0.3">
      <c r="A100" s="74" t="s">
        <v>108</v>
      </c>
      <c r="B100" s="60">
        <f t="shared" ref="B100:C100" si="38">B84-B99</f>
        <v>261</v>
      </c>
      <c r="C100" s="60">
        <f t="shared" si="38"/>
        <v>212</v>
      </c>
      <c r="D100" s="60">
        <f t="shared" ref="D100" si="39">D84-D99</f>
        <v>226.1</v>
      </c>
      <c r="E100" s="60">
        <f t="shared" ref="E100:AF100" si="40">E84-E99</f>
        <v>201</v>
      </c>
      <c r="F100" s="60">
        <f t="shared" si="40"/>
        <v>212</v>
      </c>
      <c r="G100" s="60">
        <f t="shared" si="40"/>
        <v>214</v>
      </c>
      <c r="H100" s="60">
        <f t="shared" si="40"/>
        <v>220</v>
      </c>
      <c r="I100" s="60">
        <f t="shared" si="40"/>
        <v>213.2</v>
      </c>
      <c r="J100" s="60">
        <f t="shared" si="40"/>
        <v>231</v>
      </c>
      <c r="K100" s="60">
        <f t="shared" si="40"/>
        <v>185</v>
      </c>
      <c r="L100" s="60">
        <f t="shared" si="40"/>
        <v>77</v>
      </c>
      <c r="M100" s="60">
        <f t="shared" si="40"/>
        <v>8.5</v>
      </c>
      <c r="N100" s="60">
        <f t="shared" si="40"/>
        <v>30</v>
      </c>
      <c r="O100" s="60">
        <f t="shared" si="40"/>
        <v>139.5</v>
      </c>
      <c r="P100" s="60">
        <f t="shared" si="40"/>
        <v>294.3</v>
      </c>
      <c r="Q100" s="60">
        <f t="shared" si="40"/>
        <v>308</v>
      </c>
      <c r="R100" s="60">
        <f t="shared" si="40"/>
        <v>325</v>
      </c>
      <c r="S100" s="60">
        <f t="shared" si="40"/>
        <v>356</v>
      </c>
      <c r="T100" s="60">
        <f t="shared" si="40"/>
        <v>370</v>
      </c>
      <c r="U100" s="60">
        <f t="shared" si="40"/>
        <v>405</v>
      </c>
      <c r="V100" s="60">
        <f t="shared" si="40"/>
        <v>129</v>
      </c>
      <c r="W100" s="60">
        <f t="shared" si="40"/>
        <v>0</v>
      </c>
      <c r="X100" s="60">
        <f t="shared" si="40"/>
        <v>0</v>
      </c>
      <c r="Y100" s="60">
        <f t="shared" si="40"/>
        <v>12</v>
      </c>
      <c r="Z100" s="60">
        <f t="shared" si="40"/>
        <v>65</v>
      </c>
      <c r="AA100" s="60">
        <f t="shared" si="40"/>
        <v>142</v>
      </c>
      <c r="AB100" s="60">
        <f t="shared" si="40"/>
        <v>197</v>
      </c>
      <c r="AC100" s="60">
        <f t="shared" si="40"/>
        <v>166</v>
      </c>
      <c r="AD100" s="60">
        <f t="shared" si="40"/>
        <v>163</v>
      </c>
      <c r="AE100" s="60">
        <f t="shared" si="40"/>
        <v>186</v>
      </c>
      <c r="AF100" s="60">
        <f t="shared" si="40"/>
        <v>195</v>
      </c>
      <c r="AG100" s="88"/>
      <c r="AH100" s="47">
        <f t="shared" si="21"/>
        <v>405</v>
      </c>
      <c r="AI100" s="48">
        <f t="shared" si="22"/>
        <v>0</v>
      </c>
    </row>
    <row r="101" spans="1:37" x14ac:dyDescent="0.25">
      <c r="A101" s="100" t="s">
        <v>109</v>
      </c>
      <c r="B101" s="101">
        <v>50.05</v>
      </c>
      <c r="C101" s="101">
        <v>49.99</v>
      </c>
      <c r="D101" s="101">
        <v>49.98</v>
      </c>
      <c r="E101" s="101">
        <v>50.002000000000002</v>
      </c>
      <c r="F101" s="101">
        <v>49.965000000000003</v>
      </c>
      <c r="G101" s="101">
        <v>49.953000000000003</v>
      </c>
      <c r="H101" s="101">
        <v>50</v>
      </c>
      <c r="I101" s="101">
        <v>50.021000000000001</v>
      </c>
      <c r="J101" s="101"/>
      <c r="K101" s="101">
        <v>50</v>
      </c>
      <c r="L101" s="101">
        <v>49.963000000000001</v>
      </c>
      <c r="M101" s="101">
        <v>50.030999999999999</v>
      </c>
      <c r="N101" s="101">
        <v>49.823999999999998</v>
      </c>
      <c r="O101" s="101">
        <v>49.862000000000002</v>
      </c>
      <c r="P101" s="101">
        <v>50.042000000000002</v>
      </c>
      <c r="Q101" s="101">
        <v>50.061999999999998</v>
      </c>
      <c r="R101" s="101">
        <v>49.956000000000003</v>
      </c>
      <c r="S101" s="101">
        <v>50.137999999999998</v>
      </c>
      <c r="T101" s="101">
        <v>50.026000000000003</v>
      </c>
      <c r="U101" s="101">
        <v>49.863999999999997</v>
      </c>
      <c r="V101" s="101">
        <v>49.991</v>
      </c>
      <c r="W101" s="101">
        <v>49.896000000000001</v>
      </c>
      <c r="X101" s="101">
        <v>49.856000000000002</v>
      </c>
      <c r="Y101" s="101">
        <v>49.997999999999998</v>
      </c>
      <c r="Z101" s="101">
        <v>49.997999999999998</v>
      </c>
      <c r="AA101" s="101">
        <v>50.075000000000003</v>
      </c>
      <c r="AB101" s="101">
        <v>50.128</v>
      </c>
      <c r="AC101" s="101">
        <v>50.054000000000002</v>
      </c>
      <c r="AD101" s="101">
        <v>50.027000000000001</v>
      </c>
      <c r="AE101" s="101">
        <v>49.984000000000002</v>
      </c>
      <c r="AF101" s="101">
        <v>49.994</v>
      </c>
      <c r="AG101" s="102"/>
      <c r="AH101" s="47">
        <f t="shared" si="21"/>
        <v>50.137999999999998</v>
      </c>
      <c r="AI101" s="48">
        <f t="shared" si="22"/>
        <v>49.823999999999998</v>
      </c>
    </row>
    <row r="102" spans="1:37" x14ac:dyDescent="0.25">
      <c r="A102" s="103" t="s">
        <v>110</v>
      </c>
      <c r="B102" s="65">
        <v>127.3</v>
      </c>
      <c r="C102" s="65">
        <v>127.5</v>
      </c>
      <c r="D102" s="65">
        <v>127.8</v>
      </c>
      <c r="E102" s="65">
        <v>130.4</v>
      </c>
      <c r="F102" s="65">
        <v>129.19999999999999</v>
      </c>
      <c r="G102" s="65">
        <v>128.30000000000001</v>
      </c>
      <c r="H102" s="65">
        <v>126</v>
      </c>
      <c r="I102" s="65">
        <v>125.4</v>
      </c>
      <c r="J102" s="65"/>
      <c r="K102" s="65">
        <v>125.4</v>
      </c>
      <c r="L102" s="65">
        <v>126.8</v>
      </c>
      <c r="M102" s="65">
        <v>124.5</v>
      </c>
      <c r="N102" s="65">
        <v>122</v>
      </c>
      <c r="O102" s="65">
        <v>126.1</v>
      </c>
      <c r="P102" s="65">
        <v>125.8</v>
      </c>
      <c r="Q102" s="65">
        <v>124</v>
      </c>
      <c r="R102" s="65">
        <v>125.5</v>
      </c>
      <c r="S102" s="65">
        <v>125.3</v>
      </c>
      <c r="T102" s="65">
        <v>124.7</v>
      </c>
      <c r="U102" s="65">
        <v>124.5</v>
      </c>
      <c r="V102" s="65">
        <v>126.7</v>
      </c>
      <c r="W102" s="65">
        <v>126.1</v>
      </c>
      <c r="X102" s="65">
        <v>127.1</v>
      </c>
      <c r="Y102" s="65">
        <v>128.1</v>
      </c>
      <c r="Z102" s="65">
        <v>128.1</v>
      </c>
      <c r="AA102" s="65">
        <v>130.6</v>
      </c>
      <c r="AB102" s="65">
        <v>128</v>
      </c>
      <c r="AC102" s="65">
        <v>129</v>
      </c>
      <c r="AD102" s="65">
        <v>128.80000000000001</v>
      </c>
      <c r="AE102" s="65">
        <v>129.80000000000001</v>
      </c>
      <c r="AF102" s="65">
        <v>129.1</v>
      </c>
      <c r="AG102" s="104"/>
      <c r="AH102" s="47">
        <f t="shared" si="21"/>
        <v>130.6</v>
      </c>
      <c r="AI102" s="48">
        <f t="shared" si="22"/>
        <v>122</v>
      </c>
    </row>
    <row r="103" spans="1:37" x14ac:dyDescent="0.25">
      <c r="A103" s="103" t="s">
        <v>111</v>
      </c>
      <c r="B103" s="65">
        <v>131.5</v>
      </c>
      <c r="C103" s="65">
        <v>132.1</v>
      </c>
      <c r="D103" s="65">
        <v>132.30000000000001</v>
      </c>
      <c r="E103" s="65">
        <v>134.19999999999999</v>
      </c>
      <c r="F103" s="65">
        <v>133.1</v>
      </c>
      <c r="G103" s="65">
        <v>132.1</v>
      </c>
      <c r="H103" s="65">
        <v>130.4</v>
      </c>
      <c r="I103" s="65">
        <v>129.6</v>
      </c>
      <c r="J103" s="65"/>
      <c r="K103" s="65">
        <v>127.9</v>
      </c>
      <c r="L103" s="65">
        <v>125</v>
      </c>
      <c r="M103" s="65">
        <v>126.3</v>
      </c>
      <c r="N103" s="65">
        <v>125.3</v>
      </c>
      <c r="O103" s="65">
        <v>128.5</v>
      </c>
      <c r="P103" s="65">
        <v>128.30000000000001</v>
      </c>
      <c r="Q103" s="65">
        <v>126.6</v>
      </c>
      <c r="R103" s="65">
        <v>127.9</v>
      </c>
      <c r="S103" s="65">
        <v>128.1</v>
      </c>
      <c r="T103" s="65">
        <v>127.8</v>
      </c>
      <c r="U103" s="65">
        <v>127.4</v>
      </c>
      <c r="V103" s="65">
        <v>128.6</v>
      </c>
      <c r="W103" s="65">
        <v>126.9</v>
      </c>
      <c r="X103" s="65">
        <v>128.80000000000001</v>
      </c>
      <c r="Y103" s="65">
        <v>129.69999999999999</v>
      </c>
      <c r="Z103" s="65">
        <v>129.69999999999999</v>
      </c>
      <c r="AA103" s="65">
        <v>131.6</v>
      </c>
      <c r="AB103" s="65">
        <v>130.4</v>
      </c>
      <c r="AC103" s="65">
        <v>131.4</v>
      </c>
      <c r="AD103" s="65">
        <v>131.6</v>
      </c>
      <c r="AE103" s="65">
        <v>132.80000000000001</v>
      </c>
      <c r="AF103" s="65">
        <v>132.9</v>
      </c>
      <c r="AG103" s="104"/>
      <c r="AH103" s="47">
        <f t="shared" si="21"/>
        <v>134.19999999999999</v>
      </c>
      <c r="AI103" s="48">
        <f t="shared" si="22"/>
        <v>125</v>
      </c>
    </row>
    <row r="104" spans="1:37" x14ac:dyDescent="0.25">
      <c r="A104" s="103" t="s">
        <v>112</v>
      </c>
      <c r="B104" s="65">
        <v>130.5</v>
      </c>
      <c r="C104" s="65">
        <v>130.19999999999999</v>
      </c>
      <c r="D104" s="65">
        <v>130.19999999999999</v>
      </c>
      <c r="E104" s="65">
        <v>130.30000000000001</v>
      </c>
      <c r="F104" s="65">
        <v>132.30000000000001</v>
      </c>
      <c r="G104" s="65">
        <v>130</v>
      </c>
      <c r="H104" s="65">
        <v>127.4</v>
      </c>
      <c r="I104" s="65">
        <v>127.8</v>
      </c>
      <c r="J104" s="65"/>
      <c r="K104" s="65">
        <v>126.1</v>
      </c>
      <c r="L104" s="65">
        <v>124.7</v>
      </c>
      <c r="M104" s="65">
        <v>126</v>
      </c>
      <c r="N104" s="65">
        <v>126.9</v>
      </c>
      <c r="O104" s="65">
        <v>127.1</v>
      </c>
      <c r="P104" s="65">
        <v>128.80000000000001</v>
      </c>
      <c r="Q104" s="65">
        <v>127.2</v>
      </c>
      <c r="R104" s="65">
        <v>130.4</v>
      </c>
      <c r="S104" s="65">
        <v>127.2</v>
      </c>
      <c r="T104" s="65">
        <v>126.6</v>
      </c>
      <c r="U104" s="65">
        <v>130.19999999999999</v>
      </c>
      <c r="V104" s="65">
        <v>128.5</v>
      </c>
      <c r="W104" s="65">
        <v>126.1</v>
      </c>
      <c r="X104" s="65">
        <v>128.9</v>
      </c>
      <c r="Y104" s="65">
        <v>130.4</v>
      </c>
      <c r="Z104" s="65">
        <v>130.4</v>
      </c>
      <c r="AA104" s="65">
        <v>131.69999999999999</v>
      </c>
      <c r="AB104" s="65">
        <v>129.80000000000001</v>
      </c>
      <c r="AC104" s="65">
        <v>131.1</v>
      </c>
      <c r="AD104" s="65">
        <v>131</v>
      </c>
      <c r="AE104" s="65">
        <v>131.9</v>
      </c>
      <c r="AF104" s="65">
        <v>130.30000000000001</v>
      </c>
      <c r="AG104" s="104"/>
      <c r="AH104" s="47">
        <f t="shared" si="21"/>
        <v>132.30000000000001</v>
      </c>
      <c r="AI104" s="48">
        <f t="shared" si="22"/>
        <v>124.7</v>
      </c>
    </row>
    <row r="105" spans="1:37" x14ac:dyDescent="0.25">
      <c r="A105" s="105" t="s">
        <v>113</v>
      </c>
      <c r="B105" s="65">
        <v>132.80000000000001</v>
      </c>
      <c r="C105" s="65">
        <v>130.5</v>
      </c>
      <c r="D105" s="65">
        <v>131.5</v>
      </c>
      <c r="E105" s="65">
        <v>131.19999999999999</v>
      </c>
      <c r="F105" s="65">
        <v>132.6</v>
      </c>
      <c r="G105" s="65">
        <v>132.4</v>
      </c>
      <c r="H105" s="65">
        <v>129.1</v>
      </c>
      <c r="I105" s="65">
        <v>128.9</v>
      </c>
      <c r="J105" s="65"/>
      <c r="K105" s="65">
        <v>128.4</v>
      </c>
      <c r="L105" s="65">
        <v>126.3</v>
      </c>
      <c r="M105" s="65">
        <v>126.5</v>
      </c>
      <c r="N105" s="65">
        <v>127.5</v>
      </c>
      <c r="O105" s="65">
        <v>127.1</v>
      </c>
      <c r="P105" s="65">
        <v>129.4</v>
      </c>
      <c r="Q105" s="65">
        <v>128.19999999999999</v>
      </c>
      <c r="R105" s="65">
        <v>132.80000000000001</v>
      </c>
      <c r="S105" s="65">
        <v>128.9</v>
      </c>
      <c r="T105" s="65">
        <v>128</v>
      </c>
      <c r="U105" s="65">
        <v>130.30000000000001</v>
      </c>
      <c r="V105" s="65">
        <v>128.6</v>
      </c>
      <c r="W105" s="65">
        <v>126.8</v>
      </c>
      <c r="X105" s="65">
        <v>130.21</v>
      </c>
      <c r="Y105" s="65">
        <v>131.1</v>
      </c>
      <c r="Z105" s="65">
        <v>131.1</v>
      </c>
      <c r="AA105" s="65">
        <v>133.6</v>
      </c>
      <c r="AB105" s="65">
        <v>133.80000000000001</v>
      </c>
      <c r="AC105" s="65">
        <v>134.30000000000001</v>
      </c>
      <c r="AD105" s="65">
        <v>134.5</v>
      </c>
      <c r="AE105" s="65">
        <v>132.1</v>
      </c>
      <c r="AF105" s="65">
        <v>131.6</v>
      </c>
      <c r="AG105" s="104"/>
      <c r="AH105" s="47">
        <f t="shared" si="21"/>
        <v>134.5</v>
      </c>
      <c r="AI105" s="48">
        <f t="shared" si="22"/>
        <v>126.3</v>
      </c>
    </row>
    <row r="106" spans="1:37" x14ac:dyDescent="0.25">
      <c r="A106" s="105" t="s">
        <v>114</v>
      </c>
      <c r="B106" s="106">
        <v>132.9</v>
      </c>
      <c r="C106" s="106">
        <v>133.19999999999999</v>
      </c>
      <c r="D106" s="106">
        <v>133.19999999999999</v>
      </c>
      <c r="E106" s="106">
        <v>134</v>
      </c>
      <c r="F106" s="106">
        <v>133.5</v>
      </c>
      <c r="G106" s="106">
        <v>135</v>
      </c>
      <c r="H106" s="106">
        <v>131.6</v>
      </c>
      <c r="I106" s="106">
        <v>132.1</v>
      </c>
      <c r="J106" s="106"/>
      <c r="K106" s="106">
        <v>133</v>
      </c>
      <c r="L106" s="106">
        <v>131.9</v>
      </c>
      <c r="M106" s="106">
        <v>144.5</v>
      </c>
      <c r="N106" s="106">
        <v>131</v>
      </c>
      <c r="O106" s="106">
        <v>130.9</v>
      </c>
      <c r="P106" s="106">
        <v>135.1</v>
      </c>
      <c r="Q106" s="106">
        <v>131.19999999999999</v>
      </c>
      <c r="R106" s="106">
        <v>132.4</v>
      </c>
      <c r="S106" s="106">
        <v>132</v>
      </c>
      <c r="T106" s="106">
        <v>132.4</v>
      </c>
      <c r="U106" s="106">
        <v>132.9</v>
      </c>
      <c r="V106" s="106">
        <v>134.52000000000001</v>
      </c>
      <c r="W106" s="106">
        <v>134.5</v>
      </c>
      <c r="X106" s="106">
        <v>135.30000000000001</v>
      </c>
      <c r="Y106" s="106">
        <v>135.30000000000001</v>
      </c>
      <c r="Z106" s="106">
        <v>135.30000000000001</v>
      </c>
      <c r="AA106" s="106">
        <v>136.19999999999999</v>
      </c>
      <c r="AB106" s="106">
        <v>136.1</v>
      </c>
      <c r="AC106" s="106">
        <v>135.80000000000001</v>
      </c>
      <c r="AD106" s="106">
        <v>135.69999999999999</v>
      </c>
      <c r="AE106" s="106">
        <v>134.80000000000001</v>
      </c>
      <c r="AF106" s="106">
        <v>134.4</v>
      </c>
      <c r="AG106" s="107"/>
      <c r="AH106" s="47">
        <f t="shared" si="21"/>
        <v>144.5</v>
      </c>
      <c r="AI106" s="48">
        <f t="shared" si="22"/>
        <v>130.9</v>
      </c>
    </row>
    <row r="107" spans="1:37" x14ac:dyDescent="0.25">
      <c r="A107" s="103" t="s">
        <v>115</v>
      </c>
      <c r="B107" s="65">
        <v>131.19999999999999</v>
      </c>
      <c r="C107" s="65">
        <v>133.6</v>
      </c>
      <c r="D107" s="65">
        <v>132</v>
      </c>
      <c r="E107" s="65">
        <v>132.19999999999999</v>
      </c>
      <c r="F107" s="65">
        <v>134</v>
      </c>
      <c r="G107" s="65">
        <v>136.30000000000001</v>
      </c>
      <c r="H107" s="65">
        <v>131.1</v>
      </c>
      <c r="I107" s="65">
        <v>131.19999999999999</v>
      </c>
      <c r="J107" s="65"/>
      <c r="K107" s="65">
        <v>129.69999999999999</v>
      </c>
      <c r="L107" s="65">
        <v>129.80000000000001</v>
      </c>
      <c r="M107" s="65">
        <v>130.1</v>
      </c>
      <c r="N107" s="65">
        <v>133.1</v>
      </c>
      <c r="O107" s="65">
        <v>128.6</v>
      </c>
      <c r="P107" s="65">
        <v>135.69999999999999</v>
      </c>
      <c r="Q107" s="65">
        <v>132.1</v>
      </c>
      <c r="R107" s="65">
        <v>133.30000000000001</v>
      </c>
      <c r="S107" s="65">
        <v>131.5</v>
      </c>
      <c r="T107" s="65">
        <v>134.69999999999999</v>
      </c>
      <c r="U107" s="65">
        <v>135.69999999999999</v>
      </c>
      <c r="V107" s="65">
        <v>133.9</v>
      </c>
      <c r="W107" s="65">
        <v>131.5</v>
      </c>
      <c r="X107" s="65">
        <v>133.30000000000001</v>
      </c>
      <c r="Y107" s="65">
        <v>135.19999999999999</v>
      </c>
      <c r="Z107" s="65">
        <v>135.19999999999999</v>
      </c>
      <c r="AA107" s="65">
        <v>135.19999999999999</v>
      </c>
      <c r="AB107" s="65">
        <v>135.80000000000001</v>
      </c>
      <c r="AC107" s="65">
        <v>137</v>
      </c>
      <c r="AD107" s="65">
        <v>134.1</v>
      </c>
      <c r="AE107" s="65">
        <v>132.69999999999999</v>
      </c>
      <c r="AF107" s="65">
        <v>134.6</v>
      </c>
      <c r="AG107" s="104"/>
      <c r="AH107" s="47">
        <f t="shared" si="21"/>
        <v>137</v>
      </c>
      <c r="AI107" s="48">
        <f t="shared" si="22"/>
        <v>128.6</v>
      </c>
    </row>
    <row r="108" spans="1:37" ht="15.75" thickBot="1" x14ac:dyDescent="0.3">
      <c r="A108" s="103" t="s">
        <v>116</v>
      </c>
      <c r="B108" s="92">
        <v>66.2</v>
      </c>
      <c r="C108" s="92">
        <v>66.400000000000006</v>
      </c>
      <c r="D108" s="92">
        <v>66.5</v>
      </c>
      <c r="E108" s="92">
        <v>67.5</v>
      </c>
      <c r="F108" s="92">
        <v>67</v>
      </c>
      <c r="G108" s="92">
        <v>66.599999999999994</v>
      </c>
      <c r="H108" s="92">
        <v>65.400000000000006</v>
      </c>
      <c r="I108" s="92">
        <v>65</v>
      </c>
      <c r="J108" s="92"/>
      <c r="K108" s="92">
        <v>63.9</v>
      </c>
      <c r="L108" s="92">
        <v>63.5</v>
      </c>
      <c r="M108" s="92">
        <v>63.5</v>
      </c>
      <c r="N108" s="92">
        <v>62.7</v>
      </c>
      <c r="O108" s="92">
        <v>64.3</v>
      </c>
      <c r="P108" s="92">
        <v>63.9</v>
      </c>
      <c r="Q108" s="92">
        <v>63.1</v>
      </c>
      <c r="R108" s="92">
        <v>63.7</v>
      </c>
      <c r="S108" s="92">
        <v>63.8</v>
      </c>
      <c r="T108" s="92">
        <v>63.9</v>
      </c>
      <c r="U108" s="92">
        <v>63.6</v>
      </c>
      <c r="V108" s="92">
        <v>64.099999999999994</v>
      </c>
      <c r="W108" s="92">
        <v>63.1</v>
      </c>
      <c r="X108" s="92">
        <v>64</v>
      </c>
      <c r="Y108" s="92">
        <v>65</v>
      </c>
      <c r="Z108" s="92">
        <v>65</v>
      </c>
      <c r="AA108" s="92">
        <v>65.7</v>
      </c>
      <c r="AB108" s="92">
        <v>65.400000000000006</v>
      </c>
      <c r="AC108" s="92">
        <v>65.900000000000006</v>
      </c>
      <c r="AD108" s="92">
        <v>65.7</v>
      </c>
      <c r="AE108" s="92">
        <v>66.599999999999994</v>
      </c>
      <c r="AF108" s="92">
        <v>66.5</v>
      </c>
      <c r="AG108" s="108"/>
      <c r="AH108" s="47">
        <f t="shared" si="21"/>
        <v>67.5</v>
      </c>
      <c r="AI108" s="48">
        <f t="shared" si="22"/>
        <v>62.7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117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21"/>
        <v>0</v>
      </c>
      <c r="AI109" s="48">
        <f t="shared" si="22"/>
        <v>0</v>
      </c>
    </row>
    <row r="110" spans="1:37" ht="15.75" thickBot="1" x14ac:dyDescent="0.3">
      <c r="A110" s="110" t="s">
        <v>118</v>
      </c>
      <c r="B110" s="111">
        <f t="shared" ref="B110:C110" si="41">SUM(B20,B26,B29:B30,B58,B60:B61,B63,B65,B111:B115,B140,B146,B152,B161,B163,B175,B182,B185:B186,B193,B195,B197,B201:B203,B205:B207,B212,B218:B219,B221:B223,B231,B236)</f>
        <v>111.78999999999999</v>
      </c>
      <c r="C110" s="111">
        <f t="shared" si="41"/>
        <v>91.539999999999992</v>
      </c>
      <c r="D110" s="111">
        <f t="shared" ref="D110" si="42">SUM(D20,D26,D29:D30,D58,D60:D61,D63,D65,D111:D115,D140,D146,D152,D161,D163,D175,D182,D185:D186,D193,D195,D197,D201:D203,D205:D207,D212,D218:D219,D221:D223,D231,D236)</f>
        <v>86.940000000000012</v>
      </c>
      <c r="E110" s="111">
        <f t="shared" ref="E110:O110" si="43">SUM(E20,E26,E29:E30,E58,E60:E61,E63,E65,E111:E115,E140,E146,E152,E161,E163,E175,E182,E185:E186,E193,E195,E197,E201:E203,E205:E207,E212,E218:E219,E221:E223,E231,E236)</f>
        <v>90.44</v>
      </c>
      <c r="F110" s="111">
        <f t="shared" si="43"/>
        <v>97.740000000000009</v>
      </c>
      <c r="G110" s="111">
        <f t="shared" si="43"/>
        <v>127.73999999999998</v>
      </c>
      <c r="H110" s="111">
        <f t="shared" si="43"/>
        <v>169.64000000000001</v>
      </c>
      <c r="I110" s="111">
        <f t="shared" si="43"/>
        <v>191.54</v>
      </c>
      <c r="J110" s="111">
        <f t="shared" si="43"/>
        <v>131.44</v>
      </c>
      <c r="K110" s="111">
        <f t="shared" si="43"/>
        <v>354.24</v>
      </c>
      <c r="L110" s="111">
        <f t="shared" si="43"/>
        <v>353.24</v>
      </c>
      <c r="M110" s="111">
        <f t="shared" si="43"/>
        <v>370.99499999999995</v>
      </c>
      <c r="N110" s="111">
        <f t="shared" si="43"/>
        <v>318.33999999999997</v>
      </c>
      <c r="O110" s="111">
        <f t="shared" si="43"/>
        <v>319.24</v>
      </c>
      <c r="P110" s="111">
        <v>42</v>
      </c>
      <c r="Q110" s="111">
        <f t="shared" ref="Q110:AF110" si="44">SUM(Q20,Q26,Q29:Q30,Q58,Q60:Q61,Q63,Q65,Q111:Q115,Q140,Q146,Q152,Q161,Q163,Q175,Q182,Q185:Q186,Q193,Q195,Q197,Q201:Q203,Q205:Q207,Q212,Q218:Q219,Q221:Q223,Q231,Q236)</f>
        <v>299.33300000000003</v>
      </c>
      <c r="R110" s="111">
        <f t="shared" si="44"/>
        <v>278.94</v>
      </c>
      <c r="S110" s="111">
        <f t="shared" si="44"/>
        <v>234.34000000000003</v>
      </c>
      <c r="T110" s="111">
        <f t="shared" si="44"/>
        <v>227.84</v>
      </c>
      <c r="U110" s="111">
        <f t="shared" si="44"/>
        <v>232.74</v>
      </c>
      <c r="V110" s="111">
        <f t="shared" si="44"/>
        <v>311.24</v>
      </c>
      <c r="W110" s="111">
        <f t="shared" si="44"/>
        <v>252.73999999999998</v>
      </c>
      <c r="X110" s="111">
        <f t="shared" si="44"/>
        <v>322.44</v>
      </c>
      <c r="Y110" s="111">
        <f t="shared" si="44"/>
        <v>321.83999999999997</v>
      </c>
      <c r="Z110" s="111">
        <f t="shared" si="44"/>
        <v>321.83999999999997</v>
      </c>
      <c r="AA110" s="111">
        <f t="shared" si="44"/>
        <v>356.34</v>
      </c>
      <c r="AB110" s="111">
        <f t="shared" si="44"/>
        <v>354.2</v>
      </c>
      <c r="AC110" s="111">
        <f t="shared" si="44"/>
        <v>338.59499999999997</v>
      </c>
      <c r="AD110" s="111"/>
      <c r="AE110" s="111">
        <f t="shared" si="44"/>
        <v>222.95499999999998</v>
      </c>
      <c r="AF110" s="111">
        <f t="shared" si="44"/>
        <v>158.49</v>
      </c>
      <c r="AG110" s="112"/>
      <c r="AH110" s="47">
        <f t="shared" si="21"/>
        <v>370.99499999999995</v>
      </c>
      <c r="AI110" s="48">
        <f t="shared" si="22"/>
        <v>42</v>
      </c>
    </row>
    <row r="111" spans="1:37" x14ac:dyDescent="0.25">
      <c r="A111" s="181" t="s">
        <v>119</v>
      </c>
      <c r="B111" s="113">
        <v>-5.4</v>
      </c>
      <c r="C111" s="113">
        <v>-6.2</v>
      </c>
      <c r="D111" s="113">
        <v>-4.3</v>
      </c>
      <c r="E111" s="113">
        <v>-3.4</v>
      </c>
      <c r="F111" s="113">
        <v>-4.0999999999999996</v>
      </c>
      <c r="G111" s="113">
        <v>9.6</v>
      </c>
      <c r="H111" s="113">
        <v>11.4</v>
      </c>
      <c r="I111" s="113">
        <v>21.2</v>
      </c>
      <c r="J111" s="113"/>
      <c r="K111" s="113">
        <v>38</v>
      </c>
      <c r="L111" s="113">
        <v>33.799999999999997</v>
      </c>
      <c r="M111" s="113">
        <v>36.200000000000003</v>
      </c>
      <c r="N111" s="113">
        <v>27.1</v>
      </c>
      <c r="O111" s="113">
        <v>40.200000000000003</v>
      </c>
      <c r="P111" s="113">
        <v>24.6</v>
      </c>
      <c r="Q111" s="113">
        <v>16.3</v>
      </c>
      <c r="R111" s="113">
        <v>19.899999999999999</v>
      </c>
      <c r="S111" s="113">
        <v>18.399999999999999</v>
      </c>
      <c r="T111" s="113">
        <v>11.9</v>
      </c>
      <c r="U111" s="113">
        <v>10.6</v>
      </c>
      <c r="V111" s="113">
        <v>24.7</v>
      </c>
      <c r="W111" s="113">
        <v>34.9</v>
      </c>
      <c r="X111" s="113">
        <v>35.6</v>
      </c>
      <c r="Y111" s="113">
        <v>40</v>
      </c>
      <c r="Z111" s="113">
        <v>40</v>
      </c>
      <c r="AA111" s="113">
        <v>46</v>
      </c>
      <c r="AB111" s="113">
        <v>49.2</v>
      </c>
      <c r="AC111" s="113">
        <v>43.1</v>
      </c>
      <c r="AD111" s="113">
        <v>43.2</v>
      </c>
      <c r="AE111" s="113">
        <v>21.1</v>
      </c>
      <c r="AF111" s="113">
        <v>3</v>
      </c>
      <c r="AG111" s="114">
        <v>75</v>
      </c>
      <c r="AH111" s="47">
        <f t="shared" si="21"/>
        <v>49.2</v>
      </c>
      <c r="AI111" s="48">
        <f t="shared" si="22"/>
        <v>-6.2</v>
      </c>
    </row>
    <row r="112" spans="1:37" x14ac:dyDescent="0.25">
      <c r="A112" s="182" t="s">
        <v>120</v>
      </c>
      <c r="B112" s="115">
        <v>-13.7</v>
      </c>
      <c r="C112" s="115">
        <v>-11.7</v>
      </c>
      <c r="D112" s="115">
        <v>-9.6</v>
      </c>
      <c r="E112" s="115">
        <v>-9.6</v>
      </c>
      <c r="F112" s="115">
        <v>-9.6</v>
      </c>
      <c r="G112" s="115">
        <v>7.7</v>
      </c>
      <c r="H112" s="115">
        <v>11.4</v>
      </c>
      <c r="I112" s="115">
        <v>22.4</v>
      </c>
      <c r="J112" s="115"/>
      <c r="K112" s="115">
        <v>43.5</v>
      </c>
      <c r="L112" s="115">
        <v>38.299999999999997</v>
      </c>
      <c r="M112" s="115">
        <v>40.700000000000003</v>
      </c>
      <c r="N112" s="115">
        <v>29.1</v>
      </c>
      <c r="O112" s="115">
        <v>49.7</v>
      </c>
      <c r="P112" s="115">
        <v>26.9</v>
      </c>
      <c r="Q112" s="115">
        <v>15.1</v>
      </c>
      <c r="R112" s="115">
        <v>19.600000000000001</v>
      </c>
      <c r="S112" s="115">
        <v>19.3</v>
      </c>
      <c r="T112" s="115">
        <v>9</v>
      </c>
      <c r="U112" s="115">
        <v>5.5</v>
      </c>
      <c r="V112" s="115">
        <v>22.4</v>
      </c>
      <c r="W112" s="115">
        <v>33.5</v>
      </c>
      <c r="X112" s="115">
        <v>35.799999999999997</v>
      </c>
      <c r="Y112" s="115">
        <v>42</v>
      </c>
      <c r="Z112" s="115">
        <v>42</v>
      </c>
      <c r="AA112" s="115">
        <v>51</v>
      </c>
      <c r="AB112" s="115">
        <v>56.2</v>
      </c>
      <c r="AC112" s="115">
        <v>48.3</v>
      </c>
      <c r="AD112" s="115">
        <v>49.2</v>
      </c>
      <c r="AE112" s="115">
        <v>17.100000000000001</v>
      </c>
      <c r="AF112" s="115">
        <v>-4.7</v>
      </c>
      <c r="AG112" s="114">
        <v>240</v>
      </c>
      <c r="AH112" s="47">
        <f t="shared" si="21"/>
        <v>56.2</v>
      </c>
      <c r="AI112" s="48">
        <f t="shared" si="22"/>
        <v>-13.7</v>
      </c>
    </row>
    <row r="113" spans="1:37" x14ac:dyDescent="0.25">
      <c r="A113" s="182" t="s">
        <v>121</v>
      </c>
      <c r="B113" s="115">
        <f>-31-34.1</f>
        <v>-65.099999999999994</v>
      </c>
      <c r="C113" s="115">
        <f>-36.2-40.2</f>
        <v>-76.400000000000006</v>
      </c>
      <c r="D113" s="115">
        <f>-34.8-39.1</f>
        <v>-73.900000000000006</v>
      </c>
      <c r="E113" s="115">
        <f>-32-36</f>
        <v>-68</v>
      </c>
      <c r="F113" s="115">
        <f>-32-36.1</f>
        <v>-68.099999999999994</v>
      </c>
      <c r="G113" s="115">
        <f>-33-36</f>
        <v>-69</v>
      </c>
      <c r="H113" s="115">
        <f>-28-31</f>
        <v>-59</v>
      </c>
      <c r="I113" s="115">
        <f>-27-30</f>
        <v>-57</v>
      </c>
      <c r="J113" s="115"/>
      <c r="K113" s="115">
        <v>20.9</v>
      </c>
      <c r="L113" s="115">
        <f>-3.1-5</f>
        <v>-8.1</v>
      </c>
      <c r="M113" s="115">
        <v>-12</v>
      </c>
      <c r="N113" s="115">
        <v>-46</v>
      </c>
      <c r="O113" s="115">
        <v>-69</v>
      </c>
      <c r="P113" s="115">
        <v>-15</v>
      </c>
      <c r="Q113" s="115">
        <v>-10</v>
      </c>
      <c r="R113" s="115">
        <v>-11.8</v>
      </c>
      <c r="S113" s="115">
        <v>-1</v>
      </c>
      <c r="T113" s="115">
        <v>1.7</v>
      </c>
      <c r="U113" s="115">
        <v>9</v>
      </c>
      <c r="V113" s="115">
        <v>6.8</v>
      </c>
      <c r="W113" s="115">
        <v>-32</v>
      </c>
      <c r="X113" s="115">
        <v>-17</v>
      </c>
      <c r="Y113" s="115">
        <v>-20</v>
      </c>
      <c r="Z113" s="115">
        <v>-20</v>
      </c>
      <c r="AA113" s="115">
        <v>25</v>
      </c>
      <c r="AB113" s="115">
        <v>-2.7</v>
      </c>
      <c r="AC113" s="115">
        <v>-2</v>
      </c>
      <c r="AD113" s="115">
        <v>-13</v>
      </c>
      <c r="AE113" s="115">
        <v>-30</v>
      </c>
      <c r="AF113" s="115">
        <v>-50</v>
      </c>
      <c r="AG113" s="114">
        <v>240</v>
      </c>
      <c r="AH113" s="47">
        <f t="shared" si="21"/>
        <v>25</v>
      </c>
      <c r="AI113" s="48">
        <f t="shared" si="22"/>
        <v>-76.400000000000006</v>
      </c>
    </row>
    <row r="114" spans="1:37" ht="15.75" thickBot="1" x14ac:dyDescent="0.3">
      <c r="A114" s="182" t="s">
        <v>122</v>
      </c>
      <c r="B114" s="115">
        <v>-12.1</v>
      </c>
      <c r="C114" s="115">
        <v>-14.6</v>
      </c>
      <c r="D114" s="115">
        <v>-15.4</v>
      </c>
      <c r="E114" s="115">
        <v>-9.4</v>
      </c>
      <c r="F114" s="115">
        <v>-13.4</v>
      </c>
      <c r="G114" s="115">
        <v>-12</v>
      </c>
      <c r="H114" s="115">
        <v>-3.6</v>
      </c>
      <c r="I114" s="115">
        <v>-6</v>
      </c>
      <c r="J114" s="115"/>
      <c r="K114" s="115">
        <v>10.9</v>
      </c>
      <c r="L114" s="115">
        <v>27.1</v>
      </c>
      <c r="M114" s="115">
        <v>28</v>
      </c>
      <c r="N114" s="115">
        <v>21.5</v>
      </c>
      <c r="O114" s="115">
        <v>40.299999999999997</v>
      </c>
      <c r="P114" s="115">
        <v>15.5</v>
      </c>
      <c r="Q114" s="115">
        <v>0</v>
      </c>
      <c r="R114" s="115">
        <v>0</v>
      </c>
      <c r="S114" s="115">
        <v>0</v>
      </c>
      <c r="T114" s="115">
        <v>0</v>
      </c>
      <c r="U114" s="115">
        <v>0</v>
      </c>
      <c r="V114" s="115">
        <v>0</v>
      </c>
      <c r="W114" s="115">
        <v>0</v>
      </c>
      <c r="X114" s="115">
        <v>57</v>
      </c>
      <c r="Y114" s="115">
        <v>59</v>
      </c>
      <c r="Z114" s="115">
        <v>59</v>
      </c>
      <c r="AA114" s="115">
        <v>60</v>
      </c>
      <c r="AB114" s="115">
        <v>40</v>
      </c>
      <c r="AC114" s="115">
        <v>37.200000000000003</v>
      </c>
      <c r="AD114" s="115">
        <v>18.600000000000001</v>
      </c>
      <c r="AE114" s="115">
        <v>11.7</v>
      </c>
      <c r="AF114" s="115">
        <v>4</v>
      </c>
      <c r="AG114" s="114">
        <v>60</v>
      </c>
      <c r="AH114" s="47">
        <f t="shared" si="21"/>
        <v>60</v>
      </c>
      <c r="AI114" s="48">
        <f t="shared" si="22"/>
        <v>-15.4</v>
      </c>
    </row>
    <row r="115" spans="1:37" x14ac:dyDescent="0.25">
      <c r="A115" s="181" t="s">
        <v>267</v>
      </c>
      <c r="B115" s="117">
        <f>50.7*1.5</f>
        <v>76.050000000000011</v>
      </c>
      <c r="C115" s="117">
        <f>45.6*1.5</f>
        <v>68.400000000000006</v>
      </c>
      <c r="D115" s="117">
        <f>41.2*1.5</f>
        <v>61.800000000000004</v>
      </c>
      <c r="E115" s="117">
        <f>35*1.5</f>
        <v>52.5</v>
      </c>
      <c r="F115" s="117">
        <f>41*1.5</f>
        <v>61.5</v>
      </c>
      <c r="G115" s="117">
        <f>40*1.5</f>
        <v>60</v>
      </c>
      <c r="H115" s="117">
        <f>52*1.5</f>
        <v>78</v>
      </c>
      <c r="I115" s="117">
        <f>53*1.5</f>
        <v>79.5</v>
      </c>
      <c r="J115" s="117"/>
      <c r="K115" s="117">
        <f>73*1.5</f>
        <v>109.5</v>
      </c>
      <c r="L115" s="117">
        <f>87*1.5</f>
        <v>130.5</v>
      </c>
      <c r="M115" s="117">
        <f>86.5*1.67</f>
        <v>144.45499999999998</v>
      </c>
      <c r="N115" s="117">
        <v>150</v>
      </c>
      <c r="O115" s="117">
        <v>120</v>
      </c>
      <c r="P115" s="117">
        <v>130</v>
      </c>
      <c r="Q115" s="117">
        <f>77.9*1.67</f>
        <v>130.09300000000002</v>
      </c>
      <c r="R115" s="117">
        <f>70*1.67</f>
        <v>116.89999999999999</v>
      </c>
      <c r="S115" s="117">
        <v>63.9</v>
      </c>
      <c r="T115" s="117">
        <v>72</v>
      </c>
      <c r="U115" s="117">
        <v>76.8</v>
      </c>
      <c r="V115" s="117">
        <v>129</v>
      </c>
      <c r="W115" s="117">
        <v>88</v>
      </c>
      <c r="X115" s="117">
        <v>82.7</v>
      </c>
      <c r="Y115" s="117">
        <v>72.5</v>
      </c>
      <c r="Z115" s="117">
        <v>72.5</v>
      </c>
      <c r="AA115" s="117">
        <v>46</v>
      </c>
      <c r="AB115" s="117">
        <f>50.4*1.65</f>
        <v>83.16</v>
      </c>
      <c r="AC115" s="117">
        <f>50.7*1.65</f>
        <v>83.655000000000001</v>
      </c>
      <c r="AD115" s="117">
        <f>49.1*1.65</f>
        <v>81.015000000000001</v>
      </c>
      <c r="AE115" s="117">
        <f>43.1*1.65</f>
        <v>71.114999999999995</v>
      </c>
      <c r="AF115" s="117">
        <f>1.65*45</f>
        <v>74.25</v>
      </c>
      <c r="AG115" s="118">
        <v>120</v>
      </c>
      <c r="AH115" s="47">
        <f t="shared" si="21"/>
        <v>150</v>
      </c>
      <c r="AI115" s="48">
        <f t="shared" si="22"/>
        <v>46</v>
      </c>
    </row>
    <row r="116" spans="1:37" x14ac:dyDescent="0.25">
      <c r="A116" s="182" t="s">
        <v>266</v>
      </c>
      <c r="B116" s="117">
        <v>77.900000000000006</v>
      </c>
      <c r="C116" s="117">
        <v>72.7</v>
      </c>
      <c r="D116" s="117">
        <v>70.5</v>
      </c>
      <c r="E116" s="117">
        <v>64</v>
      </c>
      <c r="F116" s="117">
        <v>70</v>
      </c>
      <c r="G116" s="117">
        <v>68.099999999999994</v>
      </c>
      <c r="H116" s="117">
        <v>78.2</v>
      </c>
      <c r="I116" s="117">
        <v>78.7</v>
      </c>
      <c r="J116" s="117"/>
      <c r="K116" s="117">
        <v>95</v>
      </c>
      <c r="L116" s="117">
        <v>105.4</v>
      </c>
      <c r="M116" s="117">
        <v>105.8</v>
      </c>
      <c r="N116" s="117">
        <v>107.8</v>
      </c>
      <c r="O116" s="117">
        <v>66.8</v>
      </c>
      <c r="P116" s="117">
        <v>88.3</v>
      </c>
      <c r="Q116" s="117">
        <v>93.4</v>
      </c>
      <c r="R116" s="117">
        <v>88.3</v>
      </c>
      <c r="S116" s="117">
        <v>86.8</v>
      </c>
      <c r="T116" s="117">
        <v>94.9</v>
      </c>
      <c r="U116" s="117">
        <v>98</v>
      </c>
      <c r="V116" s="117">
        <v>100.3</v>
      </c>
      <c r="W116" s="117">
        <v>108</v>
      </c>
      <c r="X116" s="117">
        <v>103</v>
      </c>
      <c r="Y116" s="117">
        <v>95</v>
      </c>
      <c r="Z116" s="117">
        <v>95</v>
      </c>
      <c r="AA116" s="117">
        <v>73.8</v>
      </c>
      <c r="AB116" s="117">
        <v>76</v>
      </c>
      <c r="AC116" s="117">
        <v>77</v>
      </c>
      <c r="AD116" s="117">
        <v>76</v>
      </c>
      <c r="AE116" s="117">
        <v>71</v>
      </c>
      <c r="AF116" s="117">
        <v>71</v>
      </c>
      <c r="AG116" s="118"/>
      <c r="AH116" s="47"/>
      <c r="AI116" s="48"/>
    </row>
    <row r="117" spans="1:37" x14ac:dyDescent="0.25">
      <c r="A117" s="182" t="s">
        <v>263</v>
      </c>
      <c r="B117" s="117">
        <v>68.400000000000006</v>
      </c>
      <c r="C117" s="117">
        <v>69</v>
      </c>
      <c r="D117" s="117">
        <v>68.400000000000006</v>
      </c>
      <c r="E117" s="117">
        <v>58</v>
      </c>
      <c r="F117" s="117">
        <v>60.5</v>
      </c>
      <c r="G117" s="117">
        <v>44</v>
      </c>
      <c r="H117" s="117">
        <v>37.200000000000003</v>
      </c>
      <c r="I117" s="117">
        <v>25.1</v>
      </c>
      <c r="J117" s="117"/>
      <c r="K117" s="117">
        <v>-10.9</v>
      </c>
      <c r="L117" s="117">
        <v>-12.7</v>
      </c>
      <c r="M117" s="117">
        <v>-14.8</v>
      </c>
      <c r="N117" s="117">
        <v>9.8000000000000007</v>
      </c>
      <c r="O117" s="117">
        <v>-50.3</v>
      </c>
      <c r="P117" s="117">
        <v>0.2</v>
      </c>
      <c r="Q117" s="117">
        <v>18.399999999999999</v>
      </c>
      <c r="R117" s="117">
        <v>11.6</v>
      </c>
      <c r="S117" s="117">
        <v>-7.5</v>
      </c>
      <c r="T117" s="117">
        <v>-16</v>
      </c>
      <c r="U117" s="117">
        <v>-16</v>
      </c>
      <c r="V117" s="117">
        <v>-5.6</v>
      </c>
      <c r="W117" s="117">
        <v>-20</v>
      </c>
      <c r="X117" s="117">
        <v>-24</v>
      </c>
      <c r="Y117" s="117">
        <v>-36.543999999999997</v>
      </c>
      <c r="Z117" s="117">
        <v>-36.543999999999997</v>
      </c>
      <c r="AA117" s="117">
        <v>-60</v>
      </c>
      <c r="AB117" s="117">
        <v>-45.3</v>
      </c>
      <c r="AC117" s="117">
        <v>-35.299999999999997</v>
      </c>
      <c r="AD117" s="117">
        <v>-29</v>
      </c>
      <c r="AE117" s="117">
        <v>7.1</v>
      </c>
      <c r="AF117" s="117">
        <v>39</v>
      </c>
      <c r="AG117" s="118"/>
      <c r="AH117" s="47"/>
      <c r="AI117" s="48"/>
    </row>
    <row r="118" spans="1:37" ht="15.75" thickBot="1" x14ac:dyDescent="0.3">
      <c r="A118" s="182" t="s">
        <v>260</v>
      </c>
      <c r="B118" s="117">
        <v>86.9</v>
      </c>
      <c r="C118" s="117">
        <v>83.2</v>
      </c>
      <c r="D118" s="117">
        <v>83.1</v>
      </c>
      <c r="E118" s="117">
        <v>72</v>
      </c>
      <c r="F118" s="117">
        <v>72.599999999999994</v>
      </c>
      <c r="G118" s="117">
        <v>52.1</v>
      </c>
      <c r="H118" s="117">
        <v>90</v>
      </c>
      <c r="I118" s="117">
        <v>81</v>
      </c>
      <c r="J118" s="117"/>
      <c r="K118" s="117">
        <v>94.3</v>
      </c>
      <c r="L118" s="117">
        <v>92.7</v>
      </c>
      <c r="M118" s="117">
        <v>84.3</v>
      </c>
      <c r="N118" s="117">
        <v>100.5</v>
      </c>
      <c r="O118" s="117">
        <v>46.2</v>
      </c>
      <c r="P118" s="117">
        <v>87.6</v>
      </c>
      <c r="Q118" s="117">
        <v>96.7</v>
      </c>
      <c r="R118" s="117">
        <v>92</v>
      </c>
      <c r="S118" s="117">
        <v>83.1</v>
      </c>
      <c r="T118" s="117">
        <v>95</v>
      </c>
      <c r="U118" s="117">
        <v>104</v>
      </c>
      <c r="V118" s="117">
        <v>92</v>
      </c>
      <c r="W118" s="117">
        <v>81</v>
      </c>
      <c r="X118" s="117">
        <v>79</v>
      </c>
      <c r="Y118" s="117">
        <v>71.5</v>
      </c>
      <c r="Z118" s="117">
        <v>71.5</v>
      </c>
      <c r="AA118" s="117">
        <v>72</v>
      </c>
      <c r="AB118" s="117">
        <v>57</v>
      </c>
      <c r="AC118" s="117">
        <v>60</v>
      </c>
      <c r="AD118" s="117">
        <v>60</v>
      </c>
      <c r="AE118" s="117">
        <v>66</v>
      </c>
      <c r="AF118" s="117">
        <v>73</v>
      </c>
      <c r="AG118" s="114"/>
      <c r="AH118" s="47">
        <f t="shared" si="21"/>
        <v>104</v>
      </c>
      <c r="AI118" s="48">
        <f t="shared" si="22"/>
        <v>46.2</v>
      </c>
    </row>
    <row r="119" spans="1:37" x14ac:dyDescent="0.25">
      <c r="A119" s="181" t="s">
        <v>264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06"/>
      <c r="AG119" s="114"/>
      <c r="AH119" s="47">
        <f t="shared" si="21"/>
        <v>0</v>
      </c>
      <c r="AI119" s="48">
        <f t="shared" si="22"/>
        <v>0</v>
      </c>
    </row>
    <row r="120" spans="1:37" x14ac:dyDescent="0.25">
      <c r="A120" s="182" t="s">
        <v>126</v>
      </c>
      <c r="B120" s="106">
        <v>7.3</v>
      </c>
      <c r="C120" s="106">
        <v>9.8000000000000007</v>
      </c>
      <c r="D120" s="106">
        <v>10.199999999999999</v>
      </c>
      <c r="E120" s="106">
        <v>10.9</v>
      </c>
      <c r="F120" s="106">
        <v>7.8</v>
      </c>
      <c r="G120" s="106">
        <v>2.5</v>
      </c>
      <c r="H120" s="106">
        <v>-3.7</v>
      </c>
      <c r="I120" s="106">
        <v>-7</v>
      </c>
      <c r="J120" s="106"/>
      <c r="K120" s="106">
        <v>-21.3</v>
      </c>
      <c r="L120" s="106">
        <v>-25.4</v>
      </c>
      <c r="M120" s="106">
        <v>-26.9</v>
      </c>
      <c r="N120" s="106">
        <v>-17.600000000000001</v>
      </c>
      <c r="O120" s="106">
        <v>-23</v>
      </c>
      <c r="P120" s="106">
        <v>-15</v>
      </c>
      <c r="Q120" s="106">
        <v>-10.8</v>
      </c>
      <c r="R120" s="106">
        <v>-3</v>
      </c>
      <c r="S120" s="106">
        <v>-9.6</v>
      </c>
      <c r="T120" s="106">
        <v>-12</v>
      </c>
      <c r="U120" s="106">
        <v>-14</v>
      </c>
      <c r="V120" s="106">
        <v>-24.7</v>
      </c>
      <c r="W120" s="106">
        <v>-34</v>
      </c>
      <c r="X120" s="106">
        <v>-34</v>
      </c>
      <c r="Y120" s="106">
        <v>-29</v>
      </c>
      <c r="Z120" s="106">
        <v>-29</v>
      </c>
      <c r="AA120" s="106">
        <v>-20</v>
      </c>
      <c r="AB120" s="106">
        <v>-13.1</v>
      </c>
      <c r="AC120" s="106">
        <v>-9.4</v>
      </c>
      <c r="AD120" s="106">
        <v>-6</v>
      </c>
      <c r="AE120" s="106">
        <v>0</v>
      </c>
      <c r="AF120" s="106">
        <v>5.6</v>
      </c>
      <c r="AG120" s="114"/>
      <c r="AH120" s="47">
        <f t="shared" si="21"/>
        <v>10.9</v>
      </c>
      <c r="AI120" s="48">
        <f t="shared" si="22"/>
        <v>-34</v>
      </c>
    </row>
    <row r="121" spans="1:37" x14ac:dyDescent="0.25">
      <c r="A121" s="182" t="s">
        <v>268</v>
      </c>
      <c r="B121" s="106">
        <v>22.2</v>
      </c>
      <c r="C121" s="106">
        <v>30</v>
      </c>
      <c r="D121" s="106">
        <v>28.7</v>
      </c>
      <c r="E121" s="106">
        <v>28.5</v>
      </c>
      <c r="F121" s="106">
        <v>23.8</v>
      </c>
      <c r="G121" s="106">
        <v>34.299999999999997</v>
      </c>
      <c r="H121" s="106">
        <v>31</v>
      </c>
      <c r="I121" s="106">
        <v>30.5</v>
      </c>
      <c r="J121" s="106"/>
      <c r="K121" s="106">
        <v>16.7</v>
      </c>
      <c r="L121" s="106">
        <v>12.7</v>
      </c>
      <c r="M121" s="106">
        <v>17.899999999999999</v>
      </c>
      <c r="N121" s="106">
        <v>29</v>
      </c>
      <c r="O121" s="106">
        <v>32.5</v>
      </c>
      <c r="P121" s="106">
        <v>4.5999999999999996</v>
      </c>
      <c r="Q121" s="106">
        <v>-7.6</v>
      </c>
      <c r="R121" s="106">
        <v>-2</v>
      </c>
      <c r="S121" s="106">
        <v>-2.6</v>
      </c>
      <c r="T121" s="106">
        <v>-4</v>
      </c>
      <c r="U121" s="106">
        <v>-6</v>
      </c>
      <c r="V121" s="106">
        <v>1.9</v>
      </c>
      <c r="W121" s="106">
        <v>0</v>
      </c>
      <c r="X121" s="106">
        <v>16</v>
      </c>
      <c r="Y121" s="106">
        <v>20.100000000000001</v>
      </c>
      <c r="Z121" s="106">
        <v>20.100000000000001</v>
      </c>
      <c r="AA121" s="106">
        <v>21.6</v>
      </c>
      <c r="AB121" s="106">
        <v>25.4</v>
      </c>
      <c r="AC121" s="106">
        <v>23.1</v>
      </c>
      <c r="AD121" s="106">
        <v>27</v>
      </c>
      <c r="AE121" s="106">
        <v>18</v>
      </c>
      <c r="AF121" s="106">
        <v>25</v>
      </c>
      <c r="AG121" s="114"/>
      <c r="AH121" s="47">
        <f t="shared" si="21"/>
        <v>34.299999999999997</v>
      </c>
      <c r="AI121" s="48">
        <f t="shared" si="22"/>
        <v>-7.6</v>
      </c>
    </row>
    <row r="122" spans="1:37" x14ac:dyDescent="0.25">
      <c r="A122" s="182" t="s">
        <v>265</v>
      </c>
      <c r="B122" s="106">
        <v>77.7</v>
      </c>
      <c r="C122" s="106">
        <v>73.900000000000006</v>
      </c>
      <c r="D122" s="106">
        <v>78.2</v>
      </c>
      <c r="E122" s="106">
        <v>72.3</v>
      </c>
      <c r="F122" s="106">
        <v>71</v>
      </c>
      <c r="G122" s="106">
        <v>77.900000000000006</v>
      </c>
      <c r="H122" s="106">
        <v>85</v>
      </c>
      <c r="I122" s="106">
        <v>85.2</v>
      </c>
      <c r="J122" s="106"/>
      <c r="K122" s="106">
        <v>106.5</v>
      </c>
      <c r="L122" s="106">
        <v>123.4</v>
      </c>
      <c r="M122" s="106">
        <v>119</v>
      </c>
      <c r="N122" s="106">
        <v>108.7</v>
      </c>
      <c r="O122" s="106">
        <v>93.8</v>
      </c>
      <c r="P122" s="106">
        <v>95.5</v>
      </c>
      <c r="Q122" s="106">
        <v>89.6</v>
      </c>
      <c r="R122" s="106">
        <v>78</v>
      </c>
      <c r="S122" s="106">
        <v>65.3</v>
      </c>
      <c r="T122" s="106">
        <v>88.4</v>
      </c>
      <c r="U122" s="106">
        <v>88</v>
      </c>
      <c r="V122" s="106">
        <v>71.599999999999994</v>
      </c>
      <c r="W122" s="106">
        <v>111</v>
      </c>
      <c r="X122" s="106">
        <v>106.9</v>
      </c>
      <c r="Y122" s="106">
        <v>100.2</v>
      </c>
      <c r="Z122" s="106">
        <v>100.2</v>
      </c>
      <c r="AA122" s="106">
        <v>96</v>
      </c>
      <c r="AB122" s="106">
        <v>100</v>
      </c>
      <c r="AC122" s="106">
        <v>97</v>
      </c>
      <c r="AD122" s="106">
        <v>93</v>
      </c>
      <c r="AE122" s="106">
        <v>74</v>
      </c>
      <c r="AF122" s="106">
        <v>76</v>
      </c>
      <c r="AG122" s="114"/>
      <c r="AH122" s="47">
        <f t="shared" si="21"/>
        <v>123.4</v>
      </c>
      <c r="AI122" s="48">
        <f t="shared" si="22"/>
        <v>65.3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76" t="s">
        <v>258</v>
      </c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83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45">SUM(B124:B228)</f>
        <v>0</v>
      </c>
      <c r="C229" s="137">
        <f t="shared" si="45"/>
        <v>0</v>
      </c>
      <c r="D229" s="137">
        <f t="shared" si="45"/>
        <v>0</v>
      </c>
      <c r="E229" s="137">
        <f t="shared" si="45"/>
        <v>0</v>
      </c>
      <c r="F229" s="137">
        <f t="shared" si="45"/>
        <v>0</v>
      </c>
      <c r="G229" s="137">
        <f t="shared" si="45"/>
        <v>0</v>
      </c>
      <c r="H229" s="137">
        <f t="shared" si="45"/>
        <v>0</v>
      </c>
      <c r="I229" s="137">
        <f t="shared" si="45"/>
        <v>0</v>
      </c>
      <c r="J229" s="137">
        <f t="shared" si="45"/>
        <v>0</v>
      </c>
      <c r="K229" s="137">
        <f t="shared" si="45"/>
        <v>0</v>
      </c>
      <c r="L229" s="137">
        <f t="shared" si="45"/>
        <v>0</v>
      </c>
      <c r="M229" s="137">
        <f t="shared" si="45"/>
        <v>0</v>
      </c>
      <c r="N229" s="137">
        <f t="shared" si="45"/>
        <v>0</v>
      </c>
      <c r="O229" s="137">
        <f t="shared" si="45"/>
        <v>0</v>
      </c>
      <c r="P229" s="137">
        <f t="shared" si="45"/>
        <v>0</v>
      </c>
      <c r="Q229" s="137">
        <f t="shared" si="45"/>
        <v>0</v>
      </c>
      <c r="R229" s="137">
        <f t="shared" si="45"/>
        <v>0</v>
      </c>
      <c r="S229" s="137">
        <f t="shared" si="45"/>
        <v>0</v>
      </c>
      <c r="T229" s="137">
        <f t="shared" si="45"/>
        <v>0</v>
      </c>
      <c r="U229" s="137">
        <f t="shared" si="45"/>
        <v>0</v>
      </c>
      <c r="V229" s="137">
        <f t="shared" si="45"/>
        <v>0</v>
      </c>
      <c r="W229" s="137">
        <f t="shared" si="45"/>
        <v>0</v>
      </c>
      <c r="X229" s="137">
        <f t="shared" si="45"/>
        <v>0</v>
      </c>
      <c r="Y229" s="137">
        <f t="shared" si="45"/>
        <v>0</v>
      </c>
      <c r="Z229" s="137">
        <f t="shared" si="45"/>
        <v>0</v>
      </c>
      <c r="AA229" s="137">
        <f t="shared" si="45"/>
        <v>0</v>
      </c>
      <c r="AB229" s="137">
        <f t="shared" si="45"/>
        <v>0</v>
      </c>
      <c r="AC229" s="137">
        <f t="shared" si="45"/>
        <v>0</v>
      </c>
      <c r="AD229" s="137">
        <f t="shared" si="45"/>
        <v>0</v>
      </c>
      <c r="AE229" s="137">
        <f t="shared" si="45"/>
        <v>0</v>
      </c>
      <c r="AF229" s="138">
        <f t="shared" si="45"/>
        <v>0</v>
      </c>
      <c r="AG229" s="139">
        <f t="shared" si="45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46">AF231</f>
        <v>0.3</v>
      </c>
      <c r="C231" s="141">
        <v>0.3</v>
      </c>
      <c r="D231" s="141">
        <f t="shared" ref="D231:S236" si="47">C231</f>
        <v>0.3</v>
      </c>
      <c r="E231" s="141">
        <f t="shared" si="47"/>
        <v>0.3</v>
      </c>
      <c r="F231" s="141">
        <f t="shared" si="47"/>
        <v>0.3</v>
      </c>
      <c r="G231" s="141">
        <f t="shared" si="47"/>
        <v>0.3</v>
      </c>
      <c r="H231" s="141">
        <f t="shared" si="47"/>
        <v>0.3</v>
      </c>
      <c r="I231" s="141">
        <f t="shared" si="47"/>
        <v>0.3</v>
      </c>
      <c r="J231" s="141">
        <f t="shared" si="47"/>
        <v>0.3</v>
      </c>
      <c r="K231" s="141">
        <f t="shared" si="47"/>
        <v>0.3</v>
      </c>
      <c r="L231" s="141">
        <f t="shared" si="47"/>
        <v>0.3</v>
      </c>
      <c r="M231" s="141">
        <f t="shared" si="47"/>
        <v>0.3</v>
      </c>
      <c r="N231" s="141">
        <f t="shared" si="47"/>
        <v>0.3</v>
      </c>
      <c r="O231" s="141">
        <f t="shared" si="47"/>
        <v>0.3</v>
      </c>
      <c r="P231" s="141">
        <f t="shared" si="47"/>
        <v>0.3</v>
      </c>
      <c r="Q231" s="141">
        <f t="shared" si="47"/>
        <v>0.3</v>
      </c>
      <c r="R231" s="141">
        <f t="shared" si="47"/>
        <v>0.3</v>
      </c>
      <c r="S231" s="141">
        <f t="shared" si="47"/>
        <v>0.3</v>
      </c>
      <c r="T231" s="141">
        <f t="shared" ref="T231:AF236" si="48">S231</f>
        <v>0.3</v>
      </c>
      <c r="U231" s="141">
        <f t="shared" si="48"/>
        <v>0.3</v>
      </c>
      <c r="V231" s="141">
        <f t="shared" si="48"/>
        <v>0.3</v>
      </c>
      <c r="W231" s="141">
        <f t="shared" si="48"/>
        <v>0.3</v>
      </c>
      <c r="X231" s="141">
        <f t="shared" si="48"/>
        <v>0.3</v>
      </c>
      <c r="Y231" s="141">
        <f t="shared" si="48"/>
        <v>0.3</v>
      </c>
      <c r="Z231" s="141">
        <f t="shared" si="48"/>
        <v>0.3</v>
      </c>
      <c r="AA231" s="141">
        <f t="shared" si="48"/>
        <v>0.3</v>
      </c>
      <c r="AB231" s="141">
        <f t="shared" si="48"/>
        <v>0.3</v>
      </c>
      <c r="AC231" s="141">
        <f t="shared" si="48"/>
        <v>0.3</v>
      </c>
      <c r="AD231" s="141">
        <f t="shared" si="48"/>
        <v>0.3</v>
      </c>
      <c r="AE231" s="141">
        <f t="shared" si="48"/>
        <v>0.3</v>
      </c>
      <c r="AF231" s="141">
        <f t="shared" si="48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46"/>
        <v>0.4</v>
      </c>
      <c r="C232" s="129">
        <v>0.4</v>
      </c>
      <c r="D232" s="129">
        <f t="shared" si="47"/>
        <v>0.4</v>
      </c>
      <c r="E232" s="129">
        <f t="shared" si="47"/>
        <v>0.4</v>
      </c>
      <c r="F232" s="129">
        <f t="shared" si="47"/>
        <v>0.4</v>
      </c>
      <c r="G232" s="129">
        <f t="shared" si="47"/>
        <v>0.4</v>
      </c>
      <c r="H232" s="129">
        <f t="shared" si="47"/>
        <v>0.4</v>
      </c>
      <c r="I232" s="129">
        <f t="shared" si="47"/>
        <v>0.4</v>
      </c>
      <c r="J232" s="129">
        <f t="shared" si="47"/>
        <v>0.4</v>
      </c>
      <c r="K232" s="129">
        <f t="shared" si="47"/>
        <v>0.4</v>
      </c>
      <c r="L232" s="129">
        <f t="shared" si="47"/>
        <v>0.4</v>
      </c>
      <c r="M232" s="129">
        <f t="shared" si="47"/>
        <v>0.4</v>
      </c>
      <c r="N232" s="129">
        <f t="shared" si="47"/>
        <v>0.4</v>
      </c>
      <c r="O232" s="129">
        <f t="shared" si="47"/>
        <v>0.4</v>
      </c>
      <c r="P232" s="129">
        <f t="shared" si="47"/>
        <v>0.4</v>
      </c>
      <c r="Q232" s="129">
        <f t="shared" si="47"/>
        <v>0.4</v>
      </c>
      <c r="R232" s="129">
        <f t="shared" si="47"/>
        <v>0.4</v>
      </c>
      <c r="S232" s="129">
        <f t="shared" si="47"/>
        <v>0.4</v>
      </c>
      <c r="T232" s="129">
        <f t="shared" si="48"/>
        <v>0.4</v>
      </c>
      <c r="U232" s="129">
        <f t="shared" si="48"/>
        <v>0.4</v>
      </c>
      <c r="V232" s="129">
        <f t="shared" si="48"/>
        <v>0.4</v>
      </c>
      <c r="W232" s="129">
        <f t="shared" si="48"/>
        <v>0.4</v>
      </c>
      <c r="X232" s="129">
        <f t="shared" si="48"/>
        <v>0.4</v>
      </c>
      <c r="Y232" s="129">
        <f t="shared" si="48"/>
        <v>0.4</v>
      </c>
      <c r="Z232" s="129">
        <f t="shared" si="48"/>
        <v>0.4</v>
      </c>
      <c r="AA232" s="129">
        <f t="shared" si="48"/>
        <v>0.4</v>
      </c>
      <c r="AB232" s="129">
        <f t="shared" si="48"/>
        <v>0.4</v>
      </c>
      <c r="AC232" s="129">
        <f t="shared" si="48"/>
        <v>0.4</v>
      </c>
      <c r="AD232" s="129">
        <f t="shared" si="48"/>
        <v>0.4</v>
      </c>
      <c r="AE232" s="129">
        <f t="shared" si="48"/>
        <v>0.4</v>
      </c>
      <c r="AF232" s="129">
        <f t="shared" si="48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46"/>
        <v>1.5</v>
      </c>
      <c r="C233" s="129">
        <v>1.5</v>
      </c>
      <c r="D233" s="129">
        <f t="shared" si="47"/>
        <v>1.5</v>
      </c>
      <c r="E233" s="129">
        <f t="shared" si="47"/>
        <v>1.5</v>
      </c>
      <c r="F233" s="129">
        <f t="shared" si="47"/>
        <v>1.5</v>
      </c>
      <c r="G233" s="129">
        <f t="shared" si="47"/>
        <v>1.5</v>
      </c>
      <c r="H233" s="129">
        <f t="shared" si="47"/>
        <v>1.5</v>
      </c>
      <c r="I233" s="129">
        <f t="shared" si="47"/>
        <v>1.5</v>
      </c>
      <c r="J233" s="129">
        <f t="shared" si="47"/>
        <v>1.5</v>
      </c>
      <c r="K233" s="129">
        <f t="shared" si="47"/>
        <v>1.5</v>
      </c>
      <c r="L233" s="129">
        <f t="shared" si="47"/>
        <v>1.5</v>
      </c>
      <c r="M233" s="129">
        <f t="shared" si="47"/>
        <v>1.5</v>
      </c>
      <c r="N233" s="129">
        <f t="shared" si="47"/>
        <v>1.5</v>
      </c>
      <c r="O233" s="129">
        <f t="shared" si="47"/>
        <v>1.5</v>
      </c>
      <c r="P233" s="129">
        <f t="shared" si="47"/>
        <v>1.5</v>
      </c>
      <c r="Q233" s="129">
        <f t="shared" si="47"/>
        <v>1.5</v>
      </c>
      <c r="R233" s="129">
        <f t="shared" si="47"/>
        <v>1.5</v>
      </c>
      <c r="S233" s="129">
        <f t="shared" si="47"/>
        <v>1.5</v>
      </c>
      <c r="T233" s="129">
        <f t="shared" si="48"/>
        <v>1.5</v>
      </c>
      <c r="U233" s="129">
        <f t="shared" si="48"/>
        <v>1.5</v>
      </c>
      <c r="V233" s="129">
        <f t="shared" si="48"/>
        <v>1.5</v>
      </c>
      <c r="W233" s="129">
        <f t="shared" si="48"/>
        <v>1.5</v>
      </c>
      <c r="X233" s="129">
        <f t="shared" si="48"/>
        <v>1.5</v>
      </c>
      <c r="Y233" s="129">
        <f t="shared" si="48"/>
        <v>1.5</v>
      </c>
      <c r="Z233" s="129">
        <f t="shared" si="48"/>
        <v>1.5</v>
      </c>
      <c r="AA233" s="129">
        <f t="shared" si="48"/>
        <v>1.5</v>
      </c>
      <c r="AB233" s="129">
        <f t="shared" si="48"/>
        <v>1.5</v>
      </c>
      <c r="AC233" s="129">
        <f t="shared" si="48"/>
        <v>1.5</v>
      </c>
      <c r="AD233" s="129">
        <f t="shared" si="48"/>
        <v>1.5</v>
      </c>
      <c r="AE233" s="129">
        <f t="shared" si="48"/>
        <v>1.5</v>
      </c>
      <c r="AF233" s="129">
        <f t="shared" si="48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46"/>
        <v>0.3</v>
      </c>
      <c r="C234" s="129">
        <v>0.3</v>
      </c>
      <c r="D234" s="129">
        <f t="shared" si="47"/>
        <v>0.3</v>
      </c>
      <c r="E234" s="129">
        <f t="shared" si="47"/>
        <v>0.3</v>
      </c>
      <c r="F234" s="129">
        <f t="shared" si="47"/>
        <v>0.3</v>
      </c>
      <c r="G234" s="129">
        <f t="shared" si="47"/>
        <v>0.3</v>
      </c>
      <c r="H234" s="129">
        <f t="shared" si="47"/>
        <v>0.3</v>
      </c>
      <c r="I234" s="129">
        <f t="shared" si="47"/>
        <v>0.3</v>
      </c>
      <c r="J234" s="129">
        <f t="shared" si="47"/>
        <v>0.3</v>
      </c>
      <c r="K234" s="129">
        <f t="shared" si="47"/>
        <v>0.3</v>
      </c>
      <c r="L234" s="129">
        <f t="shared" si="47"/>
        <v>0.3</v>
      </c>
      <c r="M234" s="129">
        <f t="shared" si="47"/>
        <v>0.3</v>
      </c>
      <c r="N234" s="129">
        <f t="shared" si="47"/>
        <v>0.3</v>
      </c>
      <c r="O234" s="129">
        <f t="shared" si="47"/>
        <v>0.3</v>
      </c>
      <c r="P234" s="129">
        <f t="shared" si="47"/>
        <v>0.3</v>
      </c>
      <c r="Q234" s="129">
        <f t="shared" si="47"/>
        <v>0.3</v>
      </c>
      <c r="R234" s="129">
        <f t="shared" si="47"/>
        <v>0.3</v>
      </c>
      <c r="S234" s="129">
        <f t="shared" si="47"/>
        <v>0.3</v>
      </c>
      <c r="T234" s="129">
        <f t="shared" si="48"/>
        <v>0.3</v>
      </c>
      <c r="U234" s="129">
        <f t="shared" si="48"/>
        <v>0.3</v>
      </c>
      <c r="V234" s="129">
        <f t="shared" si="48"/>
        <v>0.3</v>
      </c>
      <c r="W234" s="129">
        <f t="shared" si="48"/>
        <v>0.3</v>
      </c>
      <c r="X234" s="129">
        <f t="shared" si="48"/>
        <v>0.3</v>
      </c>
      <c r="Y234" s="129">
        <f t="shared" si="48"/>
        <v>0.3</v>
      </c>
      <c r="Z234" s="129">
        <f t="shared" si="48"/>
        <v>0.3</v>
      </c>
      <c r="AA234" s="129">
        <f t="shared" si="48"/>
        <v>0.3</v>
      </c>
      <c r="AB234" s="129">
        <f t="shared" si="48"/>
        <v>0.3</v>
      </c>
      <c r="AC234" s="129">
        <f t="shared" si="48"/>
        <v>0.3</v>
      </c>
      <c r="AD234" s="129">
        <f t="shared" si="48"/>
        <v>0.3</v>
      </c>
      <c r="AE234" s="129">
        <f t="shared" si="48"/>
        <v>0.3</v>
      </c>
      <c r="AF234" s="129">
        <f t="shared" si="48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46"/>
        <v>0.4</v>
      </c>
      <c r="C235" s="129">
        <v>0.4</v>
      </c>
      <c r="D235" s="129">
        <f t="shared" si="47"/>
        <v>0.4</v>
      </c>
      <c r="E235" s="129">
        <f t="shared" si="47"/>
        <v>0.4</v>
      </c>
      <c r="F235" s="129">
        <f t="shared" si="47"/>
        <v>0.4</v>
      </c>
      <c r="G235" s="129">
        <f t="shared" si="47"/>
        <v>0.4</v>
      </c>
      <c r="H235" s="129">
        <f t="shared" si="47"/>
        <v>0.4</v>
      </c>
      <c r="I235" s="129">
        <f t="shared" si="47"/>
        <v>0.4</v>
      </c>
      <c r="J235" s="129">
        <f t="shared" si="47"/>
        <v>0.4</v>
      </c>
      <c r="K235" s="129">
        <f t="shared" si="47"/>
        <v>0.4</v>
      </c>
      <c r="L235" s="129">
        <f t="shared" si="47"/>
        <v>0.4</v>
      </c>
      <c r="M235" s="129">
        <f t="shared" si="47"/>
        <v>0.4</v>
      </c>
      <c r="N235" s="129">
        <f t="shared" si="47"/>
        <v>0.4</v>
      </c>
      <c r="O235" s="129">
        <f t="shared" si="47"/>
        <v>0.4</v>
      </c>
      <c r="P235" s="129">
        <f t="shared" si="47"/>
        <v>0.4</v>
      </c>
      <c r="Q235" s="129">
        <f t="shared" si="47"/>
        <v>0.4</v>
      </c>
      <c r="R235" s="129">
        <f t="shared" si="47"/>
        <v>0.4</v>
      </c>
      <c r="S235" s="129">
        <f t="shared" si="47"/>
        <v>0.4</v>
      </c>
      <c r="T235" s="129">
        <f t="shared" si="48"/>
        <v>0.4</v>
      </c>
      <c r="U235" s="129">
        <f t="shared" si="48"/>
        <v>0.4</v>
      </c>
      <c r="V235" s="129">
        <f t="shared" si="48"/>
        <v>0.4</v>
      </c>
      <c r="W235" s="129">
        <f t="shared" si="48"/>
        <v>0.4</v>
      </c>
      <c r="X235" s="129">
        <f t="shared" si="48"/>
        <v>0.4</v>
      </c>
      <c r="Y235" s="129">
        <f t="shared" si="48"/>
        <v>0.4</v>
      </c>
      <c r="Z235" s="129">
        <f t="shared" si="48"/>
        <v>0.4</v>
      </c>
      <c r="AA235" s="129">
        <f t="shared" si="48"/>
        <v>0.4</v>
      </c>
      <c r="AB235" s="129">
        <f t="shared" si="48"/>
        <v>0.4</v>
      </c>
      <c r="AC235" s="129">
        <f t="shared" si="48"/>
        <v>0.4</v>
      </c>
      <c r="AD235" s="129">
        <f t="shared" si="48"/>
        <v>0.4</v>
      </c>
      <c r="AE235" s="129">
        <f t="shared" si="48"/>
        <v>0.4</v>
      </c>
      <c r="AF235" s="129">
        <f t="shared" si="48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46"/>
        <v>0.64</v>
      </c>
      <c r="C236" s="133">
        <v>0.64</v>
      </c>
      <c r="D236" s="133">
        <f t="shared" si="47"/>
        <v>0.64</v>
      </c>
      <c r="E236" s="133">
        <f t="shared" si="47"/>
        <v>0.64</v>
      </c>
      <c r="F236" s="133">
        <f t="shared" si="47"/>
        <v>0.64</v>
      </c>
      <c r="G236" s="133">
        <f t="shared" si="47"/>
        <v>0.64</v>
      </c>
      <c r="H236" s="133">
        <f t="shared" si="47"/>
        <v>0.64</v>
      </c>
      <c r="I236" s="133">
        <f t="shared" si="47"/>
        <v>0.64</v>
      </c>
      <c r="J236" s="133">
        <f t="shared" si="47"/>
        <v>0.64</v>
      </c>
      <c r="K236" s="133">
        <f t="shared" si="47"/>
        <v>0.64</v>
      </c>
      <c r="L236" s="133">
        <f t="shared" si="47"/>
        <v>0.64</v>
      </c>
      <c r="M236" s="133">
        <f t="shared" si="47"/>
        <v>0.64</v>
      </c>
      <c r="N236" s="133">
        <f t="shared" si="47"/>
        <v>0.64</v>
      </c>
      <c r="O236" s="133">
        <f t="shared" si="47"/>
        <v>0.64</v>
      </c>
      <c r="P236" s="133">
        <f t="shared" si="47"/>
        <v>0.64</v>
      </c>
      <c r="Q236" s="133">
        <f t="shared" si="47"/>
        <v>0.64</v>
      </c>
      <c r="R236" s="133">
        <f t="shared" si="47"/>
        <v>0.64</v>
      </c>
      <c r="S236" s="133">
        <f t="shared" si="47"/>
        <v>0.64</v>
      </c>
      <c r="T236" s="133">
        <f t="shared" si="48"/>
        <v>0.64</v>
      </c>
      <c r="U236" s="133">
        <f t="shared" si="48"/>
        <v>0.64</v>
      </c>
      <c r="V236" s="133">
        <f t="shared" si="48"/>
        <v>0.64</v>
      </c>
      <c r="W236" s="133">
        <f t="shared" si="48"/>
        <v>0.64</v>
      </c>
      <c r="X236" s="133">
        <f t="shared" si="48"/>
        <v>0.64</v>
      </c>
      <c r="Y236" s="133">
        <f t="shared" si="48"/>
        <v>0.64</v>
      </c>
      <c r="Z236" s="133">
        <f t="shared" si="48"/>
        <v>0.64</v>
      </c>
      <c r="AA236" s="133">
        <f t="shared" si="48"/>
        <v>0.64</v>
      </c>
      <c r="AB236" s="133">
        <f t="shared" si="48"/>
        <v>0.64</v>
      </c>
      <c r="AC236" s="133">
        <f t="shared" si="48"/>
        <v>0.64</v>
      </c>
      <c r="AD236" s="133">
        <f t="shared" si="48"/>
        <v>0.64</v>
      </c>
      <c r="AE236" s="133">
        <f t="shared" si="48"/>
        <v>0.64</v>
      </c>
      <c r="AF236" s="133">
        <f t="shared" si="48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49">SUM(B231:B236)</f>
        <v>3.54</v>
      </c>
      <c r="C237" s="137">
        <f t="shared" si="49"/>
        <v>3.54</v>
      </c>
      <c r="D237" s="137">
        <f t="shared" si="49"/>
        <v>3.54</v>
      </c>
      <c r="E237" s="137">
        <f t="shared" si="49"/>
        <v>3.54</v>
      </c>
      <c r="F237" s="137">
        <f t="shared" si="49"/>
        <v>3.54</v>
      </c>
      <c r="G237" s="137">
        <f t="shared" si="49"/>
        <v>3.54</v>
      </c>
      <c r="H237" s="137">
        <f t="shared" si="49"/>
        <v>3.54</v>
      </c>
      <c r="I237" s="137">
        <f t="shared" si="49"/>
        <v>3.54</v>
      </c>
      <c r="J237" s="137">
        <f t="shared" si="49"/>
        <v>3.54</v>
      </c>
      <c r="K237" s="137">
        <f t="shared" si="49"/>
        <v>3.54</v>
      </c>
      <c r="L237" s="137">
        <f t="shared" si="49"/>
        <v>3.54</v>
      </c>
      <c r="M237" s="137">
        <f t="shared" si="49"/>
        <v>3.54</v>
      </c>
      <c r="N237" s="137">
        <f t="shared" si="49"/>
        <v>3.54</v>
      </c>
      <c r="O237" s="137">
        <f t="shared" si="49"/>
        <v>3.54</v>
      </c>
      <c r="P237" s="137">
        <f t="shared" si="49"/>
        <v>3.54</v>
      </c>
      <c r="Q237" s="137">
        <f t="shared" si="49"/>
        <v>3.54</v>
      </c>
      <c r="R237" s="137">
        <f t="shared" si="49"/>
        <v>3.54</v>
      </c>
      <c r="S237" s="137">
        <f t="shared" si="49"/>
        <v>3.54</v>
      </c>
      <c r="T237" s="137">
        <f t="shared" si="49"/>
        <v>3.54</v>
      </c>
      <c r="U237" s="137">
        <f t="shared" si="49"/>
        <v>3.54</v>
      </c>
      <c r="V237" s="137">
        <f t="shared" si="49"/>
        <v>3.54</v>
      </c>
      <c r="W237" s="137">
        <f t="shared" si="49"/>
        <v>3.54</v>
      </c>
      <c r="X237" s="137">
        <f t="shared" si="49"/>
        <v>3.54</v>
      </c>
      <c r="Y237" s="137">
        <f t="shared" si="49"/>
        <v>3.54</v>
      </c>
      <c r="Z237" s="137">
        <f t="shared" si="49"/>
        <v>3.54</v>
      </c>
      <c r="AA237" s="137">
        <f t="shared" si="49"/>
        <v>3.54</v>
      </c>
      <c r="AB237" s="137">
        <f t="shared" si="49"/>
        <v>3.54</v>
      </c>
      <c r="AC237" s="137">
        <f t="shared" si="49"/>
        <v>3.54</v>
      </c>
      <c r="AD237" s="137">
        <f t="shared" si="49"/>
        <v>3.54</v>
      </c>
      <c r="AE237" s="137">
        <f t="shared" si="49"/>
        <v>3.54</v>
      </c>
      <c r="AF237" s="137">
        <f t="shared" si="49"/>
        <v>3.54</v>
      </c>
      <c r="AG237" s="146">
        <f t="shared" si="49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1748.48</v>
      </c>
      <c r="C246" s="162">
        <f>INDEX(G9:N9,1,MATCH(MAX(G91:N91),G91:N91,0))</f>
        <v>0.3125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6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2080/09/6)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2080/09/6)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50">B91</f>
        <v>1174.28</v>
      </c>
      <c r="U251" s="171">
        <f t="shared" si="50"/>
        <v>1130.28</v>
      </c>
      <c r="V251" s="171">
        <f t="shared" si="50"/>
        <v>1140.98</v>
      </c>
      <c r="W251" s="171">
        <f t="shared" si="50"/>
        <v>1103.8800000000001</v>
      </c>
      <c r="X251" s="171">
        <f t="shared" si="50"/>
        <v>1119.8800000000001</v>
      </c>
      <c r="Y251" s="171">
        <f t="shared" si="50"/>
        <v>1201.8800000000001</v>
      </c>
      <c r="Z251" s="171">
        <f t="shared" si="50"/>
        <v>1279.0800000000002</v>
      </c>
      <c r="AA251" s="171">
        <f t="shared" si="50"/>
        <v>1389.88</v>
      </c>
      <c r="AB251" s="171">
        <f t="shared" si="50"/>
        <v>1477.68</v>
      </c>
      <c r="AC251" s="171">
        <f t="shared" si="50"/>
        <v>1645.18</v>
      </c>
      <c r="AD251" s="171">
        <f t="shared" si="50"/>
        <v>1748.48</v>
      </c>
      <c r="AE251" s="171">
        <f t="shared" si="50"/>
        <v>1734.18</v>
      </c>
      <c r="AF251" s="171">
        <f t="shared" si="50"/>
        <v>1675.7800000000002</v>
      </c>
      <c r="AG251" s="171">
        <f t="shared" si="50"/>
        <v>1616.7800000000002</v>
      </c>
      <c r="AH251" s="171">
        <f t="shared" si="50"/>
        <v>1555.98</v>
      </c>
      <c r="AI251" s="171">
        <f t="shared" si="50"/>
        <v>1452.5800000000002</v>
      </c>
      <c r="AJ251" s="171">
        <f t="shared" si="50"/>
        <v>1363.38</v>
      </c>
      <c r="AK251" s="171">
        <f t="shared" si="50"/>
        <v>1365.48</v>
      </c>
      <c r="AL251" s="171">
        <f t="shared" si="50"/>
        <v>1346.08</v>
      </c>
      <c r="AM251" s="171">
        <f t="shared" si="50"/>
        <v>1375.68</v>
      </c>
      <c r="AN251" s="171">
        <f t="shared" si="50"/>
        <v>1425.58</v>
      </c>
      <c r="AO251" s="171">
        <f t="shared" si="50"/>
        <v>1376.58</v>
      </c>
      <c r="AP251" s="171">
        <f t="shared" si="50"/>
        <v>1599.1799999999998</v>
      </c>
      <c r="AQ251" s="171">
        <f t="shared" si="50"/>
        <v>1701.1799999999998</v>
      </c>
      <c r="AR251" s="171">
        <f t="shared" si="50"/>
        <v>1590.28</v>
      </c>
      <c r="AS251" s="171">
        <f t="shared" si="50"/>
        <v>1561.1799999999998</v>
      </c>
      <c r="AT251" s="171">
        <f t="shared" si="50"/>
        <v>1532.08</v>
      </c>
      <c r="AU251" s="171">
        <f t="shared" si="50"/>
        <v>1480.28</v>
      </c>
      <c r="AV251" s="171">
        <f t="shared" si="50"/>
        <v>1379.08</v>
      </c>
      <c r="AW251" s="171">
        <f t="shared" si="50"/>
        <v>1202.78</v>
      </c>
      <c r="AX251" s="171">
        <f t="shared" si="50"/>
        <v>1105.18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51">C236</f>
        <v>0.64</v>
      </c>
      <c r="C272" s="174">
        <f t="shared" si="51"/>
        <v>0.64</v>
      </c>
      <c r="D272" s="174">
        <f t="shared" si="51"/>
        <v>0.64</v>
      </c>
      <c r="E272" s="174">
        <f t="shared" si="51"/>
        <v>0.64</v>
      </c>
      <c r="F272" s="174">
        <f t="shared" si="51"/>
        <v>0.64</v>
      </c>
      <c r="G272" s="174">
        <f t="shared" si="51"/>
        <v>0.64</v>
      </c>
      <c r="H272" s="174">
        <f t="shared" si="51"/>
        <v>0.64</v>
      </c>
      <c r="I272" s="174">
        <f t="shared" si="51"/>
        <v>0.64</v>
      </c>
      <c r="J272" s="174">
        <f t="shared" si="51"/>
        <v>0.64</v>
      </c>
      <c r="K272" s="174">
        <f t="shared" si="51"/>
        <v>0.64</v>
      </c>
      <c r="L272" s="174">
        <f t="shared" si="51"/>
        <v>0.64</v>
      </c>
      <c r="M272" s="174">
        <f t="shared" si="51"/>
        <v>0.64</v>
      </c>
      <c r="N272" s="174">
        <f t="shared" si="51"/>
        <v>0.64</v>
      </c>
      <c r="O272" s="174">
        <f t="shared" si="51"/>
        <v>0.64</v>
      </c>
      <c r="P272" s="174">
        <f t="shared" si="51"/>
        <v>0.64</v>
      </c>
      <c r="Q272" s="174">
        <f t="shared" si="51"/>
        <v>0.64</v>
      </c>
      <c r="R272" s="174">
        <f t="shared" si="51"/>
        <v>0.64</v>
      </c>
      <c r="S272" s="174">
        <f t="shared" si="51"/>
        <v>0.64</v>
      </c>
      <c r="T272" s="174">
        <f t="shared" si="51"/>
        <v>0.64</v>
      </c>
      <c r="U272" s="174">
        <f t="shared" si="51"/>
        <v>0.64</v>
      </c>
      <c r="V272" s="174">
        <f t="shared" si="51"/>
        <v>0.64</v>
      </c>
      <c r="W272" s="174">
        <f t="shared" si="51"/>
        <v>0.64</v>
      </c>
      <c r="X272" s="174">
        <f t="shared" si="51"/>
        <v>0.64</v>
      </c>
      <c r="Y272" s="174">
        <f t="shared" si="51"/>
        <v>0.64</v>
      </c>
      <c r="Z272" s="174">
        <f t="shared" si="51"/>
        <v>0.64</v>
      </c>
      <c r="AA272" s="174">
        <f t="shared" si="51"/>
        <v>0.64</v>
      </c>
      <c r="AB272" s="174">
        <f t="shared" si="51"/>
        <v>0.64</v>
      </c>
      <c r="AC272" s="174">
        <f t="shared" si="51"/>
        <v>0.64</v>
      </c>
      <c r="AD272" s="174">
        <f t="shared" si="51"/>
        <v>0.64</v>
      </c>
      <c r="AE272" s="174">
        <f t="shared" si="51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52">IF(B240&lt;100,"",B240-520)</f>
        <v/>
      </c>
      <c r="C273" s="175" t="str">
        <f t="shared" si="52"/>
        <v/>
      </c>
      <c r="D273" s="175" t="str">
        <f t="shared" si="52"/>
        <v/>
      </c>
      <c r="E273" s="175" t="str">
        <f t="shared" si="52"/>
        <v/>
      </c>
      <c r="F273" s="175" t="str">
        <f t="shared" si="52"/>
        <v/>
      </c>
      <c r="G273" s="175" t="str">
        <f t="shared" si="52"/>
        <v/>
      </c>
      <c r="H273" s="175" t="str">
        <f t="shared" si="52"/>
        <v/>
      </c>
      <c r="I273" s="175" t="str">
        <f t="shared" si="52"/>
        <v/>
      </c>
      <c r="J273" s="175" t="str">
        <f t="shared" si="52"/>
        <v/>
      </c>
      <c r="K273" s="175" t="str">
        <f t="shared" si="52"/>
        <v/>
      </c>
      <c r="L273" s="175" t="str">
        <f t="shared" si="52"/>
        <v/>
      </c>
      <c r="M273" s="175" t="str">
        <f t="shared" si="52"/>
        <v/>
      </c>
      <c r="N273" s="175" t="str">
        <f t="shared" si="52"/>
        <v/>
      </c>
      <c r="O273" s="175" t="str">
        <f t="shared" si="52"/>
        <v/>
      </c>
      <c r="P273" s="175" t="str">
        <f t="shared" si="52"/>
        <v/>
      </c>
      <c r="Q273" s="175" t="str">
        <f t="shared" si="52"/>
        <v/>
      </c>
      <c r="R273" s="175" t="str">
        <f t="shared" si="52"/>
        <v/>
      </c>
      <c r="S273" s="175" t="str">
        <f t="shared" si="52"/>
        <v/>
      </c>
      <c r="T273" s="175" t="str">
        <f t="shared" si="52"/>
        <v/>
      </c>
      <c r="U273" s="175" t="str">
        <f t="shared" si="52"/>
        <v/>
      </c>
      <c r="V273" s="175" t="str">
        <f t="shared" si="52"/>
        <v/>
      </c>
      <c r="W273" s="175" t="str">
        <f t="shared" si="52"/>
        <v/>
      </c>
      <c r="X273" s="175" t="str">
        <f t="shared" si="52"/>
        <v/>
      </c>
      <c r="Y273" s="175" t="str">
        <f t="shared" si="52"/>
        <v/>
      </c>
      <c r="Z273" s="175" t="str">
        <f t="shared" si="52"/>
        <v/>
      </c>
      <c r="AA273" s="175" t="str">
        <f t="shared" si="52"/>
        <v/>
      </c>
      <c r="AB273" s="175" t="str">
        <f t="shared" si="52"/>
        <v/>
      </c>
      <c r="AC273" s="175" t="str">
        <f t="shared" si="52"/>
        <v/>
      </c>
      <c r="AD273" s="175" t="str">
        <f t="shared" si="52"/>
        <v/>
      </c>
      <c r="AE273" s="175" t="str">
        <f t="shared" si="52"/>
        <v/>
      </c>
      <c r="AF273" s="175" t="str">
        <f t="shared" si="52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53">IF(B241&lt;100,"",B241-620)</f>
        <v/>
      </c>
      <c r="C274" s="175" t="str">
        <f t="shared" si="53"/>
        <v/>
      </c>
      <c r="D274" s="175" t="str">
        <f t="shared" si="53"/>
        <v/>
      </c>
      <c r="E274" s="175" t="str">
        <f t="shared" si="53"/>
        <v/>
      </c>
      <c r="F274" s="175" t="str">
        <f t="shared" si="53"/>
        <v/>
      </c>
      <c r="G274" s="175" t="str">
        <f t="shared" si="53"/>
        <v/>
      </c>
      <c r="H274" s="175" t="str">
        <f t="shared" si="53"/>
        <v/>
      </c>
      <c r="I274" s="175" t="str">
        <f t="shared" si="53"/>
        <v/>
      </c>
      <c r="J274" s="175" t="str">
        <f t="shared" si="53"/>
        <v/>
      </c>
      <c r="K274" s="175" t="str">
        <f t="shared" si="53"/>
        <v/>
      </c>
      <c r="L274" s="175" t="str">
        <f t="shared" si="53"/>
        <v/>
      </c>
      <c r="M274" s="175" t="str">
        <f t="shared" si="53"/>
        <v/>
      </c>
      <c r="N274" s="175" t="str">
        <f t="shared" si="53"/>
        <v/>
      </c>
      <c r="O274" s="175" t="str">
        <f t="shared" si="53"/>
        <v/>
      </c>
      <c r="P274" s="175" t="str">
        <f t="shared" si="53"/>
        <v/>
      </c>
      <c r="Q274" s="175" t="str">
        <f t="shared" si="53"/>
        <v/>
      </c>
      <c r="R274" s="175" t="str">
        <f t="shared" si="53"/>
        <v/>
      </c>
      <c r="S274" s="175" t="str">
        <f t="shared" si="53"/>
        <v/>
      </c>
      <c r="T274" s="175" t="str">
        <f t="shared" si="53"/>
        <v/>
      </c>
      <c r="U274" s="175" t="str">
        <f t="shared" si="53"/>
        <v/>
      </c>
      <c r="V274" s="175" t="str">
        <f t="shared" si="53"/>
        <v/>
      </c>
      <c r="W274" s="175" t="str">
        <f t="shared" si="53"/>
        <v/>
      </c>
      <c r="X274" s="175" t="str">
        <f t="shared" si="53"/>
        <v/>
      </c>
      <c r="Y274" s="175" t="str">
        <f t="shared" si="53"/>
        <v/>
      </c>
      <c r="Z274" s="175" t="str">
        <f t="shared" si="53"/>
        <v/>
      </c>
      <c r="AA274" s="175" t="str">
        <f t="shared" si="53"/>
        <v/>
      </c>
      <c r="AB274" s="175" t="str">
        <f t="shared" si="53"/>
        <v/>
      </c>
      <c r="AC274" s="175" t="str">
        <f t="shared" si="53"/>
        <v/>
      </c>
      <c r="AD274" s="175" t="str">
        <f t="shared" si="53"/>
        <v/>
      </c>
      <c r="AE274" s="175" t="str">
        <f t="shared" si="53"/>
        <v/>
      </c>
      <c r="AF274" s="175" t="str">
        <f t="shared" si="53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54">IF(B242&lt;100,"",B242-330)</f>
        <v/>
      </c>
      <c r="C275" s="175" t="str">
        <f t="shared" si="54"/>
        <v/>
      </c>
      <c r="D275" s="175" t="str">
        <f t="shared" si="54"/>
        <v/>
      </c>
      <c r="E275" s="175" t="str">
        <f t="shared" si="54"/>
        <v/>
      </c>
      <c r="F275" s="175" t="str">
        <f t="shared" si="54"/>
        <v/>
      </c>
      <c r="G275" s="175" t="str">
        <f t="shared" si="54"/>
        <v/>
      </c>
      <c r="H275" s="175" t="str">
        <f t="shared" si="54"/>
        <v/>
      </c>
      <c r="I275" s="175" t="str">
        <f t="shared" si="54"/>
        <v/>
      </c>
      <c r="J275" s="175" t="str">
        <f t="shared" si="54"/>
        <v/>
      </c>
      <c r="K275" s="175" t="str">
        <f t="shared" si="54"/>
        <v/>
      </c>
      <c r="L275" s="175" t="str">
        <f t="shared" si="54"/>
        <v/>
      </c>
      <c r="M275" s="175" t="str">
        <f t="shared" si="54"/>
        <v/>
      </c>
      <c r="N275" s="175" t="str">
        <f t="shared" si="54"/>
        <v/>
      </c>
      <c r="O275" s="175" t="str">
        <f t="shared" si="54"/>
        <v/>
      </c>
      <c r="P275" s="175" t="str">
        <f t="shared" si="54"/>
        <v/>
      </c>
      <c r="Q275" s="175" t="str">
        <f t="shared" si="54"/>
        <v/>
      </c>
      <c r="R275" s="175" t="str">
        <f t="shared" si="54"/>
        <v/>
      </c>
      <c r="S275" s="175" t="str">
        <f t="shared" si="54"/>
        <v/>
      </c>
      <c r="T275" s="175" t="str">
        <f t="shared" si="54"/>
        <v/>
      </c>
      <c r="U275" s="175" t="str">
        <f t="shared" si="54"/>
        <v/>
      </c>
      <c r="V275" s="175" t="str">
        <f t="shared" si="54"/>
        <v/>
      </c>
      <c r="W275" s="175" t="str">
        <f t="shared" si="54"/>
        <v/>
      </c>
      <c r="X275" s="175" t="str">
        <f t="shared" si="54"/>
        <v/>
      </c>
      <c r="Y275" s="175" t="str">
        <f t="shared" si="54"/>
        <v/>
      </c>
      <c r="Z275" s="175" t="str">
        <f t="shared" si="54"/>
        <v/>
      </c>
      <c r="AA275" s="175" t="str">
        <f t="shared" si="54"/>
        <v/>
      </c>
      <c r="AB275" s="175" t="str">
        <f t="shared" si="54"/>
        <v/>
      </c>
      <c r="AC275" s="175" t="str">
        <f t="shared" si="54"/>
        <v/>
      </c>
      <c r="AD275" s="175" t="str">
        <f t="shared" si="54"/>
        <v/>
      </c>
      <c r="AE275" s="175" t="str">
        <f t="shared" si="54"/>
        <v/>
      </c>
      <c r="AF275" s="175" t="str">
        <f t="shared" si="54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55">IF(B243&lt;100,"",B243-1500)</f>
        <v/>
      </c>
      <c r="C276" s="175" t="str">
        <f t="shared" si="55"/>
        <v/>
      </c>
      <c r="D276" s="175" t="str">
        <f t="shared" si="55"/>
        <v/>
      </c>
      <c r="E276" s="175" t="str">
        <f t="shared" si="55"/>
        <v/>
      </c>
      <c r="F276" s="175" t="str">
        <f t="shared" si="55"/>
        <v/>
      </c>
      <c r="G276" s="175" t="str">
        <f t="shared" si="55"/>
        <v/>
      </c>
      <c r="H276" s="175" t="str">
        <f t="shared" si="55"/>
        <v/>
      </c>
      <c r="I276" s="175" t="str">
        <f t="shared" si="55"/>
        <v/>
      </c>
      <c r="J276" s="175" t="str">
        <f t="shared" si="55"/>
        <v/>
      </c>
      <c r="K276" s="175" t="str">
        <f t="shared" si="55"/>
        <v/>
      </c>
      <c r="L276" s="175" t="str">
        <f t="shared" si="55"/>
        <v/>
      </c>
      <c r="M276" s="175" t="str">
        <f t="shared" si="55"/>
        <v/>
      </c>
      <c r="N276" s="175" t="str">
        <f t="shared" si="55"/>
        <v/>
      </c>
      <c r="O276" s="175" t="str">
        <f t="shared" si="55"/>
        <v/>
      </c>
      <c r="P276" s="175" t="str">
        <f t="shared" si="55"/>
        <v/>
      </c>
      <c r="Q276" s="175" t="str">
        <f t="shared" si="55"/>
        <v/>
      </c>
      <c r="R276" s="175" t="str">
        <f t="shared" si="55"/>
        <v/>
      </c>
      <c r="S276" s="175" t="str">
        <f t="shared" si="55"/>
        <v/>
      </c>
      <c r="T276" s="175" t="str">
        <f t="shared" si="55"/>
        <v/>
      </c>
      <c r="U276" s="175" t="str">
        <f t="shared" si="55"/>
        <v/>
      </c>
      <c r="V276" s="175" t="str">
        <f t="shared" si="55"/>
        <v/>
      </c>
      <c r="W276" s="175" t="str">
        <f t="shared" si="55"/>
        <v/>
      </c>
      <c r="X276" s="175" t="str">
        <f t="shared" si="55"/>
        <v/>
      </c>
      <c r="Y276" s="175" t="str">
        <f t="shared" si="55"/>
        <v/>
      </c>
      <c r="Z276" s="175" t="str">
        <f t="shared" si="55"/>
        <v/>
      </c>
      <c r="AA276" s="175" t="str">
        <f t="shared" si="55"/>
        <v/>
      </c>
      <c r="AB276" s="175" t="str">
        <f t="shared" si="55"/>
        <v/>
      </c>
      <c r="AC276" s="175" t="str">
        <f t="shared" si="55"/>
        <v/>
      </c>
      <c r="AD276" s="175" t="str">
        <f t="shared" si="55"/>
        <v/>
      </c>
      <c r="AE276" s="175" t="str">
        <f t="shared" si="55"/>
        <v/>
      </c>
      <c r="AF276" s="175" t="str">
        <f t="shared" si="55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8:B24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8">
    <cfRule type="expression" dxfId="3136" priority="56">
      <formula>$AH11=0</formula>
    </cfRule>
  </conditionalFormatting>
  <conditionalFormatting sqref="B8 M8 S8 AB8">
    <cfRule type="expression" dxfId="3135" priority="174">
      <formula>AND(C$9&gt;=14/24,C$9&lt;20/24)</formula>
    </cfRule>
    <cfRule type="expression" dxfId="3134" priority="175">
      <formula>AND(C$9&gt;=8/24,C$9&lt;14/24)</formula>
    </cfRule>
    <cfRule type="expression" dxfId="3133" priority="176">
      <formula>C$9&lt;8/24</formula>
    </cfRule>
  </conditionalFormatting>
  <conditionalFormatting sqref="B55:I66 J56:J66 K61:Q63 R63:AF63 C66:AF66">
    <cfRule type="expression" dxfId="3132" priority="10">
      <formula>B$9&gt;=20/24</formula>
    </cfRule>
    <cfRule type="expression" dxfId="3131" priority="11">
      <formula>AND(B$9&gt;=14/24,B$9&lt;20/24)</formula>
    </cfRule>
    <cfRule type="expression" dxfId="3130" priority="12">
      <formula>AND(B$9&gt;=8/24,B$9&lt;14/24)</formula>
    </cfRule>
    <cfRule type="expression" dxfId="3129" priority="13">
      <formula>B$9&lt;8/24</formula>
    </cfRule>
  </conditionalFormatting>
  <conditionalFormatting sqref="B11:J46 K11:AF45">
    <cfRule type="expression" dxfId="3128" priority="22">
      <formula>B11&gt;$AG11</formula>
    </cfRule>
  </conditionalFormatting>
  <conditionalFormatting sqref="B46:J46">
    <cfRule type="expression" dxfId="3127" priority="21">
      <formula>B$9&lt;8/24</formula>
    </cfRule>
  </conditionalFormatting>
  <conditionalFormatting sqref="B47:J47">
    <cfRule type="expression" dxfId="3126" priority="32">
      <formula>B47&gt;$AG47</formula>
    </cfRule>
  </conditionalFormatting>
  <conditionalFormatting sqref="B47:J49">
    <cfRule type="expression" dxfId="3125" priority="31">
      <formula>B$9&lt;8/24</formula>
    </cfRule>
  </conditionalFormatting>
  <conditionalFormatting sqref="B9:AF45">
    <cfRule type="expression" dxfId="3124" priority="26">
      <formula>B$9&lt;8/24</formula>
    </cfRule>
    <cfRule type="expression" dxfId="3123" priority="25">
      <formula>AND(B$9&gt;=8/24,B$9&lt;14/24)</formula>
    </cfRule>
    <cfRule type="expression" dxfId="3122" priority="24">
      <formula>AND(B$9&gt;=14/24,B$9&lt;20/24)</formula>
    </cfRule>
    <cfRule type="expression" dxfId="3121" priority="23">
      <formula>B$9&gt;=20/24</formula>
    </cfRule>
  </conditionalFormatting>
  <conditionalFormatting sqref="B46:AF46">
    <cfRule type="expression" dxfId="3120" priority="20">
      <formula>AND(B$9&gt;=8/24,B$9&lt;14/24)</formula>
    </cfRule>
    <cfRule type="expression" dxfId="3119" priority="18">
      <formula>B$9&gt;=20/24</formula>
    </cfRule>
    <cfRule type="expression" dxfId="3118" priority="19">
      <formula>AND(B$9&gt;=14/24,B$9&lt;20/24)</formula>
    </cfRule>
  </conditionalFormatting>
  <conditionalFormatting sqref="B47:AF49">
    <cfRule type="expression" dxfId="3117" priority="29">
      <formula>AND(B$9&gt;=14/24,B$9&lt;20/24)</formula>
    </cfRule>
    <cfRule type="expression" dxfId="3116" priority="28">
      <formula>B$9&gt;=20/24</formula>
    </cfRule>
    <cfRule type="expression" dxfId="3115" priority="30">
      <formula>AND(B$9&gt;=8/24,B$9&lt;14/24)</formula>
    </cfRule>
  </conditionalFormatting>
  <conditionalFormatting sqref="B48:AF53">
    <cfRule type="expression" dxfId="3114" priority="27">
      <formula>B48&gt;$AG48</formula>
    </cfRule>
  </conditionalFormatting>
  <conditionalFormatting sqref="B51:AF53">
    <cfRule type="expression" dxfId="3113" priority="42">
      <formula>B$9&gt;=20/24</formula>
    </cfRule>
    <cfRule type="expression" dxfId="3112" priority="43">
      <formula>AND(B$9&gt;=14/24,B$9&lt;20/24)</formula>
    </cfRule>
    <cfRule type="expression" dxfId="3111" priority="44">
      <formula>AND(B$9&gt;=8/24,B$9&lt;14/24)</formula>
    </cfRule>
    <cfRule type="expression" dxfId="3110" priority="45">
      <formula>B$9&lt;8/24</formula>
    </cfRule>
  </conditionalFormatting>
  <conditionalFormatting sqref="B55:AF66">
    <cfRule type="expression" dxfId="3109" priority="9">
      <formula>B55&gt;$AG55</formula>
    </cfRule>
  </conditionalFormatting>
  <conditionalFormatting sqref="B69:AF71">
    <cfRule type="expression" dxfId="3108" priority="46">
      <formula>B69&gt;$AG69</formula>
    </cfRule>
    <cfRule type="expression" dxfId="3107" priority="47">
      <formula>B$9&gt;=20/24</formula>
    </cfRule>
    <cfRule type="expression" dxfId="3106" priority="48">
      <formula>AND(B$9&gt;=14/24,B$9&lt;20/24)</formula>
    </cfRule>
    <cfRule type="expression" dxfId="3105" priority="49">
      <formula>AND(B$9&gt;=8/24,B$9&lt;14/24)</formula>
    </cfRule>
    <cfRule type="expression" dxfId="3104" priority="50">
      <formula>B$9&lt;8/24</formula>
    </cfRule>
  </conditionalFormatting>
  <conditionalFormatting sqref="B73:AF91">
    <cfRule type="expression" dxfId="3103" priority="7">
      <formula>AND(B$9&gt;=8/24,B$9&lt;14/24)</formula>
    </cfRule>
    <cfRule type="expression" dxfId="3102" priority="6">
      <formula>AND(B$9&gt;=14/24,B$9&lt;20/24)</formula>
    </cfRule>
    <cfRule type="expression" dxfId="3101" priority="5">
      <formula>B$9&gt;=20/24</formula>
    </cfRule>
    <cfRule type="expression" dxfId="3100" priority="8">
      <formula>B$9&lt;8/24</formula>
    </cfRule>
  </conditionalFormatting>
  <conditionalFormatting sqref="B93:AF109">
    <cfRule type="expression" dxfId="3099" priority="3">
      <formula>AND(B$9&gt;=8/24,B$9&lt;14/24)</formula>
    </cfRule>
    <cfRule type="expression" dxfId="3098" priority="4">
      <formula>B$9&lt;8/24</formula>
    </cfRule>
    <cfRule type="expression" dxfId="3097" priority="1">
      <formula>B$9&gt;=20/24</formula>
    </cfRule>
    <cfRule type="expression" dxfId="3096" priority="2">
      <formula>AND(B$9&gt;=14/24,B$9&lt;20/24)</formula>
    </cfRule>
  </conditionalFormatting>
  <conditionalFormatting sqref="B111:AF122">
    <cfRule type="expression" dxfId="3095" priority="17">
      <formula>B$9&lt;8/24</formula>
    </cfRule>
    <cfRule type="expression" dxfId="3094" priority="16">
      <formula>AND(B$9&gt;=8/24,B$9&lt;14/24)</formula>
    </cfRule>
    <cfRule type="expression" dxfId="3093" priority="15">
      <formula>AND(B$9&gt;=14/24,B$9&lt;20/24)</formula>
    </cfRule>
    <cfRule type="expression" dxfId="3092" priority="14">
      <formula>B$9&gt;=20/24</formula>
    </cfRule>
  </conditionalFormatting>
  <conditionalFormatting sqref="B229:AF229 B231:B237 D231:AF237 U250:AF250">
    <cfRule type="expression" dxfId="3091" priority="170">
      <formula>B$9&lt;8/24</formula>
    </cfRule>
    <cfRule type="expression" dxfId="3090" priority="169">
      <formula>AND(B$9&gt;=8/24,B$9&lt;14/24)</formula>
    </cfRule>
    <cfRule type="expression" dxfId="3089" priority="168">
      <formula>AND(B$9&gt;=14/24,B$9&lt;20/24)</formula>
    </cfRule>
    <cfRule type="expression" dxfId="3088" priority="167">
      <formula>B$9&gt;=20/24</formula>
    </cfRule>
  </conditionalFormatting>
  <conditionalFormatting sqref="B54:AG54">
    <cfRule type="expression" dxfId="3087" priority="51">
      <formula>B54&gt;$AG54</formula>
    </cfRule>
    <cfRule type="expression" dxfId="3086" priority="52">
      <formula>B$9&gt;=20/24</formula>
    </cfRule>
    <cfRule type="expression" dxfId="3085" priority="54">
      <formula>AND(B$9&gt;=8/24,B$9&lt;14/24)</formula>
    </cfRule>
    <cfRule type="expression" dxfId="3084" priority="55">
      <formula>B$9&lt;8/24</formula>
    </cfRule>
    <cfRule type="expression" dxfId="3083" priority="53">
      <formula>AND(B$9&gt;=14/24,B$9&lt;20/24)</formula>
    </cfRule>
  </conditionalFormatting>
  <conditionalFormatting sqref="B67:AG68 B72:AG72">
    <cfRule type="expression" dxfId="3082" priority="37">
      <formula>B67&gt;$AG67</formula>
    </cfRule>
  </conditionalFormatting>
  <conditionalFormatting sqref="B72:AG72">
    <cfRule type="expression" dxfId="3081" priority="38">
      <formula>B$9&gt;=20/24</formula>
    </cfRule>
    <cfRule type="expression" dxfId="3080" priority="39">
      <formula>AND(B$9&gt;=14/24,B$9&lt;20/24)</formula>
    </cfRule>
    <cfRule type="expression" dxfId="3079" priority="40">
      <formula>AND(B$9&gt;=8/24,B$9&lt;14/24)</formula>
    </cfRule>
    <cfRule type="expression" dxfId="3078" priority="41">
      <formula>B$9&lt;8/24</formula>
    </cfRule>
  </conditionalFormatting>
  <conditionalFormatting sqref="F55:Q57">
    <cfRule type="expression" dxfId="3077" priority="151">
      <formula>F$9&lt;8/24</formula>
    </cfRule>
    <cfRule type="expression" dxfId="3076" priority="150">
      <formula>AND(F$9&gt;=8/24,F$9&lt;14/24)</formula>
    </cfRule>
    <cfRule type="expression" dxfId="3075" priority="149">
      <formula>AND(F$9&gt;=14/24,F$9&lt;20/24)</formula>
    </cfRule>
    <cfRule type="expression" dxfId="3074" priority="148">
      <formula>F$9&gt;=20/24</formula>
    </cfRule>
  </conditionalFormatting>
  <conditionalFormatting sqref="F60:U60">
    <cfRule type="expression" dxfId="3073" priority="112">
      <formula>AND(F$9&gt;=14/24,F$9&lt;20/24)</formula>
    </cfRule>
    <cfRule type="expression" dxfId="3072" priority="113">
      <formula>AND(F$9&gt;=8/24,F$9&lt;14/24)</formula>
    </cfRule>
    <cfRule type="expression" dxfId="3071" priority="114">
      <formula>F$9&lt;8/24</formula>
    </cfRule>
    <cfRule type="expression" dxfId="3070" priority="111">
      <formula>F$9&gt;=20/24</formula>
    </cfRule>
  </conditionalFormatting>
  <conditionalFormatting sqref="F61:AF66">
    <cfRule type="expression" dxfId="3069" priority="66">
      <formula>F$9&gt;=20/24</formula>
    </cfRule>
    <cfRule type="expression" dxfId="3068" priority="67">
      <formula>AND(F$9&gt;=14/24,F$9&lt;20/24)</formula>
    </cfRule>
    <cfRule type="expression" dxfId="3067" priority="69">
      <formula>F$9&lt;8/24</formula>
    </cfRule>
    <cfRule type="expression" dxfId="3066" priority="68">
      <formula>AND(F$9&gt;=8/24,F$9&lt;14/24)</formula>
    </cfRule>
  </conditionalFormatting>
  <conditionalFormatting sqref="K46:AF47">
    <cfRule type="expression" dxfId="3065" priority="82">
      <formula>K46&gt;$AG46</formula>
    </cfRule>
  </conditionalFormatting>
  <conditionalFormatting sqref="K46:AF49">
    <cfRule type="expression" dxfId="3064" priority="81">
      <formula>K$9&lt;8/24</formula>
    </cfRule>
  </conditionalFormatting>
  <conditionalFormatting sqref="M55:U59">
    <cfRule type="expression" dxfId="3063" priority="154">
      <formula>AND(M$9&gt;=8/24,M$9&lt;14/24)</formula>
    </cfRule>
    <cfRule type="expression" dxfId="3062" priority="152">
      <formula>M$9&gt;=20/24</formula>
    </cfRule>
    <cfRule type="expression" dxfId="3061" priority="153">
      <formula>AND(M$9&gt;=14/24,M$9&lt;20/24)</formula>
    </cfRule>
    <cfRule type="expression" dxfId="3060" priority="155">
      <formula>M$9&lt;8/24</formula>
    </cfRule>
  </conditionalFormatting>
  <conditionalFormatting sqref="O3:P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059" priority="173">
      <formula>C$9&gt;=20/24</formula>
    </cfRule>
  </conditionalFormatting>
  <conditionalFormatting sqref="S8">
    <cfRule type="expression" dxfId="3058" priority="162">
      <formula>AND(U$9&gt;=8/24,U$9&lt;14/24)</formula>
    </cfRule>
    <cfRule type="expression" dxfId="3057" priority="163">
      <formula>U$9&lt;8/24</formula>
    </cfRule>
    <cfRule type="expression" dxfId="3056" priority="160">
      <formula>U$9&gt;=20/24</formula>
    </cfRule>
    <cfRule type="expression" dxfId="3055" priority="161">
      <formula>AND(U$9&gt;=14/24,U$9&lt;20/24)</formula>
    </cfRule>
  </conditionalFormatting>
  <conditionalFormatting sqref="S55:AF60">
    <cfRule type="expression" dxfId="3054" priority="70">
      <formula>S$9&gt;=20/24</formula>
    </cfRule>
    <cfRule type="expression" dxfId="3053" priority="71">
      <formula>AND(S$9&gt;=14/24,S$9&lt;20/24)</formula>
    </cfRule>
    <cfRule type="expression" dxfId="3052" priority="73">
      <formula>S$9&lt;8/24</formula>
    </cfRule>
    <cfRule type="expression" dxfId="3051" priority="72">
      <formula>AND(S$9&gt;=8/24,S$9&lt;14/24)</formula>
    </cfRule>
  </conditionalFormatting>
  <conditionalFormatting sqref="T250">
    <cfRule type="expression" dxfId="3050" priority="188">
      <formula>AX$9&lt;8/24</formula>
    </cfRule>
    <cfRule type="expression" dxfId="3049" priority="186">
      <formula>AND(AX$9&gt;=14/24,AX$9&lt;20/24)</formula>
    </cfRule>
    <cfRule type="expression" dxfId="3048" priority="185">
      <formula>AX$9&gt;=20/24</formula>
    </cfRule>
    <cfRule type="expression" dxfId="3047" priority="187">
      <formula>AND(AX$9&gt;=8/24,AX$9&lt;14/24)</formula>
    </cfRule>
  </conditionalFormatting>
  <conditionalFormatting sqref="V3 AB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046" priority="156">
      <formula>AD$9&gt;=20/24</formula>
    </cfRule>
    <cfRule type="expression" dxfId="3045" priority="157">
      <formula>AND(AD$9&gt;=14/24,AD$9&lt;20/24)</formula>
    </cfRule>
    <cfRule type="expression" dxfId="3044" priority="158">
      <formula>AND(AD$9&gt;=8/24,AD$9&lt;14/24)</formula>
    </cfRule>
    <cfRule type="expression" dxfId="3043" priority="159">
      <formula>AD$9&lt;8/24</formula>
    </cfRule>
  </conditionalFormatting>
  <conditionalFormatting sqref="AG50">
    <cfRule type="expression" dxfId="3042" priority="143">
      <formula>AG50&gt;$AG50</formula>
    </cfRule>
  </conditionalFormatting>
  <conditionalFormatting sqref="AG89">
    <cfRule type="expression" dxfId="3041" priority="144">
      <formula>AG$9&gt;=20/24</formula>
    </cfRule>
    <cfRule type="expression" dxfId="3040" priority="145">
      <formula>AND(AG$9&gt;=14/24,AG$9&lt;20/24)</formula>
    </cfRule>
    <cfRule type="expression" dxfId="3039" priority="146">
      <formula>AND(AG$9&gt;=8/24,AG$9&lt;14/24)</formula>
    </cfRule>
    <cfRule type="expression" dxfId="3038" priority="147">
      <formula>AG$9&lt;8/24</formula>
    </cfRule>
  </conditionalFormatting>
  <conditionalFormatting sqref="AG250">
    <cfRule type="expression" dxfId="3037" priority="179">
      <formula>AND(B$9&gt;=8/24,B$9&lt;14/24)</formula>
    </cfRule>
    <cfRule type="expression" dxfId="3036" priority="180">
      <formula>B$9&lt;8/24</formula>
    </cfRule>
    <cfRule type="expression" dxfId="3035" priority="177">
      <formula>B$9&gt;=20/24</formula>
    </cfRule>
    <cfRule type="expression" dxfId="3034" priority="178">
      <formula>AND(B$9&gt;=14/24,B$9&lt;20/24)</formula>
    </cfRule>
  </conditionalFormatting>
  <conditionalFormatting sqref="AH250:AX250">
    <cfRule type="expression" dxfId="3033" priority="181">
      <formula>AG$9&gt;=20/24</formula>
    </cfRule>
    <cfRule type="expression" dxfId="3032" priority="182">
      <formula>AND(AG$9&gt;=14/24,AG$9&lt;20/24)</formula>
    </cfRule>
    <cfRule type="expression" dxfId="3031" priority="183">
      <formula>AND(AG$9&gt;=8/24,AG$9&lt;14/24)</formula>
    </cfRule>
    <cfRule type="expression" dxfId="3030" priority="184">
      <formula>AG$9&lt;8/24</formula>
    </cfRule>
  </conditionalFormatting>
  <conditionalFormatting sqref="AL4:AL6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029" priority="190">
      <formula>AJ$9&gt;=20/24</formula>
    </cfRule>
    <cfRule type="expression" dxfId="3028" priority="191">
      <formula>AND(AJ$9&gt;=14/24,AJ$9&lt;20/24)</formula>
    </cfRule>
    <cfRule type="expression" dxfId="3027" priority="192">
      <formula>AND(AJ$9&gt;=8/24,AJ$9&lt;14/24)</formula>
    </cfRule>
    <cfRule type="expression" dxfId="3026" priority="193">
      <formula>AJ$9&lt;8/24</formula>
    </cfRule>
  </conditionalFormatting>
  <conditionalFormatting sqref="AL80:AN80 AL86:AN86">
    <cfRule type="expression" dxfId="3025" priority="134">
      <formula>AL$9&lt;8/24</formula>
    </cfRule>
    <cfRule type="expression" dxfId="3024" priority="132">
      <formula>AND(AL$9&gt;=14/24,AL$9&lt;20/24)</formula>
    </cfRule>
    <cfRule type="expression" dxfId="3023" priority="131">
      <formula>AL$9&gt;=20/24</formula>
    </cfRule>
    <cfRule type="expression" dxfId="3022" priority="133">
      <formula>AND(AL$9&gt;=8/24,AL$9&lt;14/24)</formula>
    </cfRule>
  </conditionalFormatting>
  <conditionalFormatting sqref="AN81:AN84">
    <cfRule type="expression" dxfId="3021" priority="130">
      <formula>AN$9&lt;8/24</formula>
    </cfRule>
    <cfRule type="expression" dxfId="3020" priority="129">
      <formula>AND(AN$9&gt;=8/24,AN$9&lt;14/24)</formula>
    </cfRule>
    <cfRule type="expression" dxfId="3019" priority="128">
      <formula>AND(AN$9&gt;=14/24,AN$9&lt;20/24)</formula>
    </cfRule>
    <cfRule type="expression" dxfId="3018" priority="127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8B45-6EB8-492C-A1DB-14ADE5E352B8}">
  <sheetPr codeName="Sheet8"/>
  <dimension ref="A1:CJ283"/>
  <sheetViews>
    <sheetView workbookViewId="0">
      <pane xSplit="1" ySplit="10" topLeftCell="B9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F118" sqref="F11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2080/09/7</v>
      </c>
      <c r="C4" s="246"/>
      <c r="D4" s="246"/>
      <c r="E4" s="247" t="str">
        <f ca="1">"2080/"&amp;"09/"&amp;INT(MID(CELL("filename",G6),FIND("]",CELL("filename",G6))+1,200))</f>
        <v>2080/09/7</v>
      </c>
      <c r="F4" s="247"/>
      <c r="G4" s="247"/>
      <c r="H4" s="247" t="str">
        <f ca="1">TEXT(E4,"dddd")</f>
        <v>Saturday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184</v>
      </c>
      <c r="C5" s="30">
        <f t="shared" si="0"/>
        <v>186</v>
      </c>
      <c r="D5" s="30">
        <f t="shared" si="0"/>
        <v>188.1</v>
      </c>
      <c r="E5" s="30">
        <f t="shared" si="0"/>
        <v>163</v>
      </c>
      <c r="F5" s="30">
        <f t="shared" si="0"/>
        <v>163.1</v>
      </c>
      <c r="G5" s="30">
        <f t="shared" si="0"/>
        <v>187</v>
      </c>
      <c r="H5" s="30">
        <f t="shared" si="0"/>
        <v>209</v>
      </c>
      <c r="I5" s="30">
        <f t="shared" si="0"/>
        <v>185</v>
      </c>
      <c r="J5" s="30">
        <f t="shared" si="0"/>
        <v>188</v>
      </c>
      <c r="K5" s="30">
        <f t="shared" si="0"/>
        <v>88</v>
      </c>
      <c r="L5" s="30">
        <f t="shared" si="0"/>
        <v>6</v>
      </c>
      <c r="M5" s="30">
        <f t="shared" si="0"/>
        <v>36</v>
      </c>
      <c r="N5" s="30">
        <f t="shared" si="0"/>
        <v>86</v>
      </c>
      <c r="O5" s="30">
        <f t="shared" si="0"/>
        <v>243</v>
      </c>
      <c r="P5" s="30">
        <f t="shared" si="0"/>
        <v>242</v>
      </c>
      <c r="Q5" s="30">
        <f t="shared" si="0"/>
        <v>247</v>
      </c>
      <c r="R5" s="30">
        <f t="shared" si="0"/>
        <v>248</v>
      </c>
      <c r="S5" s="30">
        <f t="shared" si="0"/>
        <v>245.5</v>
      </c>
      <c r="T5" s="30">
        <f t="shared" si="0"/>
        <v>231.2</v>
      </c>
      <c r="U5" s="30">
        <f t="shared" si="0"/>
        <v>83.6</v>
      </c>
      <c r="V5" s="30">
        <f t="shared" si="0"/>
        <v>8.9</v>
      </c>
      <c r="W5" s="30">
        <f t="shared" si="0"/>
        <v>4.7</v>
      </c>
      <c r="X5" s="30">
        <f t="shared" si="0"/>
        <v>0</v>
      </c>
      <c r="Y5" s="30">
        <f t="shared" si="0"/>
        <v>25.09</v>
      </c>
      <c r="Z5" s="30">
        <f t="shared" si="0"/>
        <v>92.399999999999991</v>
      </c>
      <c r="AA5" s="30">
        <f t="shared" si="0"/>
        <v>146.1</v>
      </c>
      <c r="AB5" s="30">
        <f t="shared" si="0"/>
        <v>152</v>
      </c>
      <c r="AC5" s="30">
        <f t="shared" si="0"/>
        <v>155</v>
      </c>
      <c r="AD5" s="30">
        <f t="shared" si="0"/>
        <v>146</v>
      </c>
      <c r="AE5" s="30">
        <f t="shared" si="0"/>
        <v>137</v>
      </c>
      <c r="AF5" s="30">
        <f>B84</f>
        <v>203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1538MW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Load=1053</v>
      </c>
      <c r="B7" s="35">
        <f>B92</f>
        <v>1100.98</v>
      </c>
      <c r="C7" s="35">
        <f t="shared" ref="C7:AF7" si="1">C92</f>
        <v>1066.98</v>
      </c>
      <c r="D7" s="35">
        <f t="shared" si="1"/>
        <v>1068.98</v>
      </c>
      <c r="E7" s="35">
        <f t="shared" si="1"/>
        <v>1053.48</v>
      </c>
      <c r="F7" s="35">
        <f t="shared" si="1"/>
        <v>1079.58</v>
      </c>
      <c r="G7" s="35">
        <f t="shared" si="1"/>
        <v>1122.58</v>
      </c>
      <c r="H7" s="35">
        <f t="shared" si="1"/>
        <v>1163.8800000000001</v>
      </c>
      <c r="I7" s="35">
        <f t="shared" si="1"/>
        <v>1265.28</v>
      </c>
      <c r="J7" s="35">
        <f t="shared" si="1"/>
        <v>1400.38</v>
      </c>
      <c r="K7" s="35">
        <f t="shared" si="1"/>
        <v>1425.48</v>
      </c>
      <c r="L7" s="35">
        <f t="shared" si="1"/>
        <v>1537.88</v>
      </c>
      <c r="M7" s="35">
        <f t="shared" si="1"/>
        <v>1511.4299999999998</v>
      </c>
      <c r="N7" s="35">
        <f t="shared" si="1"/>
        <v>1517.6299999999999</v>
      </c>
      <c r="O7" s="35">
        <f t="shared" si="1"/>
        <v>1516.9299999999998</v>
      </c>
      <c r="P7" s="35">
        <f t="shared" si="1"/>
        <v>1365.03</v>
      </c>
      <c r="Q7" s="35">
        <f t="shared" si="1"/>
        <v>1235.4299999999998</v>
      </c>
      <c r="R7" s="35">
        <f t="shared" si="1"/>
        <v>1175.4299999999998</v>
      </c>
      <c r="S7" s="35">
        <f t="shared" si="1"/>
        <v>1145.33</v>
      </c>
      <c r="T7" s="35">
        <f t="shared" si="1"/>
        <v>1112.33</v>
      </c>
      <c r="U7" s="35">
        <f t="shared" si="1"/>
        <v>1172.73</v>
      </c>
      <c r="V7" s="35">
        <f t="shared" si="1"/>
        <v>1297.1299999999999</v>
      </c>
      <c r="W7" s="35">
        <f t="shared" si="1"/>
        <v>1445.2300000000002</v>
      </c>
      <c r="X7" s="35">
        <f t="shared" si="1"/>
        <v>1708.3300000000002</v>
      </c>
      <c r="Y7" s="35">
        <f t="shared" si="1"/>
        <v>1673.93</v>
      </c>
      <c r="Z7" s="35">
        <f t="shared" si="1"/>
        <v>1558.72</v>
      </c>
      <c r="AA7" s="35">
        <f t="shared" si="1"/>
        <v>1532.03</v>
      </c>
      <c r="AB7" s="35">
        <f t="shared" si="1"/>
        <v>1467.68</v>
      </c>
      <c r="AC7" s="35">
        <f t="shared" si="1"/>
        <v>1377.38</v>
      </c>
      <c r="AD7" s="35">
        <f t="shared" si="1"/>
        <v>1301.98</v>
      </c>
      <c r="AE7" s="35">
        <f t="shared" si="1"/>
        <v>1099.18</v>
      </c>
      <c r="AF7" s="35">
        <f t="shared" si="1"/>
        <v>1071.54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40</v>
      </c>
      <c r="C11" s="45">
        <v>40</v>
      </c>
      <c r="D11" s="45">
        <v>40</v>
      </c>
      <c r="E11" s="45">
        <v>40.4</v>
      </c>
      <c r="F11" s="45">
        <v>31.4</v>
      </c>
      <c r="G11" s="45">
        <v>39.799999999999997</v>
      </c>
      <c r="H11" s="45">
        <v>39.799999999999997</v>
      </c>
      <c r="I11" s="45">
        <v>40.4</v>
      </c>
      <c r="J11" s="45">
        <v>40.4</v>
      </c>
      <c r="K11" s="45">
        <v>40.4</v>
      </c>
      <c r="L11" s="45">
        <v>40.4</v>
      </c>
      <c r="M11" s="45">
        <v>41.5</v>
      </c>
      <c r="N11" s="45">
        <v>41.5</v>
      </c>
      <c r="O11" s="45">
        <v>41.5</v>
      </c>
      <c r="P11" s="45">
        <v>41.5</v>
      </c>
      <c r="Q11" s="45">
        <v>41.5</v>
      </c>
      <c r="R11" s="45">
        <v>41.5</v>
      </c>
      <c r="S11" s="45">
        <v>41.5</v>
      </c>
      <c r="T11" s="45">
        <v>41.5</v>
      </c>
      <c r="U11" s="45">
        <v>41.5</v>
      </c>
      <c r="V11" s="45">
        <v>0</v>
      </c>
      <c r="W11" s="45">
        <v>46.3</v>
      </c>
      <c r="X11" s="45">
        <v>39.799999999999997</v>
      </c>
      <c r="Y11" s="45">
        <v>39.799999999999997</v>
      </c>
      <c r="Z11" s="45">
        <v>39.799999999999997</v>
      </c>
      <c r="AA11" s="45">
        <v>39.799999999999997</v>
      </c>
      <c r="AB11" s="45">
        <v>40.4</v>
      </c>
      <c r="AC11" s="45">
        <v>40.4</v>
      </c>
      <c r="AD11" s="45">
        <v>40.4</v>
      </c>
      <c r="AE11" s="45">
        <v>40.4</v>
      </c>
      <c r="AF11" s="45">
        <v>40.4</v>
      </c>
      <c r="AG11" s="46">
        <v>86</v>
      </c>
      <c r="AH11" s="47">
        <f t="shared" ref="AH11:AH76" si="2">MAX(B11:AF11)</f>
        <v>46.3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18.5</v>
      </c>
      <c r="C12" s="45">
        <v>18.5</v>
      </c>
      <c r="D12" s="45">
        <v>18.5</v>
      </c>
      <c r="E12" s="45">
        <v>18.5</v>
      </c>
      <c r="F12" s="45">
        <v>18.5</v>
      </c>
      <c r="G12" s="45">
        <v>18.5</v>
      </c>
      <c r="H12" s="45">
        <v>18.5</v>
      </c>
      <c r="I12" s="45">
        <v>18.5</v>
      </c>
      <c r="J12" s="45">
        <v>18.5</v>
      </c>
      <c r="K12" s="45">
        <v>18.5</v>
      </c>
      <c r="L12" s="45">
        <v>18.5</v>
      </c>
      <c r="M12" s="45">
        <v>18</v>
      </c>
      <c r="N12" s="45">
        <v>18</v>
      </c>
      <c r="O12" s="45">
        <v>18</v>
      </c>
      <c r="P12" s="45">
        <v>18</v>
      </c>
      <c r="Q12" s="45">
        <v>18</v>
      </c>
      <c r="R12" s="45">
        <v>18</v>
      </c>
      <c r="S12" s="45">
        <v>18</v>
      </c>
      <c r="T12" s="45">
        <v>18</v>
      </c>
      <c r="U12" s="45">
        <v>18</v>
      </c>
      <c r="V12" s="45">
        <v>18</v>
      </c>
      <c r="W12" s="45">
        <v>18</v>
      </c>
      <c r="X12" s="45">
        <v>18</v>
      </c>
      <c r="Y12" s="45">
        <v>18</v>
      </c>
      <c r="Z12" s="45">
        <v>18</v>
      </c>
      <c r="AA12" s="45">
        <v>18</v>
      </c>
      <c r="AB12" s="45">
        <v>18</v>
      </c>
      <c r="AC12" s="45">
        <v>18</v>
      </c>
      <c r="AD12" s="45">
        <v>18</v>
      </c>
      <c r="AE12" s="45">
        <v>18</v>
      </c>
      <c r="AF12" s="45">
        <v>18</v>
      </c>
      <c r="AG12" s="49">
        <v>54</v>
      </c>
      <c r="AH12" s="47">
        <f t="shared" si="2"/>
        <v>18.5</v>
      </c>
      <c r="AI12" s="48">
        <f t="shared" si="3"/>
        <v>18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</v>
      </c>
      <c r="C13" s="45">
        <v>21</v>
      </c>
      <c r="D13" s="45">
        <v>21</v>
      </c>
      <c r="E13" s="45">
        <v>22.1</v>
      </c>
      <c r="F13" s="45">
        <v>22.1</v>
      </c>
      <c r="G13" s="45">
        <v>22.1</v>
      </c>
      <c r="H13" s="45">
        <v>22.1</v>
      </c>
      <c r="I13" s="45">
        <v>22</v>
      </c>
      <c r="J13" s="45">
        <v>22</v>
      </c>
      <c r="K13" s="45">
        <v>22</v>
      </c>
      <c r="L13" s="45">
        <v>22</v>
      </c>
      <c r="M13" s="45">
        <v>21.7</v>
      </c>
      <c r="N13" s="45">
        <v>21.7</v>
      </c>
      <c r="O13" s="45">
        <v>21.7</v>
      </c>
      <c r="P13" s="45">
        <v>21.7</v>
      </c>
      <c r="Q13" s="45">
        <v>21.7</v>
      </c>
      <c r="R13" s="45">
        <v>21.7</v>
      </c>
      <c r="S13" s="45">
        <v>21.7</v>
      </c>
      <c r="T13" s="45">
        <v>21.7</v>
      </c>
      <c r="U13" s="45">
        <v>21.7</v>
      </c>
      <c r="V13" s="45">
        <v>21.7</v>
      </c>
      <c r="W13" s="45">
        <v>21.7</v>
      </c>
      <c r="X13" s="45">
        <v>21.7</v>
      </c>
      <c r="Y13" s="45">
        <v>21.7</v>
      </c>
      <c r="Z13" s="45">
        <v>21.7</v>
      </c>
      <c r="AA13" s="45">
        <v>21.7</v>
      </c>
      <c r="AB13" s="45">
        <v>23</v>
      </c>
      <c r="AC13" s="45">
        <v>23</v>
      </c>
      <c r="AD13" s="45">
        <v>23</v>
      </c>
      <c r="AE13" s="45">
        <v>23</v>
      </c>
      <c r="AF13" s="45">
        <v>23</v>
      </c>
      <c r="AG13" s="46">
        <v>52.4</v>
      </c>
      <c r="AH13" s="47">
        <f t="shared" si="2"/>
        <v>23</v>
      </c>
      <c r="AI13" s="48">
        <f t="shared" si="3"/>
        <v>21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1">
        <v>44.3</v>
      </c>
      <c r="C14" s="51">
        <v>44.3</v>
      </c>
      <c r="D14" s="51">
        <v>44.3</v>
      </c>
      <c r="E14" s="51">
        <v>44.4</v>
      </c>
      <c r="F14" s="51">
        <v>44.3</v>
      </c>
      <c r="G14" s="51">
        <v>44.3</v>
      </c>
      <c r="H14" s="51">
        <v>44.3</v>
      </c>
      <c r="I14" s="51">
        <v>44.5</v>
      </c>
      <c r="J14" s="51">
        <v>44.5</v>
      </c>
      <c r="K14" s="51">
        <v>44.5</v>
      </c>
      <c r="L14" s="51">
        <v>44.5</v>
      </c>
      <c r="M14" s="51">
        <v>44.2</v>
      </c>
      <c r="N14" s="51">
        <v>44.2</v>
      </c>
      <c r="O14" s="51">
        <v>44.2</v>
      </c>
      <c r="P14" s="51">
        <v>44.2</v>
      </c>
      <c r="Q14" s="51">
        <v>44.2</v>
      </c>
      <c r="R14" s="51">
        <v>44.2</v>
      </c>
      <c r="S14" s="51">
        <v>44.2</v>
      </c>
      <c r="T14" s="51">
        <v>44.2</v>
      </c>
      <c r="U14" s="51">
        <v>44.2</v>
      </c>
      <c r="V14" s="51">
        <v>44.2</v>
      </c>
      <c r="W14" s="51">
        <v>44.2</v>
      </c>
      <c r="X14" s="51">
        <v>44.2</v>
      </c>
      <c r="Y14" s="51">
        <v>44.2</v>
      </c>
      <c r="Z14" s="51">
        <v>44.2</v>
      </c>
      <c r="AA14" s="51">
        <v>44.2</v>
      </c>
      <c r="AB14" s="45">
        <v>44.5</v>
      </c>
      <c r="AC14" s="45">
        <v>44.5</v>
      </c>
      <c r="AD14" s="45">
        <v>44.5</v>
      </c>
      <c r="AE14" s="45">
        <v>44.5</v>
      </c>
      <c r="AF14" s="45">
        <v>44.5</v>
      </c>
      <c r="AG14" s="49">
        <v>50</v>
      </c>
      <c r="AH14" s="47">
        <f t="shared" si="2"/>
        <v>44.5</v>
      </c>
      <c r="AI14" s="48">
        <f t="shared" si="3"/>
        <v>44.2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24.3</v>
      </c>
      <c r="C15" s="45">
        <v>24.3</v>
      </c>
      <c r="D15" s="45">
        <v>24.3</v>
      </c>
      <c r="E15" s="45">
        <v>23.9</v>
      </c>
      <c r="F15" s="45">
        <v>23.4</v>
      </c>
      <c r="G15" s="45">
        <v>23.4</v>
      </c>
      <c r="H15" s="45">
        <v>23.4</v>
      </c>
      <c r="I15" s="45">
        <v>23.4</v>
      </c>
      <c r="J15" s="45">
        <v>23.4</v>
      </c>
      <c r="K15" s="45">
        <v>23.4</v>
      </c>
      <c r="L15" s="45">
        <v>23.4</v>
      </c>
      <c r="M15" s="45">
        <v>23.5</v>
      </c>
      <c r="N15" s="45">
        <v>23.5</v>
      </c>
      <c r="O15" s="45">
        <v>23.5</v>
      </c>
      <c r="P15" s="45">
        <v>23.5</v>
      </c>
      <c r="Q15" s="45">
        <v>23.5</v>
      </c>
      <c r="R15" s="45">
        <v>23.5</v>
      </c>
      <c r="S15" s="45">
        <v>23.5</v>
      </c>
      <c r="T15" s="45">
        <v>23.5</v>
      </c>
      <c r="U15" s="45">
        <v>23.5</v>
      </c>
      <c r="V15" s="45">
        <v>23.5</v>
      </c>
      <c r="W15" s="45">
        <v>23.5</v>
      </c>
      <c r="X15" s="45">
        <v>23.5</v>
      </c>
      <c r="Y15" s="45">
        <v>23.5</v>
      </c>
      <c r="Z15" s="45">
        <v>23.5</v>
      </c>
      <c r="AA15" s="45">
        <v>23.5</v>
      </c>
      <c r="AB15" s="45">
        <v>23.5</v>
      </c>
      <c r="AC15" s="45">
        <v>23.5</v>
      </c>
      <c r="AD15" s="45">
        <v>23.5</v>
      </c>
      <c r="AE15" s="45">
        <v>23.5</v>
      </c>
      <c r="AF15" s="45">
        <v>23.5</v>
      </c>
      <c r="AG15" s="49">
        <v>45</v>
      </c>
      <c r="AH15" s="47">
        <f t="shared" si="2"/>
        <v>24.3</v>
      </c>
      <c r="AI15" s="48">
        <f t="shared" si="3"/>
        <v>23.4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</v>
      </c>
      <c r="C16" s="45">
        <v>17</v>
      </c>
      <c r="D16" s="45">
        <v>17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49">
        <v>44</v>
      </c>
      <c r="AH16" s="47">
        <f>MAX(B16:AG16)</f>
        <v>44</v>
      </c>
      <c r="AI16" s="48">
        <f>MIN(B16:AG16)</f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12.5</v>
      </c>
      <c r="C17" s="45">
        <v>12.5</v>
      </c>
      <c r="D17" s="45">
        <v>12.5</v>
      </c>
      <c r="E17" s="45">
        <v>13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12.5</v>
      </c>
      <c r="X17" s="45">
        <v>12.5</v>
      </c>
      <c r="Y17" s="45">
        <v>12.5</v>
      </c>
      <c r="Z17" s="45">
        <v>12.5</v>
      </c>
      <c r="AA17" s="45">
        <v>12.5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49">
        <v>42</v>
      </c>
      <c r="AH17" s="47">
        <f t="shared" si="2"/>
        <v>13</v>
      </c>
      <c r="AI17" s="48">
        <f t="shared" si="3"/>
        <v>12.5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13.7</v>
      </c>
      <c r="C18" s="45">
        <v>13.7</v>
      </c>
      <c r="D18" s="45">
        <v>13.7</v>
      </c>
      <c r="E18" s="45">
        <v>13.7</v>
      </c>
      <c r="F18" s="45">
        <v>13.7</v>
      </c>
      <c r="G18" s="45">
        <v>13.7</v>
      </c>
      <c r="H18" s="45">
        <v>13.7</v>
      </c>
      <c r="I18" s="45">
        <v>13.7</v>
      </c>
      <c r="J18" s="45">
        <v>13.7</v>
      </c>
      <c r="K18" s="45">
        <v>13.7</v>
      </c>
      <c r="L18" s="45">
        <v>13.7</v>
      </c>
      <c r="M18" s="45">
        <v>13.7</v>
      </c>
      <c r="N18" s="45">
        <v>13.7</v>
      </c>
      <c r="O18" s="45">
        <v>13.7</v>
      </c>
      <c r="P18" s="45">
        <v>13.7</v>
      </c>
      <c r="Q18" s="45">
        <v>13.7</v>
      </c>
      <c r="R18" s="45">
        <v>13.7</v>
      </c>
      <c r="S18" s="45">
        <v>13.7</v>
      </c>
      <c r="T18" s="45">
        <v>13.7</v>
      </c>
      <c r="U18" s="45">
        <v>13.7</v>
      </c>
      <c r="V18" s="45">
        <v>13.7</v>
      </c>
      <c r="W18" s="45">
        <v>13.7</v>
      </c>
      <c r="X18" s="45">
        <v>13.7</v>
      </c>
      <c r="Y18" s="45">
        <v>13.7</v>
      </c>
      <c r="Z18" s="45">
        <v>13.7</v>
      </c>
      <c r="AA18" s="45">
        <v>13.7</v>
      </c>
      <c r="AB18" s="45">
        <v>13.7</v>
      </c>
      <c r="AC18" s="45">
        <v>0</v>
      </c>
      <c r="AD18" s="45">
        <v>13.7</v>
      </c>
      <c r="AE18" s="45">
        <v>13.7</v>
      </c>
      <c r="AF18" s="45">
        <v>13.7</v>
      </c>
      <c r="AG18" s="49">
        <v>38.46</v>
      </c>
      <c r="AH18" s="47">
        <f t="shared" si="2"/>
        <v>13.7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17.5</v>
      </c>
      <c r="C19" s="45">
        <v>17.5</v>
      </c>
      <c r="D19" s="45">
        <v>17.5</v>
      </c>
      <c r="E19" s="45">
        <v>17.5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17.5</v>
      </c>
      <c r="AC19" s="45">
        <v>17.5</v>
      </c>
      <c r="AD19" s="45">
        <v>17.5</v>
      </c>
      <c r="AE19" s="45">
        <v>17.5</v>
      </c>
      <c r="AF19" s="45">
        <v>17.5</v>
      </c>
      <c r="AG19" s="49">
        <v>36</v>
      </c>
      <c r="AH19" s="47">
        <f t="shared" si="2"/>
        <v>17.5</v>
      </c>
      <c r="AI19" s="48">
        <f t="shared" si="3"/>
        <v>17.5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12.1</v>
      </c>
      <c r="C20" s="45">
        <v>12.1</v>
      </c>
      <c r="D20" s="45">
        <v>12.1</v>
      </c>
      <c r="E20" s="45">
        <v>12.1</v>
      </c>
      <c r="F20" s="45">
        <v>12.9</v>
      </c>
      <c r="G20" s="45">
        <v>12.9</v>
      </c>
      <c r="H20" s="45">
        <v>12.9</v>
      </c>
      <c r="I20" s="45">
        <v>12.9</v>
      </c>
      <c r="J20" s="45">
        <v>12.9</v>
      </c>
      <c r="K20" s="45">
        <v>12.9</v>
      </c>
      <c r="L20" s="45">
        <v>12.9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12.3</v>
      </c>
      <c r="AC20" s="45">
        <v>12.3</v>
      </c>
      <c r="AD20" s="45">
        <v>12.3</v>
      </c>
      <c r="AE20" s="45">
        <v>12.3</v>
      </c>
      <c r="AF20" s="45">
        <v>12.3</v>
      </c>
      <c r="AG20" s="52">
        <v>30</v>
      </c>
      <c r="AH20" s="47">
        <f t="shared" si="2"/>
        <v>12.9</v>
      </c>
      <c r="AI20" s="48">
        <f t="shared" si="3"/>
        <v>12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25.7</v>
      </c>
      <c r="C21" s="45">
        <v>25.7</v>
      </c>
      <c r="D21" s="45">
        <v>25.7</v>
      </c>
      <c r="E21" s="45">
        <v>25.7</v>
      </c>
      <c r="F21" s="45">
        <v>25.7</v>
      </c>
      <c r="G21" s="45">
        <v>25.7</v>
      </c>
      <c r="H21" s="45">
        <v>25.7</v>
      </c>
      <c r="I21" s="45">
        <v>25.7</v>
      </c>
      <c r="J21" s="45">
        <v>25.7</v>
      </c>
      <c r="K21" s="45">
        <v>25.7</v>
      </c>
      <c r="L21" s="45">
        <v>25.7</v>
      </c>
      <c r="M21" s="45">
        <v>24.4</v>
      </c>
      <c r="N21" s="45">
        <v>24.4</v>
      </c>
      <c r="O21" s="45">
        <v>24.4</v>
      </c>
      <c r="P21" s="45">
        <v>24.4</v>
      </c>
      <c r="Q21" s="45">
        <v>24.4</v>
      </c>
      <c r="R21" s="45">
        <v>24.4</v>
      </c>
      <c r="S21" s="45">
        <v>24.4</v>
      </c>
      <c r="T21" s="45">
        <v>24.4</v>
      </c>
      <c r="U21" s="45">
        <v>24.4</v>
      </c>
      <c r="V21" s="45">
        <v>24.4</v>
      </c>
      <c r="W21" s="45">
        <v>24.4</v>
      </c>
      <c r="X21" s="45">
        <v>24.4</v>
      </c>
      <c r="Y21" s="45">
        <v>24.4</v>
      </c>
      <c r="Z21" s="45">
        <v>24.4</v>
      </c>
      <c r="AA21" s="45">
        <v>24.4</v>
      </c>
      <c r="AB21" s="45">
        <v>25</v>
      </c>
      <c r="AC21" s="45">
        <v>25</v>
      </c>
      <c r="AD21" s="45">
        <v>25</v>
      </c>
      <c r="AE21" s="45">
        <v>25</v>
      </c>
      <c r="AF21" s="45">
        <v>25</v>
      </c>
      <c r="AG21" s="49">
        <v>24.2</v>
      </c>
      <c r="AH21" s="47">
        <f t="shared" si="2"/>
        <v>25.7</v>
      </c>
      <c r="AI21" s="48">
        <f t="shared" si="3"/>
        <v>24.4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13.6</v>
      </c>
      <c r="C22" s="45">
        <v>13.6</v>
      </c>
      <c r="D22" s="45">
        <v>13.6</v>
      </c>
      <c r="E22" s="45">
        <v>13.6</v>
      </c>
      <c r="F22" s="45">
        <v>13.6</v>
      </c>
      <c r="G22" s="45">
        <v>13.6</v>
      </c>
      <c r="H22" s="45">
        <v>13.6</v>
      </c>
      <c r="I22" s="45">
        <v>13.6</v>
      </c>
      <c r="J22" s="45">
        <v>13.6</v>
      </c>
      <c r="K22" s="45">
        <v>13.6</v>
      </c>
      <c r="L22" s="45">
        <v>13.6</v>
      </c>
      <c r="M22" s="45">
        <v>12.85</v>
      </c>
      <c r="N22" s="45">
        <v>12.85</v>
      </c>
      <c r="O22" s="45">
        <v>12.85</v>
      </c>
      <c r="P22" s="45">
        <v>12.85</v>
      </c>
      <c r="Q22" s="45">
        <v>12.85</v>
      </c>
      <c r="R22" s="45">
        <v>12.85</v>
      </c>
      <c r="S22" s="45">
        <v>12.85</v>
      </c>
      <c r="T22" s="45">
        <v>12.85</v>
      </c>
      <c r="U22" s="45">
        <v>12.85</v>
      </c>
      <c r="V22" s="45">
        <v>12.85</v>
      </c>
      <c r="W22" s="45">
        <v>12.85</v>
      </c>
      <c r="X22" s="45">
        <v>12.85</v>
      </c>
      <c r="Y22" s="45">
        <v>12.85</v>
      </c>
      <c r="Z22" s="45">
        <v>12.85</v>
      </c>
      <c r="AA22" s="45">
        <v>12.85</v>
      </c>
      <c r="AB22" s="45">
        <v>13.3</v>
      </c>
      <c r="AC22" s="45">
        <v>13.3</v>
      </c>
      <c r="AD22" s="45">
        <v>13.3</v>
      </c>
      <c r="AE22" s="45">
        <v>13.3</v>
      </c>
      <c r="AF22" s="45">
        <v>13.3</v>
      </c>
      <c r="AG22" s="49">
        <v>28</v>
      </c>
      <c r="AH22" s="47">
        <f t="shared" si="2"/>
        <v>13.6</v>
      </c>
      <c r="AI22" s="48">
        <f t="shared" si="3"/>
        <v>12.85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11</v>
      </c>
      <c r="C23" s="45">
        <v>11</v>
      </c>
      <c r="D23" s="45">
        <v>11</v>
      </c>
      <c r="E23" s="45">
        <v>11.2</v>
      </c>
      <c r="F23" s="45">
        <v>11.2</v>
      </c>
      <c r="G23" s="45">
        <v>11.2</v>
      </c>
      <c r="H23" s="45">
        <v>11.2</v>
      </c>
      <c r="I23" s="45">
        <v>11.2</v>
      </c>
      <c r="J23" s="45">
        <v>11.2</v>
      </c>
      <c r="K23" s="45">
        <v>11.2</v>
      </c>
      <c r="L23" s="45">
        <v>11.2</v>
      </c>
      <c r="M23" s="45">
        <v>11.2</v>
      </c>
      <c r="N23" s="45">
        <v>11.2</v>
      </c>
      <c r="O23" s="45">
        <v>11.2</v>
      </c>
      <c r="P23" s="45">
        <v>11.2</v>
      </c>
      <c r="Q23" s="45">
        <v>11.2</v>
      </c>
      <c r="R23" s="45">
        <v>11.2</v>
      </c>
      <c r="S23" s="45">
        <v>11.2</v>
      </c>
      <c r="T23" s="45">
        <v>11.2</v>
      </c>
      <c r="U23" s="45">
        <v>11.2</v>
      </c>
      <c r="V23" s="45">
        <v>11.2</v>
      </c>
      <c r="W23" s="45">
        <v>11.2</v>
      </c>
      <c r="X23" s="45">
        <v>11.2</v>
      </c>
      <c r="Y23" s="45">
        <v>11.2</v>
      </c>
      <c r="Z23" s="45">
        <v>11.2</v>
      </c>
      <c r="AA23" s="45">
        <v>11.2</v>
      </c>
      <c r="AB23" s="45">
        <v>10.8</v>
      </c>
      <c r="AC23" s="45">
        <v>10.8</v>
      </c>
      <c r="AD23" s="45">
        <v>10.8</v>
      </c>
      <c r="AE23" s="45">
        <v>10.8</v>
      </c>
      <c r="AF23" s="45">
        <v>10.8</v>
      </c>
      <c r="AG23" s="52">
        <v>30</v>
      </c>
      <c r="AH23" s="47">
        <f t="shared" si="2"/>
        <v>11.2</v>
      </c>
      <c r="AI23" s="48">
        <f t="shared" si="3"/>
        <v>10.8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13.1</v>
      </c>
      <c r="C24" s="45">
        <v>13.1</v>
      </c>
      <c r="D24" s="45">
        <v>13.1</v>
      </c>
      <c r="E24" s="45">
        <v>12.8</v>
      </c>
      <c r="F24" s="45">
        <v>12.8</v>
      </c>
      <c r="G24" s="45">
        <v>12.8</v>
      </c>
      <c r="H24" s="45">
        <v>12.8</v>
      </c>
      <c r="I24" s="45">
        <v>12.8</v>
      </c>
      <c r="J24" s="45">
        <v>12.8</v>
      </c>
      <c r="K24" s="45">
        <v>12.8</v>
      </c>
      <c r="L24" s="45">
        <v>12.8</v>
      </c>
      <c r="M24" s="45">
        <v>12.8</v>
      </c>
      <c r="N24" s="45">
        <v>12.8</v>
      </c>
      <c r="O24" s="45">
        <v>12.8</v>
      </c>
      <c r="P24" s="45">
        <v>12.8</v>
      </c>
      <c r="Q24" s="45">
        <v>12.8</v>
      </c>
      <c r="R24" s="45">
        <v>12.8</v>
      </c>
      <c r="S24" s="45">
        <v>12.8</v>
      </c>
      <c r="T24" s="45">
        <v>12.8</v>
      </c>
      <c r="U24" s="45">
        <v>12.8</v>
      </c>
      <c r="V24" s="45">
        <v>12.8</v>
      </c>
      <c r="W24" s="45">
        <v>12.8</v>
      </c>
      <c r="X24" s="45">
        <v>12.8</v>
      </c>
      <c r="Y24" s="45">
        <v>12.8</v>
      </c>
      <c r="Z24" s="45">
        <v>12.8</v>
      </c>
      <c r="AA24" s="45">
        <v>12.8</v>
      </c>
      <c r="AB24" s="45">
        <v>12.5</v>
      </c>
      <c r="AC24" s="45">
        <v>12.5</v>
      </c>
      <c r="AD24" s="45">
        <v>12.5</v>
      </c>
      <c r="AE24" s="45">
        <v>12.5</v>
      </c>
      <c r="AF24" s="45">
        <v>12.5</v>
      </c>
      <c r="AG24" s="49">
        <v>25</v>
      </c>
      <c r="AH24" s="47">
        <f t="shared" si="2"/>
        <v>13.1</v>
      </c>
      <c r="AI24" s="48">
        <f t="shared" si="3"/>
        <v>12.5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9.5</v>
      </c>
      <c r="C26" s="45">
        <v>9.5</v>
      </c>
      <c r="D26" s="45">
        <v>9.5</v>
      </c>
      <c r="E26" s="45">
        <v>9.5</v>
      </c>
      <c r="F26" s="45">
        <v>9.5</v>
      </c>
      <c r="G26" s="45">
        <v>9.5</v>
      </c>
      <c r="H26" s="45">
        <v>9.5</v>
      </c>
      <c r="I26" s="45">
        <v>9.5</v>
      </c>
      <c r="J26" s="45">
        <v>9.5</v>
      </c>
      <c r="K26" s="45">
        <v>9.5</v>
      </c>
      <c r="L26" s="45">
        <v>9.5</v>
      </c>
      <c r="M26" s="45">
        <v>9.5</v>
      </c>
      <c r="N26" s="45">
        <v>9.5</v>
      </c>
      <c r="O26" s="45">
        <v>9.5</v>
      </c>
      <c r="P26" s="45">
        <v>9.5</v>
      </c>
      <c r="Q26" s="45">
        <v>9.5</v>
      </c>
      <c r="R26" s="45">
        <v>9.5</v>
      </c>
      <c r="S26" s="45">
        <v>9.5</v>
      </c>
      <c r="T26" s="45">
        <v>9.5</v>
      </c>
      <c r="U26" s="45">
        <v>9.5</v>
      </c>
      <c r="V26" s="45">
        <v>9.5</v>
      </c>
      <c r="W26" s="45">
        <v>9.5</v>
      </c>
      <c r="X26" s="45">
        <v>9.5</v>
      </c>
      <c r="Y26" s="45">
        <v>9.5</v>
      </c>
      <c r="Z26" s="45">
        <v>9.5</v>
      </c>
      <c r="AA26" s="45">
        <v>9.5</v>
      </c>
      <c r="AB26" s="45">
        <v>9.5</v>
      </c>
      <c r="AC26" s="45">
        <v>9.5</v>
      </c>
      <c r="AD26" s="45">
        <v>9.5</v>
      </c>
      <c r="AE26" s="45">
        <v>9.5</v>
      </c>
      <c r="AF26" s="45">
        <v>9.5</v>
      </c>
      <c r="AG26" s="49">
        <v>25</v>
      </c>
      <c r="AH26" s="47">
        <f t="shared" si="2"/>
        <v>9.5</v>
      </c>
      <c r="AI26" s="48">
        <f t="shared" si="3"/>
        <v>9.5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12.2</v>
      </c>
      <c r="C27" s="45">
        <v>12.2</v>
      </c>
      <c r="D27" s="45">
        <v>12.2</v>
      </c>
      <c r="E27" s="45">
        <v>12.2</v>
      </c>
      <c r="F27" s="45">
        <v>12.6</v>
      </c>
      <c r="G27" s="45">
        <v>12.6</v>
      </c>
      <c r="H27" s="45">
        <v>12.6</v>
      </c>
      <c r="I27" s="45">
        <v>12.6</v>
      </c>
      <c r="J27" s="45">
        <v>12.6</v>
      </c>
      <c r="K27" s="45">
        <v>12.6</v>
      </c>
      <c r="L27" s="45">
        <v>12.6</v>
      </c>
      <c r="M27" s="45">
        <v>12.6</v>
      </c>
      <c r="N27" s="45">
        <v>12.6</v>
      </c>
      <c r="O27" s="45">
        <v>12.6</v>
      </c>
      <c r="P27" s="45">
        <v>12.6</v>
      </c>
      <c r="Q27" s="45">
        <v>12.6</v>
      </c>
      <c r="R27" s="45">
        <v>12.6</v>
      </c>
      <c r="S27" s="45">
        <v>12.6</v>
      </c>
      <c r="T27" s="45">
        <v>12.6</v>
      </c>
      <c r="U27" s="45">
        <v>12.6</v>
      </c>
      <c r="V27" s="45">
        <v>12.6</v>
      </c>
      <c r="W27" s="45">
        <v>12.6</v>
      </c>
      <c r="X27" s="45">
        <v>12.6</v>
      </c>
      <c r="Y27" s="45">
        <v>12.6</v>
      </c>
      <c r="Z27" s="45">
        <v>12.6</v>
      </c>
      <c r="AA27" s="45">
        <v>12.6</v>
      </c>
      <c r="AB27" s="45">
        <v>12.5</v>
      </c>
      <c r="AC27" s="45">
        <v>12.5</v>
      </c>
      <c r="AD27" s="45">
        <v>12.5</v>
      </c>
      <c r="AE27" s="45">
        <v>12.5</v>
      </c>
      <c r="AF27" s="45">
        <v>12.5</v>
      </c>
      <c r="AG27" s="49">
        <v>25</v>
      </c>
      <c r="AH27" s="47">
        <f t="shared" si="2"/>
        <v>12.6</v>
      </c>
      <c r="AI27" s="48">
        <f t="shared" si="3"/>
        <v>12.2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11.7</v>
      </c>
      <c r="C28" s="45">
        <v>11.7</v>
      </c>
      <c r="D28" s="45">
        <v>11.7</v>
      </c>
      <c r="E28" s="45">
        <v>11.7</v>
      </c>
      <c r="F28" s="45">
        <v>11.7</v>
      </c>
      <c r="G28" s="45">
        <v>11.7</v>
      </c>
      <c r="H28" s="45">
        <v>11.7</v>
      </c>
      <c r="I28" s="45">
        <v>11.7</v>
      </c>
      <c r="J28" s="45">
        <v>11.7</v>
      </c>
      <c r="K28" s="45">
        <v>11.7</v>
      </c>
      <c r="L28" s="45">
        <v>11.7</v>
      </c>
      <c r="M28" s="45">
        <v>11.7</v>
      </c>
      <c r="N28" s="45">
        <v>11.7</v>
      </c>
      <c r="O28" s="45">
        <v>11.7</v>
      </c>
      <c r="P28" s="45">
        <v>11.7</v>
      </c>
      <c r="Q28" s="45">
        <v>11.7</v>
      </c>
      <c r="R28" s="45">
        <v>11.7</v>
      </c>
      <c r="S28" s="45">
        <v>11.7</v>
      </c>
      <c r="T28" s="45">
        <v>11.7</v>
      </c>
      <c r="U28" s="45">
        <v>11.7</v>
      </c>
      <c r="V28" s="45">
        <v>11.7</v>
      </c>
      <c r="W28" s="45">
        <v>11.7</v>
      </c>
      <c r="X28" s="45">
        <v>11.7</v>
      </c>
      <c r="Y28" s="45">
        <v>11.7</v>
      </c>
      <c r="Z28" s="45">
        <v>11.7</v>
      </c>
      <c r="AA28" s="45">
        <v>11.7</v>
      </c>
      <c r="AB28" s="45">
        <v>11.8</v>
      </c>
      <c r="AC28" s="45">
        <v>11.8</v>
      </c>
      <c r="AD28" s="45">
        <v>11.8</v>
      </c>
      <c r="AE28" s="45">
        <v>11.8</v>
      </c>
      <c r="AF28" s="45">
        <v>11.8</v>
      </c>
      <c r="AG28" s="49">
        <v>23.5</v>
      </c>
      <c r="AH28" s="47">
        <f t="shared" si="2"/>
        <v>11.8</v>
      </c>
      <c r="AI28" s="48">
        <f t="shared" si="3"/>
        <v>11.7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49">
        <v>22.2</v>
      </c>
      <c r="AH29" s="47">
        <f t="shared" si="2"/>
        <v>6</v>
      </c>
      <c r="AI29" s="48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12.2</v>
      </c>
      <c r="C32" s="45">
        <v>12.2</v>
      </c>
      <c r="D32" s="45">
        <v>12.2</v>
      </c>
      <c r="E32" s="45">
        <v>12.2</v>
      </c>
      <c r="F32" s="45">
        <v>12.2</v>
      </c>
      <c r="G32" s="45">
        <v>12.2</v>
      </c>
      <c r="H32" s="45">
        <v>12.2</v>
      </c>
      <c r="I32" s="45">
        <v>12.2</v>
      </c>
      <c r="J32" s="45">
        <v>12.2</v>
      </c>
      <c r="K32" s="45">
        <v>12.2</v>
      </c>
      <c r="L32" s="45">
        <v>12.2</v>
      </c>
      <c r="M32" s="45">
        <v>12.2</v>
      </c>
      <c r="N32" s="45">
        <v>12.2</v>
      </c>
      <c r="O32" s="45">
        <v>12.2</v>
      </c>
      <c r="P32" s="45">
        <v>12.2</v>
      </c>
      <c r="Q32" s="45">
        <v>12.2</v>
      </c>
      <c r="R32" s="45">
        <v>12.2</v>
      </c>
      <c r="S32" s="45">
        <v>12.2</v>
      </c>
      <c r="T32" s="45">
        <v>12.2</v>
      </c>
      <c r="U32" s="45">
        <v>12.2</v>
      </c>
      <c r="V32" s="45">
        <v>12.2</v>
      </c>
      <c r="W32" s="45">
        <v>12.2</v>
      </c>
      <c r="X32" s="45">
        <v>12.2</v>
      </c>
      <c r="Y32" s="45">
        <v>12.2</v>
      </c>
      <c r="Z32" s="45">
        <v>12.2</v>
      </c>
      <c r="AA32" s="45">
        <v>12.2</v>
      </c>
      <c r="AB32" s="45">
        <v>11.4</v>
      </c>
      <c r="AC32" s="45">
        <v>11.4</v>
      </c>
      <c r="AD32" s="45">
        <v>11.4</v>
      </c>
      <c r="AE32" s="45">
        <v>11.4</v>
      </c>
      <c r="AF32" s="45">
        <v>11.4</v>
      </c>
      <c r="AG32" s="49">
        <v>22</v>
      </c>
      <c r="AH32" s="47">
        <f t="shared" si="2"/>
        <v>12.2</v>
      </c>
      <c r="AI32" s="48">
        <f t="shared" si="3"/>
        <v>11.4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8.6999999999999993</v>
      </c>
      <c r="C33" s="45">
        <v>8.6999999999999993</v>
      </c>
      <c r="D33" s="45">
        <v>8.6999999999999993</v>
      </c>
      <c r="E33" s="45">
        <v>8.6999999999999993</v>
      </c>
      <c r="F33" s="45">
        <v>8.6999999999999993</v>
      </c>
      <c r="G33" s="45">
        <v>8.6999999999999993</v>
      </c>
      <c r="H33" s="45">
        <v>8.6999999999999993</v>
      </c>
      <c r="I33" s="45">
        <v>8.6999999999999993</v>
      </c>
      <c r="J33" s="45">
        <v>8.6999999999999993</v>
      </c>
      <c r="K33" s="45">
        <v>8.6999999999999993</v>
      </c>
      <c r="L33" s="45">
        <v>8.6999999999999993</v>
      </c>
      <c r="M33" s="45">
        <v>8.6999999999999993</v>
      </c>
      <c r="N33" s="45">
        <v>8.6999999999999993</v>
      </c>
      <c r="O33" s="45">
        <v>8.6999999999999993</v>
      </c>
      <c r="P33" s="45">
        <v>8.6999999999999993</v>
      </c>
      <c r="Q33" s="45">
        <v>8.6999999999999993</v>
      </c>
      <c r="R33" s="45">
        <v>8.6999999999999993</v>
      </c>
      <c r="S33" s="45">
        <v>8.6999999999999993</v>
      </c>
      <c r="T33" s="45">
        <v>8.6999999999999993</v>
      </c>
      <c r="U33" s="45">
        <v>8.6999999999999993</v>
      </c>
      <c r="V33" s="45">
        <v>8.6999999999999993</v>
      </c>
      <c r="W33" s="45">
        <v>8.6999999999999993</v>
      </c>
      <c r="X33" s="45">
        <v>8.6999999999999993</v>
      </c>
      <c r="Y33" s="45">
        <v>8.6999999999999993</v>
      </c>
      <c r="Z33" s="45">
        <v>8.6999999999999993</v>
      </c>
      <c r="AA33" s="45">
        <v>8.6999999999999993</v>
      </c>
      <c r="AB33" s="45">
        <v>8.6999999999999993</v>
      </c>
      <c r="AC33" s="45">
        <v>8.6999999999999993</v>
      </c>
      <c r="AD33" s="45">
        <v>8.6999999999999993</v>
      </c>
      <c r="AE33" s="45">
        <v>8.6999999999999993</v>
      </c>
      <c r="AF33" s="45">
        <v>8.6999999999999993</v>
      </c>
      <c r="AG33" s="49">
        <v>20</v>
      </c>
      <c r="AH33" s="47">
        <f t="shared" si="2"/>
        <v>8.6999999999999993</v>
      </c>
      <c r="AI33" s="48">
        <f t="shared" si="3"/>
        <v>8.6999999999999993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49">
        <v>18</v>
      </c>
      <c r="AH34" s="47">
        <f t="shared" si="2"/>
        <v>6</v>
      </c>
      <c r="AI34" s="48">
        <f t="shared" si="3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0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5.8</v>
      </c>
      <c r="Q45" s="45">
        <v>5.8</v>
      </c>
      <c r="R45" s="45">
        <v>5.8</v>
      </c>
      <c r="S45" s="45">
        <v>5.8</v>
      </c>
      <c r="T45" s="45">
        <v>5.8</v>
      </c>
      <c r="U45" s="45">
        <v>5.8</v>
      </c>
      <c r="V45" s="45">
        <v>5.8</v>
      </c>
      <c r="W45" s="45">
        <v>5.8</v>
      </c>
      <c r="X45" s="45">
        <v>5.8</v>
      </c>
      <c r="Y45" s="45">
        <v>5.8</v>
      </c>
      <c r="Z45" s="45">
        <v>5.8</v>
      </c>
      <c r="AA45" s="45">
        <v>5.8</v>
      </c>
      <c r="AB45" s="45">
        <v>5.8</v>
      </c>
      <c r="AC45" s="45">
        <v>5.8</v>
      </c>
      <c r="AD45" s="45">
        <v>5.8</v>
      </c>
      <c r="AE45" s="45">
        <v>5.8</v>
      </c>
      <c r="AF45" s="45">
        <v>5.8</v>
      </c>
      <c r="AG45" s="55">
        <v>10</v>
      </c>
      <c r="AH45" s="47">
        <f t="shared" si="2"/>
        <v>5.8</v>
      </c>
      <c r="AI45" s="48">
        <f t="shared" si="3"/>
        <v>5.8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0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250</v>
      </c>
      <c r="C48" s="57">
        <v>250</v>
      </c>
      <c r="D48" s="57">
        <v>250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250</v>
      </c>
      <c r="N48" s="57">
        <v>250</v>
      </c>
      <c r="O48" s="57">
        <v>250</v>
      </c>
      <c r="P48" s="57">
        <v>250</v>
      </c>
      <c r="Q48" s="57">
        <v>250</v>
      </c>
      <c r="R48" s="57">
        <v>250</v>
      </c>
      <c r="S48" s="57">
        <v>250</v>
      </c>
      <c r="T48" s="57">
        <v>250</v>
      </c>
      <c r="U48" s="57">
        <v>250</v>
      </c>
      <c r="V48" s="57">
        <v>250</v>
      </c>
      <c r="W48" s="57">
        <v>250</v>
      </c>
      <c r="X48" s="57">
        <v>250</v>
      </c>
      <c r="Y48" s="57">
        <v>250</v>
      </c>
      <c r="Z48" s="57">
        <v>250</v>
      </c>
      <c r="AA48" s="57">
        <v>250</v>
      </c>
      <c r="AB48" s="57">
        <v>250</v>
      </c>
      <c r="AC48" s="57">
        <v>250</v>
      </c>
      <c r="AD48" s="57">
        <v>250</v>
      </c>
      <c r="AE48" s="57">
        <v>250</v>
      </c>
      <c r="AF48" s="57">
        <v>250</v>
      </c>
      <c r="AG48" s="55">
        <v>85</v>
      </c>
      <c r="AH48" s="47">
        <f t="shared" si="2"/>
        <v>250</v>
      </c>
      <c r="AI48" s="48">
        <f t="shared" si="3"/>
        <v>250</v>
      </c>
      <c r="AK48" s="50"/>
    </row>
    <row r="49" spans="1:41" ht="15.75" thickBot="1" x14ac:dyDescent="0.3">
      <c r="A49" s="58" t="s">
        <v>57</v>
      </c>
      <c r="B49" s="57">
        <v>35.6</v>
      </c>
      <c r="C49" s="57">
        <v>38.799999999999997</v>
      </c>
      <c r="D49" s="57">
        <v>38.200000000000003</v>
      </c>
      <c r="E49" s="51">
        <f>10.1+28.8</f>
        <v>38.9</v>
      </c>
      <c r="F49" s="51">
        <f>10.1+28.7</f>
        <v>38.799999999999997</v>
      </c>
      <c r="G49" s="51">
        <f>10.1+28.7</f>
        <v>38.799999999999997</v>
      </c>
      <c r="H49" s="51">
        <f>10+28.5</f>
        <v>38.5</v>
      </c>
      <c r="I49" s="51">
        <f>9.5+27.4</f>
        <v>36.9</v>
      </c>
      <c r="J49" s="51">
        <f>9.5+27.6</f>
        <v>37.1</v>
      </c>
      <c r="K49" s="51">
        <f>9.9+29.2</f>
        <v>39.1</v>
      </c>
      <c r="L49" s="51">
        <f>9.3+28.1</f>
        <v>37.400000000000006</v>
      </c>
      <c r="M49" s="51">
        <v>35.799999999999997</v>
      </c>
      <c r="N49" s="51">
        <v>35.799999999999997</v>
      </c>
      <c r="O49" s="51">
        <v>35.799999999999997</v>
      </c>
      <c r="P49" s="51">
        <v>35.799999999999997</v>
      </c>
      <c r="Q49" s="51">
        <v>35.799999999999997</v>
      </c>
      <c r="R49" s="51">
        <v>35.799999999999997</v>
      </c>
      <c r="S49" s="51">
        <v>35.799999999999997</v>
      </c>
      <c r="T49" s="51">
        <v>35.799999999999997</v>
      </c>
      <c r="U49" s="51">
        <v>35.799999999999997</v>
      </c>
      <c r="V49" s="51">
        <v>35.799999999999997</v>
      </c>
      <c r="W49" s="51">
        <v>35.799999999999997</v>
      </c>
      <c r="X49" s="57">
        <v>35.799999999999997</v>
      </c>
      <c r="Y49" s="57">
        <v>35.799999999999997</v>
      </c>
      <c r="Z49" s="57">
        <v>35.799999999999997</v>
      </c>
      <c r="AA49" s="57">
        <v>35.799999999999997</v>
      </c>
      <c r="AB49" s="57">
        <v>34.5</v>
      </c>
      <c r="AC49" s="57">
        <v>34.5</v>
      </c>
      <c r="AD49" s="57">
        <v>34.5</v>
      </c>
      <c r="AE49" s="57">
        <v>34.5</v>
      </c>
      <c r="AF49" s="57">
        <v>34.5</v>
      </c>
      <c r="AG49" s="55">
        <v>240</v>
      </c>
      <c r="AH49" s="47">
        <f t="shared" si="2"/>
        <v>39.1</v>
      </c>
      <c r="AI49" s="48">
        <f t="shared" si="3"/>
        <v>34.5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687.4</v>
      </c>
      <c r="C50" s="60">
        <f t="shared" si="4"/>
        <v>687.4</v>
      </c>
      <c r="D50" s="60">
        <f t="shared" si="4"/>
        <v>687.4</v>
      </c>
      <c r="E50" s="60">
        <f t="shared" si="4"/>
        <v>689</v>
      </c>
      <c r="F50" s="60">
        <f t="shared" si="4"/>
        <v>680.09999999999991</v>
      </c>
      <c r="G50" s="60">
        <f t="shared" si="4"/>
        <v>688.5</v>
      </c>
      <c r="H50" s="60">
        <f t="shared" si="4"/>
        <v>688.5</v>
      </c>
      <c r="I50" s="60">
        <f t="shared" si="4"/>
        <v>689.2</v>
      </c>
      <c r="J50" s="60">
        <f t="shared" si="4"/>
        <v>689.2</v>
      </c>
      <c r="K50" s="60">
        <f t="shared" si="4"/>
        <v>689.2</v>
      </c>
      <c r="L50" s="60">
        <f t="shared" si="4"/>
        <v>689.2</v>
      </c>
      <c r="M50" s="60">
        <f t="shared" ref="M50" si="5">SUM(M11:M48)</f>
        <v>686.35</v>
      </c>
      <c r="N50" s="60">
        <f t="shared" si="4"/>
        <v>686.35</v>
      </c>
      <c r="O50" s="60">
        <f t="shared" si="4"/>
        <v>686.35</v>
      </c>
      <c r="P50" s="60">
        <f t="shared" ref="P50" si="6">SUM(P11:P48)</f>
        <v>686.35</v>
      </c>
      <c r="Q50" s="60">
        <f t="shared" si="4"/>
        <v>686.35</v>
      </c>
      <c r="R50" s="60">
        <f t="shared" si="4"/>
        <v>686.35</v>
      </c>
      <c r="S50" s="60">
        <f t="shared" ref="S50:T50" si="7">SUM(S11:S48)</f>
        <v>686.35</v>
      </c>
      <c r="T50" s="60">
        <f t="shared" si="7"/>
        <v>686.35</v>
      </c>
      <c r="U50" s="60">
        <f t="shared" ref="U50:V50" si="8">SUM(U11:U48)</f>
        <v>686.35</v>
      </c>
      <c r="V50" s="60">
        <f t="shared" si="8"/>
        <v>644.84999999999991</v>
      </c>
      <c r="W50" s="60">
        <f t="shared" ref="W50:X50" si="9">SUM(W11:W48)</f>
        <v>691.15</v>
      </c>
      <c r="X50" s="60">
        <f t="shared" si="9"/>
        <v>684.65</v>
      </c>
      <c r="Y50" s="60">
        <f t="shared" ref="Y50:Z50" si="10">SUM(Y11:Y48)</f>
        <v>684.65</v>
      </c>
      <c r="Z50" s="60">
        <f t="shared" si="10"/>
        <v>684.65</v>
      </c>
      <c r="AA50" s="60">
        <f t="shared" ref="AA50" si="11">SUM(AA11:AA48)</f>
        <v>684.65</v>
      </c>
      <c r="AB50" s="60">
        <f t="shared" si="4"/>
        <v>686.7</v>
      </c>
      <c r="AC50" s="60">
        <f t="shared" si="4"/>
        <v>658.8</v>
      </c>
      <c r="AD50" s="60">
        <f t="shared" si="4"/>
        <v>686.7</v>
      </c>
      <c r="AE50" s="60">
        <f t="shared" si="4"/>
        <v>686.7</v>
      </c>
      <c r="AF50" s="60">
        <f t="shared" si="4"/>
        <v>686.7</v>
      </c>
      <c r="AG50" s="61">
        <f>SUM(AG13:AG48)</f>
        <v>922.14</v>
      </c>
      <c r="AH50" s="47">
        <f t="shared" si="2"/>
        <v>691.15</v>
      </c>
      <c r="AI50" s="48">
        <f t="shared" si="3"/>
        <v>644.84999999999991</v>
      </c>
      <c r="AK50" s="50"/>
    </row>
    <row r="51" spans="1:41" x14ac:dyDescent="0.25">
      <c r="A51" s="62" t="s">
        <v>59</v>
      </c>
      <c r="B51" s="45">
        <v>15</v>
      </c>
      <c r="C51" s="45">
        <v>0</v>
      </c>
      <c r="D51" s="45">
        <v>0</v>
      </c>
      <c r="E51" s="45">
        <v>0</v>
      </c>
      <c r="F51" s="45">
        <v>15</v>
      </c>
      <c r="G51" s="45">
        <v>25</v>
      </c>
      <c r="H51" s="45">
        <v>30</v>
      </c>
      <c r="I51" s="45">
        <v>70</v>
      </c>
      <c r="J51" s="45">
        <v>170</v>
      </c>
      <c r="K51" s="45">
        <v>140</v>
      </c>
      <c r="L51" s="45">
        <v>230</v>
      </c>
      <c r="M51" s="45">
        <v>360</v>
      </c>
      <c r="N51" s="63">
        <v>360</v>
      </c>
      <c r="O51" s="63">
        <v>300</v>
      </c>
      <c r="P51" s="63">
        <v>90</v>
      </c>
      <c r="Q51" s="63">
        <v>20</v>
      </c>
      <c r="R51" s="63">
        <v>0</v>
      </c>
      <c r="S51" s="63">
        <v>0</v>
      </c>
      <c r="T51" s="63">
        <v>0</v>
      </c>
      <c r="U51" s="63">
        <v>0</v>
      </c>
      <c r="V51" s="63">
        <v>160</v>
      </c>
      <c r="W51" s="63">
        <v>320</v>
      </c>
      <c r="X51" s="45">
        <v>456</v>
      </c>
      <c r="Y51" s="45">
        <v>390</v>
      </c>
      <c r="Z51" s="45">
        <v>285</v>
      </c>
      <c r="AA51" s="45">
        <v>190</v>
      </c>
      <c r="AB51" s="45">
        <v>160</v>
      </c>
      <c r="AC51" s="45">
        <v>135</v>
      </c>
      <c r="AD51" s="45">
        <v>70</v>
      </c>
      <c r="AE51" s="45">
        <v>0</v>
      </c>
      <c r="AF51" s="45">
        <v>0</v>
      </c>
      <c r="AG51" s="52">
        <v>456</v>
      </c>
      <c r="AH51" s="47">
        <f t="shared" si="2"/>
        <v>456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42</v>
      </c>
      <c r="N52" s="65">
        <v>42</v>
      </c>
      <c r="O52" s="65">
        <v>42</v>
      </c>
      <c r="P52" s="65">
        <v>42</v>
      </c>
      <c r="Q52" s="65">
        <v>42</v>
      </c>
      <c r="R52" s="65">
        <v>42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5">
        <v>60</v>
      </c>
      <c r="AH52" s="47">
        <f t="shared" si="2"/>
        <v>42</v>
      </c>
      <c r="AI52" s="48">
        <f t="shared" si="3"/>
        <v>42</v>
      </c>
      <c r="AK52" s="50"/>
    </row>
    <row r="53" spans="1:41" ht="15.75" thickBot="1" x14ac:dyDescent="0.3">
      <c r="A53" s="66" t="s">
        <v>61</v>
      </c>
      <c r="B53" s="67">
        <v>12.2</v>
      </c>
      <c r="C53" s="67">
        <v>12.2</v>
      </c>
      <c r="D53" s="67">
        <v>12.2</v>
      </c>
      <c r="E53" s="67">
        <v>14.2</v>
      </c>
      <c r="F53" s="67">
        <v>14.2</v>
      </c>
      <c r="G53" s="67">
        <v>14.1</v>
      </c>
      <c r="H53" s="67">
        <v>14.1</v>
      </c>
      <c r="I53" s="67">
        <v>14.1</v>
      </c>
      <c r="J53" s="67">
        <v>16.100000000000001</v>
      </c>
      <c r="K53" s="67">
        <v>16.100000000000001</v>
      </c>
      <c r="L53" s="67">
        <v>16.100000000000001</v>
      </c>
      <c r="M53" s="67">
        <v>16.2</v>
      </c>
      <c r="N53" s="67">
        <v>16.2</v>
      </c>
      <c r="O53" s="67">
        <v>16.2</v>
      </c>
      <c r="P53" s="67">
        <v>16.2</v>
      </c>
      <c r="Q53" s="67">
        <v>16</v>
      </c>
      <c r="R53" s="67">
        <v>16</v>
      </c>
      <c r="S53" s="67">
        <v>16</v>
      </c>
      <c r="T53" s="67">
        <v>16</v>
      </c>
      <c r="U53" s="67">
        <v>16</v>
      </c>
      <c r="V53" s="67">
        <v>16</v>
      </c>
      <c r="W53" s="67">
        <v>16</v>
      </c>
      <c r="X53" s="67">
        <v>16</v>
      </c>
      <c r="Y53" s="67">
        <v>16</v>
      </c>
      <c r="Z53" s="67">
        <v>16</v>
      </c>
      <c r="AA53" s="67">
        <v>16</v>
      </c>
      <c r="AB53" s="67">
        <v>20.5</v>
      </c>
      <c r="AC53" s="67">
        <v>20.5</v>
      </c>
      <c r="AD53" s="67">
        <v>20.5</v>
      </c>
      <c r="AE53" s="67">
        <v>13.6</v>
      </c>
      <c r="AF53" s="67">
        <v>13.36</v>
      </c>
      <c r="AG53" s="68">
        <v>22.1</v>
      </c>
      <c r="AH53" s="47">
        <f t="shared" si="2"/>
        <v>20.5</v>
      </c>
      <c r="AI53" s="48">
        <f t="shared" si="3"/>
        <v>12.2</v>
      </c>
      <c r="AK53" s="50"/>
    </row>
    <row r="54" spans="1:41" ht="15.75" thickBot="1" x14ac:dyDescent="0.3">
      <c r="A54" s="69" t="s">
        <v>62</v>
      </c>
      <c r="B54" s="60">
        <f t="shared" ref="B54:AG54" si="12">SUM(B51:B53)</f>
        <v>69.2</v>
      </c>
      <c r="C54" s="60">
        <f t="shared" si="12"/>
        <v>54.2</v>
      </c>
      <c r="D54" s="60">
        <f t="shared" si="12"/>
        <v>54.2</v>
      </c>
      <c r="E54" s="60">
        <f t="shared" si="12"/>
        <v>56.2</v>
      </c>
      <c r="F54" s="60">
        <f t="shared" si="12"/>
        <v>71.2</v>
      </c>
      <c r="G54" s="60">
        <f t="shared" si="12"/>
        <v>81.099999999999994</v>
      </c>
      <c r="H54" s="60">
        <f t="shared" si="12"/>
        <v>86.1</v>
      </c>
      <c r="I54" s="60">
        <f t="shared" si="12"/>
        <v>126.1</v>
      </c>
      <c r="J54" s="60">
        <f t="shared" si="12"/>
        <v>228.1</v>
      </c>
      <c r="K54" s="60">
        <f t="shared" si="12"/>
        <v>198.1</v>
      </c>
      <c r="L54" s="60">
        <f t="shared" si="12"/>
        <v>288.10000000000002</v>
      </c>
      <c r="M54" s="60">
        <f t="shared" ref="M54" si="13">SUM(M51:M53)</f>
        <v>418.2</v>
      </c>
      <c r="N54" s="60">
        <f t="shared" si="12"/>
        <v>418.2</v>
      </c>
      <c r="O54" s="60">
        <f t="shared" si="12"/>
        <v>358.2</v>
      </c>
      <c r="P54" s="60">
        <f t="shared" ref="P54" si="14">SUM(P51:P53)</f>
        <v>148.19999999999999</v>
      </c>
      <c r="Q54" s="60">
        <f t="shared" si="12"/>
        <v>78</v>
      </c>
      <c r="R54" s="60">
        <f t="shared" si="12"/>
        <v>58</v>
      </c>
      <c r="S54" s="60">
        <f t="shared" ref="S54:T54" si="15">SUM(S51:S53)</f>
        <v>58</v>
      </c>
      <c r="T54" s="60">
        <f t="shared" si="15"/>
        <v>58</v>
      </c>
      <c r="U54" s="60">
        <f t="shared" ref="U54:V54" si="16">SUM(U51:U53)</f>
        <v>58</v>
      </c>
      <c r="V54" s="60">
        <f t="shared" si="16"/>
        <v>218</v>
      </c>
      <c r="W54" s="60">
        <f t="shared" ref="W54:X54" si="17">SUM(W51:W53)</f>
        <v>378</v>
      </c>
      <c r="X54" s="60">
        <f t="shared" si="17"/>
        <v>514</v>
      </c>
      <c r="Y54" s="60">
        <f t="shared" ref="Y54:Z54" si="18">SUM(Y51:Y53)</f>
        <v>448</v>
      </c>
      <c r="Z54" s="60">
        <f t="shared" si="18"/>
        <v>343</v>
      </c>
      <c r="AA54" s="60">
        <f t="shared" ref="AA54" si="19">SUM(AA51:AA53)</f>
        <v>248</v>
      </c>
      <c r="AB54" s="60">
        <f t="shared" si="12"/>
        <v>222.5</v>
      </c>
      <c r="AC54" s="60">
        <f t="shared" si="12"/>
        <v>197.5</v>
      </c>
      <c r="AD54" s="60">
        <f t="shared" si="12"/>
        <v>132.5</v>
      </c>
      <c r="AE54" s="60">
        <f t="shared" si="12"/>
        <v>55.6</v>
      </c>
      <c r="AF54" s="60">
        <f t="shared" si="12"/>
        <v>55.36</v>
      </c>
      <c r="AG54" s="61">
        <f t="shared" si="12"/>
        <v>538.1</v>
      </c>
      <c r="AH54" s="47">
        <f t="shared" si="2"/>
        <v>514</v>
      </c>
      <c r="AI54" s="48">
        <f t="shared" si="3"/>
        <v>54.2</v>
      </c>
      <c r="AK54" s="50"/>
    </row>
    <row r="55" spans="1:41" x14ac:dyDescent="0.25">
      <c r="A55" s="44" t="s">
        <v>63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28.4</v>
      </c>
      <c r="H55" s="45">
        <v>29.7</v>
      </c>
      <c r="I55" s="45">
        <v>48.9</v>
      </c>
      <c r="J55" s="45">
        <v>92.2</v>
      </c>
      <c r="K55" s="45">
        <v>106.6</v>
      </c>
      <c r="L55" s="45">
        <v>145.4</v>
      </c>
      <c r="M55" s="45">
        <v>136.80000000000001</v>
      </c>
      <c r="N55" s="45">
        <v>136.80000000000001</v>
      </c>
      <c r="O55" s="45">
        <v>145</v>
      </c>
      <c r="P55" s="45">
        <v>86.1</v>
      </c>
      <c r="Q55" s="45">
        <v>60</v>
      </c>
      <c r="R55" s="45">
        <v>25</v>
      </c>
      <c r="S55" s="45">
        <v>25</v>
      </c>
      <c r="T55" s="45">
        <v>25</v>
      </c>
      <c r="U55" s="45">
        <v>45.9</v>
      </c>
      <c r="V55" s="45">
        <v>129.9</v>
      </c>
      <c r="W55" s="45">
        <v>129.9</v>
      </c>
      <c r="X55" s="45">
        <v>145</v>
      </c>
      <c r="Y55" s="45">
        <v>145</v>
      </c>
      <c r="Z55" s="45">
        <v>145</v>
      </c>
      <c r="AA55" s="45">
        <v>145</v>
      </c>
      <c r="AB55" s="45">
        <v>144</v>
      </c>
      <c r="AC55" s="45">
        <v>144</v>
      </c>
      <c r="AD55" s="45">
        <v>110</v>
      </c>
      <c r="AE55" s="45">
        <v>46.7</v>
      </c>
      <c r="AF55" s="45">
        <v>30.3</v>
      </c>
      <c r="AG55" s="52">
        <v>144</v>
      </c>
      <c r="AH55" s="47">
        <f t="shared" si="2"/>
        <v>145.4</v>
      </c>
      <c r="AI55" s="48">
        <f t="shared" si="3"/>
        <v>0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30</v>
      </c>
      <c r="G56" s="65">
        <v>24.4</v>
      </c>
      <c r="H56" s="65">
        <v>25.5</v>
      </c>
      <c r="I56" s="65">
        <v>45</v>
      </c>
      <c r="J56" s="65">
        <v>58.8</v>
      </c>
      <c r="K56" s="65">
        <v>69.099999999999994</v>
      </c>
      <c r="L56" s="65">
        <v>65</v>
      </c>
      <c r="M56" s="65">
        <v>69</v>
      </c>
      <c r="N56" s="65">
        <v>58.6</v>
      </c>
      <c r="O56" s="65">
        <v>59.7</v>
      </c>
      <c r="P56" s="65">
        <v>50</v>
      </c>
      <c r="Q56" s="65">
        <v>35</v>
      </c>
      <c r="R56" s="65">
        <v>25</v>
      </c>
      <c r="S56" s="65">
        <v>0</v>
      </c>
      <c r="T56" s="65">
        <v>0</v>
      </c>
      <c r="U56" s="65">
        <v>34.799999999999997</v>
      </c>
      <c r="V56" s="65">
        <v>61.9</v>
      </c>
      <c r="W56" s="65">
        <v>63</v>
      </c>
      <c r="X56" s="45">
        <v>70.3</v>
      </c>
      <c r="Y56" s="45">
        <v>70.3</v>
      </c>
      <c r="Z56" s="45">
        <v>70.3</v>
      </c>
      <c r="AA56" s="45">
        <v>70.3</v>
      </c>
      <c r="AB56" s="45">
        <v>69</v>
      </c>
      <c r="AC56" s="45">
        <v>52.8</v>
      </c>
      <c r="AD56" s="65">
        <v>51.5</v>
      </c>
      <c r="AE56" s="45">
        <v>26.3</v>
      </c>
      <c r="AF56" s="45">
        <v>25.6</v>
      </c>
      <c r="AG56" s="55">
        <v>70</v>
      </c>
      <c r="AH56" s="47">
        <f t="shared" si="2"/>
        <v>70.3</v>
      </c>
      <c r="AI56" s="48">
        <f t="shared" si="3"/>
        <v>0</v>
      </c>
      <c r="AK56" s="50"/>
    </row>
    <row r="57" spans="1:41" x14ac:dyDescent="0.25">
      <c r="A57" s="54" t="s">
        <v>65</v>
      </c>
      <c r="B57" s="65">
        <v>35.1</v>
      </c>
      <c r="C57" s="65">
        <v>35.1</v>
      </c>
      <c r="D57" s="65">
        <v>35.1</v>
      </c>
      <c r="E57" s="65">
        <v>17.5</v>
      </c>
      <c r="F57" s="65">
        <v>31</v>
      </c>
      <c r="G57" s="65">
        <v>32.799999999999997</v>
      </c>
      <c r="H57" s="65">
        <v>32.799999999999997</v>
      </c>
      <c r="I57" s="65">
        <v>32.799999999999997</v>
      </c>
      <c r="J57" s="65">
        <v>32.799999999999997</v>
      </c>
      <c r="K57" s="65">
        <v>55</v>
      </c>
      <c r="L57" s="65">
        <v>54.7</v>
      </c>
      <c r="M57" s="65">
        <v>68</v>
      </c>
      <c r="N57" s="65">
        <v>54.6</v>
      </c>
      <c r="O57" s="65">
        <v>54.6</v>
      </c>
      <c r="P57" s="65">
        <v>32.299999999999997</v>
      </c>
      <c r="Q57" s="65">
        <v>15</v>
      </c>
      <c r="R57" s="65">
        <v>15</v>
      </c>
      <c r="S57" s="65">
        <v>0</v>
      </c>
      <c r="T57" s="65">
        <v>0</v>
      </c>
      <c r="U57" s="65">
        <v>22.2</v>
      </c>
      <c r="V57" s="65">
        <v>66.8</v>
      </c>
      <c r="W57" s="65">
        <v>67.2</v>
      </c>
      <c r="X57" s="45">
        <v>68.599999999999994</v>
      </c>
      <c r="Y57" s="45">
        <v>68.599999999999994</v>
      </c>
      <c r="Z57" s="45">
        <v>68.599999999999994</v>
      </c>
      <c r="AA57" s="45">
        <v>68.599999999999994</v>
      </c>
      <c r="AB57" s="45">
        <v>66.3</v>
      </c>
      <c r="AC57" s="45">
        <v>68</v>
      </c>
      <c r="AD57" s="65">
        <v>62</v>
      </c>
      <c r="AE57" s="45">
        <v>33.6</v>
      </c>
      <c r="AF57" s="45">
        <v>32.299999999999997</v>
      </c>
      <c r="AG57" s="55">
        <v>69</v>
      </c>
      <c r="AH57" s="47">
        <f t="shared" si="2"/>
        <v>68.599999999999994</v>
      </c>
      <c r="AI57" s="48">
        <f t="shared" si="3"/>
        <v>0</v>
      </c>
      <c r="AK57" s="50"/>
    </row>
    <row r="58" spans="1:41" x14ac:dyDescent="0.25">
      <c r="A58" s="54" t="s">
        <v>66</v>
      </c>
      <c r="B58" s="65">
        <v>60</v>
      </c>
      <c r="C58" s="65">
        <v>60</v>
      </c>
      <c r="D58" s="65">
        <v>60</v>
      </c>
      <c r="E58" s="65">
        <v>56.4</v>
      </c>
      <c r="F58" s="57">
        <v>58</v>
      </c>
      <c r="G58" s="57">
        <v>58</v>
      </c>
      <c r="H58" s="57">
        <v>58</v>
      </c>
      <c r="I58" s="57">
        <v>58</v>
      </c>
      <c r="J58" s="57">
        <v>58</v>
      </c>
      <c r="K58" s="57">
        <v>58.2</v>
      </c>
      <c r="L58" s="57">
        <v>58.2</v>
      </c>
      <c r="M58" s="65">
        <v>58.2</v>
      </c>
      <c r="N58" s="65">
        <v>58.2</v>
      </c>
      <c r="O58" s="65">
        <v>58.2</v>
      </c>
      <c r="P58" s="65">
        <v>58.2</v>
      </c>
      <c r="Q58" s="65">
        <v>58.2</v>
      </c>
      <c r="R58" s="65">
        <v>58.2</v>
      </c>
      <c r="S58" s="65">
        <v>58.2</v>
      </c>
      <c r="T58" s="65">
        <v>58.2</v>
      </c>
      <c r="U58" s="65">
        <v>58.2</v>
      </c>
      <c r="V58" s="65">
        <v>58.2</v>
      </c>
      <c r="W58" s="65">
        <v>58.2</v>
      </c>
      <c r="X58" s="45">
        <v>58.2</v>
      </c>
      <c r="Y58" s="45">
        <v>58.2</v>
      </c>
      <c r="Z58" s="45">
        <v>58.2</v>
      </c>
      <c r="AA58" s="45">
        <v>58.2</v>
      </c>
      <c r="AB58" s="45">
        <v>57.2</v>
      </c>
      <c r="AC58" s="45">
        <v>57.4</v>
      </c>
      <c r="AD58" s="45">
        <v>57.4</v>
      </c>
      <c r="AE58" s="45">
        <v>57.4</v>
      </c>
      <c r="AF58" s="45">
        <v>57.4</v>
      </c>
      <c r="AG58" s="55">
        <v>60</v>
      </c>
      <c r="AH58" s="47">
        <f t="shared" si="2"/>
        <v>60</v>
      </c>
      <c r="AI58" s="48">
        <f t="shared" si="3"/>
        <v>56.4</v>
      </c>
      <c r="AK58" s="50"/>
    </row>
    <row r="59" spans="1:41" x14ac:dyDescent="0.25">
      <c r="A59" s="54" t="s">
        <v>67</v>
      </c>
      <c r="B59" s="65">
        <v>0</v>
      </c>
      <c r="C59" s="65">
        <v>0</v>
      </c>
      <c r="D59" s="65">
        <v>0</v>
      </c>
      <c r="E59" s="65">
        <v>0</v>
      </c>
      <c r="F59" s="65">
        <v>0</v>
      </c>
      <c r="G59" s="57">
        <v>0</v>
      </c>
      <c r="H59" s="57">
        <v>10</v>
      </c>
      <c r="I59" s="57">
        <v>10</v>
      </c>
      <c r="J59" s="57">
        <v>10</v>
      </c>
      <c r="K59" s="57">
        <v>15</v>
      </c>
      <c r="L59" s="57">
        <v>23</v>
      </c>
      <c r="M59" s="65">
        <v>23</v>
      </c>
      <c r="N59" s="65">
        <v>23</v>
      </c>
      <c r="O59" s="65">
        <v>23</v>
      </c>
      <c r="P59" s="65">
        <v>15</v>
      </c>
      <c r="Q59" s="65">
        <v>15</v>
      </c>
      <c r="R59" s="65">
        <v>15</v>
      </c>
      <c r="S59" s="65">
        <v>15</v>
      </c>
      <c r="T59" s="65">
        <v>0</v>
      </c>
      <c r="U59" s="65">
        <v>0</v>
      </c>
      <c r="V59" s="65">
        <v>0</v>
      </c>
      <c r="W59" s="65">
        <v>15</v>
      </c>
      <c r="X59" s="45">
        <v>29</v>
      </c>
      <c r="Y59" s="45">
        <v>29</v>
      </c>
      <c r="Z59" s="45">
        <v>29</v>
      </c>
      <c r="AA59" s="45">
        <v>29</v>
      </c>
      <c r="AB59" s="45">
        <v>29</v>
      </c>
      <c r="AC59" s="45">
        <v>0</v>
      </c>
      <c r="AD59" s="45">
        <v>0</v>
      </c>
      <c r="AE59" s="45">
        <v>0</v>
      </c>
      <c r="AF59" s="45">
        <v>0</v>
      </c>
      <c r="AG59" s="55">
        <v>30</v>
      </c>
      <c r="AH59" s="47">
        <f t="shared" si="2"/>
        <v>29</v>
      </c>
      <c r="AI59" s="48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8.9</v>
      </c>
      <c r="T60" s="65">
        <v>5.4</v>
      </c>
      <c r="U60" s="65">
        <v>2.2000000000000002</v>
      </c>
      <c r="V60" s="65">
        <v>0</v>
      </c>
      <c r="W60" s="6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5">
        <v>25</v>
      </c>
      <c r="AH60" s="47">
        <f t="shared" si="2"/>
        <v>8.9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4</v>
      </c>
      <c r="U61" s="65">
        <v>4</v>
      </c>
      <c r="V61" s="65">
        <v>4</v>
      </c>
      <c r="W61" s="65">
        <v>4</v>
      </c>
      <c r="X61" s="65">
        <v>4</v>
      </c>
      <c r="Y61" s="65">
        <v>4</v>
      </c>
      <c r="Z61" s="65">
        <v>4</v>
      </c>
      <c r="AA61" s="65">
        <v>4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</v>
      </c>
      <c r="AI61" s="48">
        <f t="shared" si="3"/>
        <v>4</v>
      </c>
      <c r="AK61" s="50"/>
    </row>
    <row r="62" spans="1:41" x14ac:dyDescent="0.25">
      <c r="A62" s="54" t="s">
        <v>70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5">
        <v>15</v>
      </c>
      <c r="AH62" s="47">
        <f t="shared" si="2"/>
        <v>0</v>
      </c>
      <c r="AI62" s="48">
        <f t="shared" si="3"/>
        <v>0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12.1</v>
      </c>
      <c r="C63" s="65">
        <v>12.1</v>
      </c>
      <c r="D63" s="65">
        <v>12.1</v>
      </c>
      <c r="E63" s="65">
        <v>12.1</v>
      </c>
      <c r="F63" s="65">
        <v>12.1</v>
      </c>
      <c r="G63" s="65">
        <v>12.1</v>
      </c>
      <c r="H63" s="65">
        <v>12.1</v>
      </c>
      <c r="I63" s="65">
        <v>12.1</v>
      </c>
      <c r="J63" s="65">
        <v>12.1</v>
      </c>
      <c r="K63" s="65">
        <v>12.1</v>
      </c>
      <c r="L63" s="65">
        <v>12.1</v>
      </c>
      <c r="M63" s="65">
        <v>11.7</v>
      </c>
      <c r="N63" s="65">
        <v>11.7</v>
      </c>
      <c r="O63" s="65">
        <v>11.7</v>
      </c>
      <c r="P63" s="65">
        <v>11.7</v>
      </c>
      <c r="Q63" s="65">
        <v>11.7</v>
      </c>
      <c r="R63" s="65">
        <v>11.7</v>
      </c>
      <c r="S63" s="65">
        <v>11.7</v>
      </c>
      <c r="T63" s="65">
        <v>11.7</v>
      </c>
      <c r="U63" s="65">
        <v>11.7</v>
      </c>
      <c r="V63" s="65">
        <v>11.7</v>
      </c>
      <c r="W63" s="65">
        <v>11.7</v>
      </c>
      <c r="X63" s="65">
        <v>11.7</v>
      </c>
      <c r="Y63" s="65">
        <v>11.7</v>
      </c>
      <c r="Z63" s="65">
        <v>11.7</v>
      </c>
      <c r="AA63" s="65">
        <v>11.7</v>
      </c>
      <c r="AB63" s="65">
        <v>12.6</v>
      </c>
      <c r="AC63" s="65">
        <v>12.6</v>
      </c>
      <c r="AD63" s="65">
        <v>12.6</v>
      </c>
      <c r="AE63" s="65">
        <v>12.6</v>
      </c>
      <c r="AF63" s="65">
        <v>12.6</v>
      </c>
      <c r="AG63" s="55">
        <v>14.1</v>
      </c>
      <c r="AH63" s="47">
        <f t="shared" si="2"/>
        <v>12.6</v>
      </c>
      <c r="AI63" s="48">
        <f t="shared" si="3"/>
        <v>11.7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6.7</v>
      </c>
      <c r="C64" s="65">
        <v>6.7</v>
      </c>
      <c r="D64" s="65">
        <v>6.7</v>
      </c>
      <c r="E64" s="65">
        <v>6.7</v>
      </c>
      <c r="F64" s="65">
        <v>6.7</v>
      </c>
      <c r="G64" s="65">
        <v>6.7</v>
      </c>
      <c r="H64" s="65">
        <v>6.7</v>
      </c>
      <c r="I64" s="65">
        <v>6.7</v>
      </c>
      <c r="J64" s="65">
        <v>6.7</v>
      </c>
      <c r="K64" s="65">
        <v>6.7</v>
      </c>
      <c r="L64" s="65">
        <v>6.7</v>
      </c>
      <c r="M64" s="65">
        <v>6.7</v>
      </c>
      <c r="N64" s="65">
        <v>6.7</v>
      </c>
      <c r="O64" s="65">
        <v>6.7</v>
      </c>
      <c r="P64" s="65">
        <v>6.7</v>
      </c>
      <c r="Q64" s="65">
        <v>6.7</v>
      </c>
      <c r="R64" s="65">
        <v>6.7</v>
      </c>
      <c r="S64" s="65">
        <v>6.7</v>
      </c>
      <c r="T64" s="65">
        <v>6.7</v>
      </c>
      <c r="U64" s="65">
        <v>6.7</v>
      </c>
      <c r="V64" s="65">
        <v>6.7</v>
      </c>
      <c r="W64" s="65">
        <v>6.7</v>
      </c>
      <c r="X64" s="65">
        <v>6.7</v>
      </c>
      <c r="Y64" s="65">
        <v>6.7</v>
      </c>
      <c r="Z64" s="65">
        <v>6.7</v>
      </c>
      <c r="AA64" s="65">
        <v>6.7</v>
      </c>
      <c r="AB64" s="65">
        <v>6.8</v>
      </c>
      <c r="AC64" s="65">
        <v>6.8</v>
      </c>
      <c r="AD64" s="65">
        <v>6.8</v>
      </c>
      <c r="AE64" s="65">
        <v>6.8</v>
      </c>
      <c r="AF64" s="65">
        <v>6.8</v>
      </c>
      <c r="AG64" s="55">
        <v>14</v>
      </c>
      <c r="AH64" s="47">
        <f t="shared" si="2"/>
        <v>6.8</v>
      </c>
      <c r="AI64" s="48">
        <f t="shared" si="3"/>
        <v>6.7</v>
      </c>
      <c r="AK64" s="50"/>
    </row>
    <row r="65" spans="1:40" x14ac:dyDescent="0.25">
      <c r="A65" s="54" t="s">
        <v>73</v>
      </c>
      <c r="B65" s="65">
        <v>6.3</v>
      </c>
      <c r="C65" s="65">
        <v>6.3</v>
      </c>
      <c r="D65" s="65">
        <v>6.3</v>
      </c>
      <c r="E65" s="65">
        <v>6.3</v>
      </c>
      <c r="F65" s="65">
        <v>6.3</v>
      </c>
      <c r="G65" s="65">
        <v>6.3</v>
      </c>
      <c r="H65" s="65">
        <v>6.3</v>
      </c>
      <c r="I65" s="65">
        <v>6.3</v>
      </c>
      <c r="J65" s="65">
        <v>6.3</v>
      </c>
      <c r="K65" s="65">
        <v>6.3</v>
      </c>
      <c r="L65" s="65">
        <v>6.3</v>
      </c>
      <c r="M65" s="65">
        <v>6.3</v>
      </c>
      <c r="N65" s="65">
        <v>6.3</v>
      </c>
      <c r="O65" s="65">
        <v>6.3</v>
      </c>
      <c r="P65" s="65">
        <v>6.3</v>
      </c>
      <c r="Q65" s="65">
        <v>6.3</v>
      </c>
      <c r="R65" s="65">
        <v>6.3</v>
      </c>
      <c r="S65" s="65">
        <v>6.3</v>
      </c>
      <c r="T65" s="65">
        <v>6.3</v>
      </c>
      <c r="U65" s="65">
        <v>6.3</v>
      </c>
      <c r="V65" s="65">
        <v>6.3</v>
      </c>
      <c r="W65" s="65">
        <v>6.3</v>
      </c>
      <c r="X65" s="65">
        <v>6.3</v>
      </c>
      <c r="Y65" s="65">
        <v>6.3</v>
      </c>
      <c r="Z65" s="65">
        <v>6.3</v>
      </c>
      <c r="AA65" s="65">
        <v>6.3</v>
      </c>
      <c r="AB65" s="65">
        <v>6.3</v>
      </c>
      <c r="AC65" s="65">
        <v>6.3</v>
      </c>
      <c r="AD65" s="65">
        <v>6.3</v>
      </c>
      <c r="AE65" s="65">
        <v>6.3</v>
      </c>
      <c r="AF65" s="65">
        <v>6.3</v>
      </c>
      <c r="AG65" s="55">
        <v>10.050000000000001</v>
      </c>
      <c r="AH65" s="47">
        <f t="shared" si="2"/>
        <v>6.3</v>
      </c>
      <c r="AI65" s="48">
        <f t="shared" si="3"/>
        <v>6.3</v>
      </c>
      <c r="AK65" s="50"/>
    </row>
    <row r="66" spans="1:40" x14ac:dyDescent="0.25">
      <c r="A66" s="54" t="s">
        <v>74</v>
      </c>
      <c r="B66" s="65">
        <v>1.64</v>
      </c>
      <c r="C66" s="65">
        <v>1.64</v>
      </c>
      <c r="D66" s="65">
        <v>1.64</v>
      </c>
      <c r="E66" s="65">
        <v>1.64</v>
      </c>
      <c r="F66" s="65">
        <v>1.64</v>
      </c>
      <c r="G66" s="65">
        <v>1.64</v>
      </c>
      <c r="H66" s="65">
        <v>1.64</v>
      </c>
      <c r="I66" s="65">
        <v>1.64</v>
      </c>
      <c r="J66" s="65">
        <v>1.64</v>
      </c>
      <c r="K66" s="65">
        <v>1.64</v>
      </c>
      <c r="L66" s="65">
        <v>1.64</v>
      </c>
      <c r="M66" s="65">
        <v>1.64</v>
      </c>
      <c r="N66" s="65">
        <v>1.64</v>
      </c>
      <c r="O66" s="65">
        <v>1.64</v>
      </c>
      <c r="P66" s="65">
        <v>1.64</v>
      </c>
      <c r="Q66" s="65">
        <v>1.64</v>
      </c>
      <c r="R66" s="65">
        <v>1.64</v>
      </c>
      <c r="S66" s="65">
        <v>1.64</v>
      </c>
      <c r="T66" s="65">
        <v>1.64</v>
      </c>
      <c r="U66" s="65">
        <v>1.64</v>
      </c>
      <c r="V66" s="65">
        <v>1.64</v>
      </c>
      <c r="W66" s="65">
        <v>1.64</v>
      </c>
      <c r="X66" s="65">
        <v>1.64</v>
      </c>
      <c r="Y66" s="65">
        <v>1.64</v>
      </c>
      <c r="Z66" s="65">
        <v>1.64</v>
      </c>
      <c r="AA66" s="65">
        <v>1.64</v>
      </c>
      <c r="AB66" s="65">
        <v>1.64</v>
      </c>
      <c r="AC66" s="65">
        <v>1.64</v>
      </c>
      <c r="AD66" s="65">
        <v>1.64</v>
      </c>
      <c r="AE66" s="65">
        <v>1.64</v>
      </c>
      <c r="AF66" s="65">
        <v>1.64</v>
      </c>
      <c r="AG66" s="55">
        <v>6.2</v>
      </c>
      <c r="AH66" s="47">
        <f t="shared" si="2"/>
        <v>1.64</v>
      </c>
      <c r="AI66" s="48">
        <f t="shared" si="3"/>
        <v>1.64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4" t="s">
        <v>76</v>
      </c>
      <c r="B68" s="60">
        <f t="shared" ref="B68:AG68" si="20">SUM(B55:B67)</f>
        <v>141.37999999999997</v>
      </c>
      <c r="C68" s="60">
        <f t="shared" si="20"/>
        <v>141.37999999999997</v>
      </c>
      <c r="D68" s="60">
        <f t="shared" si="20"/>
        <v>141.37999999999997</v>
      </c>
      <c r="E68" s="60">
        <f t="shared" si="20"/>
        <v>120.18</v>
      </c>
      <c r="F68" s="60">
        <f t="shared" si="20"/>
        <v>165.27999999999997</v>
      </c>
      <c r="G68" s="60">
        <f t="shared" si="20"/>
        <v>189.87999999999997</v>
      </c>
      <c r="H68" s="60">
        <f t="shared" si="20"/>
        <v>202.27999999999997</v>
      </c>
      <c r="I68" s="60">
        <f t="shared" si="20"/>
        <v>240.97999999999996</v>
      </c>
      <c r="J68" s="60">
        <f t="shared" si="20"/>
        <v>298.08000000000004</v>
      </c>
      <c r="K68" s="60">
        <f t="shared" si="20"/>
        <v>350.18</v>
      </c>
      <c r="L68" s="60">
        <f t="shared" si="20"/>
        <v>392.58000000000004</v>
      </c>
      <c r="M68" s="60">
        <f t="shared" si="20"/>
        <v>400.88</v>
      </c>
      <c r="N68" s="60">
        <f t="shared" si="20"/>
        <v>377.08</v>
      </c>
      <c r="O68" s="60">
        <f t="shared" si="20"/>
        <v>386.38</v>
      </c>
      <c r="P68" s="60">
        <f t="shared" ref="P68" si="21">SUM(P55:P67)</f>
        <v>287.47999999999996</v>
      </c>
      <c r="Q68" s="60">
        <f t="shared" si="20"/>
        <v>229.07999999999996</v>
      </c>
      <c r="R68" s="60">
        <f t="shared" si="20"/>
        <v>184.07999999999996</v>
      </c>
      <c r="S68" s="60">
        <f t="shared" ref="S68:T68" si="22">SUM(S55:S67)</f>
        <v>152.97999999999999</v>
      </c>
      <c r="T68" s="60">
        <f t="shared" si="22"/>
        <v>122.48000000000002</v>
      </c>
      <c r="U68" s="60">
        <f t="shared" ref="U68:V68" si="23">SUM(U55:U67)</f>
        <v>197.17999999999995</v>
      </c>
      <c r="V68" s="60">
        <f t="shared" si="23"/>
        <v>350.68</v>
      </c>
      <c r="W68" s="60">
        <f t="shared" ref="W68:X68" si="24">SUM(W55:W67)</f>
        <v>367.18</v>
      </c>
      <c r="X68" s="60">
        <f t="shared" si="24"/>
        <v>404.97999999999996</v>
      </c>
      <c r="Y68" s="60">
        <f t="shared" ref="Y68:Z68" si="25">SUM(Y55:Y67)</f>
        <v>404.97999999999996</v>
      </c>
      <c r="Z68" s="60">
        <f t="shared" si="25"/>
        <v>404.97999999999996</v>
      </c>
      <c r="AA68" s="60">
        <f t="shared" ref="AA68" si="26">SUM(AA55:AA67)</f>
        <v>404.97999999999996</v>
      </c>
      <c r="AB68" s="60">
        <f t="shared" si="20"/>
        <v>412.38000000000005</v>
      </c>
      <c r="AC68" s="60">
        <f t="shared" si="20"/>
        <v>369.08000000000004</v>
      </c>
      <c r="AD68" s="60">
        <f t="shared" si="20"/>
        <v>327.78000000000003</v>
      </c>
      <c r="AE68" s="60">
        <f t="shared" si="20"/>
        <v>210.88</v>
      </c>
      <c r="AF68" s="60">
        <f t="shared" si="20"/>
        <v>192.48</v>
      </c>
      <c r="AG68" s="61">
        <f t="shared" si="20"/>
        <v>489.91</v>
      </c>
      <c r="AH68" s="47">
        <f t="shared" si="2"/>
        <v>412.38000000000005</v>
      </c>
      <c r="AI68" s="48">
        <f t="shared" si="3"/>
        <v>120.18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>
        <v>28.9</v>
      </c>
      <c r="Z69" s="45">
        <v>0</v>
      </c>
      <c r="AA69" s="45">
        <v>0</v>
      </c>
      <c r="AB69" s="45"/>
      <c r="AC69" s="45"/>
      <c r="AD69" s="45"/>
      <c r="AE69" s="45"/>
      <c r="AF69" s="45"/>
      <c r="AG69" s="52">
        <v>60</v>
      </c>
      <c r="AH69" s="47">
        <f t="shared" si="2"/>
        <v>28.9</v>
      </c>
      <c r="AI69" s="48">
        <f t="shared" si="3"/>
        <v>0</v>
      </c>
      <c r="AK69" s="50"/>
    </row>
    <row r="70" spans="1:40" x14ac:dyDescent="0.25">
      <c r="A70" s="54" t="s">
        <v>78</v>
      </c>
      <c r="B70" s="45"/>
      <c r="C70" s="4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>
        <v>5.6</v>
      </c>
      <c r="Z70" s="65">
        <v>0</v>
      </c>
      <c r="AA70" s="65">
        <v>0</v>
      </c>
      <c r="AB70" s="65"/>
      <c r="AC70" s="65"/>
      <c r="AD70" s="65"/>
      <c r="AE70" s="65"/>
      <c r="AF70" s="65"/>
      <c r="AG70" s="55">
        <v>32</v>
      </c>
      <c r="AH70" s="47">
        <f t="shared" si="2"/>
        <v>5.6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45"/>
      <c r="C71" s="45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>
        <v>1.8</v>
      </c>
      <c r="Z71" s="67">
        <v>0</v>
      </c>
      <c r="AA71" s="67">
        <v>0</v>
      </c>
      <c r="AB71" s="67"/>
      <c r="AC71" s="67"/>
      <c r="AD71" s="67"/>
      <c r="AE71" s="67"/>
      <c r="AF71" s="67"/>
      <c r="AG71" s="68">
        <v>14</v>
      </c>
      <c r="AH71" s="47">
        <f t="shared" si="2"/>
        <v>1.8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 t="shared" ref="B72:AF72" si="27">B69+B70+B71</f>
        <v>0</v>
      </c>
      <c r="C72" s="60">
        <f t="shared" si="27"/>
        <v>0</v>
      </c>
      <c r="D72" s="60">
        <f t="shared" si="27"/>
        <v>0</v>
      </c>
      <c r="E72" s="60">
        <f t="shared" si="27"/>
        <v>0</v>
      </c>
      <c r="F72" s="60">
        <f t="shared" si="27"/>
        <v>0</v>
      </c>
      <c r="G72" s="60">
        <f t="shared" si="27"/>
        <v>0</v>
      </c>
      <c r="H72" s="60">
        <f t="shared" si="27"/>
        <v>0</v>
      </c>
      <c r="I72" s="60">
        <f t="shared" si="27"/>
        <v>0</v>
      </c>
      <c r="J72" s="60">
        <f t="shared" si="27"/>
        <v>0</v>
      </c>
      <c r="K72" s="60">
        <f t="shared" si="27"/>
        <v>0</v>
      </c>
      <c r="L72" s="60">
        <f t="shared" si="27"/>
        <v>0</v>
      </c>
      <c r="M72" s="60">
        <f t="shared" si="27"/>
        <v>0</v>
      </c>
      <c r="N72" s="60">
        <f t="shared" si="27"/>
        <v>0</v>
      </c>
      <c r="O72" s="60">
        <f t="shared" si="27"/>
        <v>0</v>
      </c>
      <c r="P72" s="60">
        <f t="shared" si="27"/>
        <v>0</v>
      </c>
      <c r="Q72" s="60">
        <f t="shared" si="27"/>
        <v>0</v>
      </c>
      <c r="R72" s="60">
        <f t="shared" si="27"/>
        <v>0</v>
      </c>
      <c r="S72" s="60">
        <f t="shared" ref="S72:T72" si="28">S69+S70+S71</f>
        <v>0</v>
      </c>
      <c r="T72" s="60">
        <f t="shared" si="28"/>
        <v>0</v>
      </c>
      <c r="U72" s="60">
        <f t="shared" ref="U72:V72" si="29">U69+U70+U71</f>
        <v>0</v>
      </c>
      <c r="V72" s="60">
        <f t="shared" si="29"/>
        <v>0</v>
      </c>
      <c r="W72" s="60">
        <f t="shared" ref="W72:X72" si="30">W69+W70+W71</f>
        <v>0</v>
      </c>
      <c r="X72" s="60">
        <f t="shared" si="30"/>
        <v>0</v>
      </c>
      <c r="Y72" s="60">
        <f t="shared" ref="Y72:Z72" si="31">Y69+Y70+Y71</f>
        <v>36.299999999999997</v>
      </c>
      <c r="Z72" s="60">
        <f t="shared" si="31"/>
        <v>0</v>
      </c>
      <c r="AA72" s="60">
        <f t="shared" ref="AA72" si="32">AA69+AA70+AA71</f>
        <v>0</v>
      </c>
      <c r="AB72" s="60">
        <f t="shared" si="27"/>
        <v>0</v>
      </c>
      <c r="AC72" s="60">
        <f t="shared" si="27"/>
        <v>0</v>
      </c>
      <c r="AD72" s="60">
        <f t="shared" si="27"/>
        <v>0</v>
      </c>
      <c r="AE72" s="60">
        <f t="shared" si="27"/>
        <v>0</v>
      </c>
      <c r="AF72" s="60">
        <f t="shared" si="27"/>
        <v>0</v>
      </c>
      <c r="AG72" s="61">
        <f>SUM(AG69:AG71)</f>
        <v>106</v>
      </c>
      <c r="AH72" s="47">
        <f t="shared" si="2"/>
        <v>36.299999999999997</v>
      </c>
      <c r="AI72" s="48">
        <f t="shared" si="3"/>
        <v>0</v>
      </c>
      <c r="AK72" s="50"/>
    </row>
    <row r="73" spans="1:40" x14ac:dyDescent="0.25">
      <c r="A73" s="44" t="s">
        <v>81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>
        <v>0</v>
      </c>
      <c r="Z73" s="45">
        <v>12.89</v>
      </c>
      <c r="AA73" s="45">
        <v>12.1</v>
      </c>
      <c r="AB73" s="45">
        <v>11.1</v>
      </c>
      <c r="AC73" s="45">
        <v>10</v>
      </c>
      <c r="AD73" s="45">
        <v>11</v>
      </c>
      <c r="AE73" s="45">
        <v>11</v>
      </c>
      <c r="AF73" s="45">
        <v>12</v>
      </c>
      <c r="AG73" s="52"/>
      <c r="AH73" s="47">
        <f t="shared" si="2"/>
        <v>12.89</v>
      </c>
      <c r="AI73" s="48">
        <f t="shared" si="3"/>
        <v>0</v>
      </c>
      <c r="AK73" s="50"/>
    </row>
    <row r="74" spans="1:40" x14ac:dyDescent="0.25">
      <c r="A74" s="54" t="s">
        <v>82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203</v>
      </c>
      <c r="C75" s="65">
        <v>184</v>
      </c>
      <c r="D75" s="65">
        <v>186</v>
      </c>
      <c r="E75" s="65">
        <v>188.1</v>
      </c>
      <c r="F75" s="65">
        <v>163</v>
      </c>
      <c r="G75" s="65">
        <v>163.1</v>
      </c>
      <c r="H75" s="65">
        <v>187</v>
      </c>
      <c r="I75" s="65">
        <v>209</v>
      </c>
      <c r="J75" s="65">
        <v>185</v>
      </c>
      <c r="K75" s="65">
        <v>188</v>
      </c>
      <c r="L75" s="65">
        <v>88</v>
      </c>
      <c r="M75" s="65">
        <v>6</v>
      </c>
      <c r="N75" s="65">
        <v>36</v>
      </c>
      <c r="O75" s="65">
        <v>86</v>
      </c>
      <c r="P75" s="65">
        <v>243</v>
      </c>
      <c r="Q75" s="65">
        <v>242</v>
      </c>
      <c r="R75" s="65">
        <v>247</v>
      </c>
      <c r="S75" s="65">
        <v>248</v>
      </c>
      <c r="T75" s="65">
        <v>245.5</v>
      </c>
      <c r="U75" s="65">
        <v>231.2</v>
      </c>
      <c r="V75" s="65">
        <v>83.6</v>
      </c>
      <c r="W75" s="65">
        <v>8.9</v>
      </c>
      <c r="X75" s="65">
        <v>4.7</v>
      </c>
      <c r="Y75" s="65">
        <v>-5.2</v>
      </c>
      <c r="Z75" s="65">
        <v>12.2</v>
      </c>
      <c r="AA75" s="65">
        <v>80.3</v>
      </c>
      <c r="AB75" s="65">
        <v>135</v>
      </c>
      <c r="AC75" s="65">
        <v>142</v>
      </c>
      <c r="AD75" s="65">
        <v>144</v>
      </c>
      <c r="AE75" s="65">
        <v>135</v>
      </c>
      <c r="AF75" s="65">
        <v>125</v>
      </c>
      <c r="AG75" s="75"/>
      <c r="AH75" s="47">
        <f t="shared" si="2"/>
        <v>248</v>
      </c>
      <c r="AI75" s="48">
        <f t="shared" si="3"/>
        <v>-5.2</v>
      </c>
      <c r="AK75" s="50"/>
    </row>
    <row r="76" spans="1:40" x14ac:dyDescent="0.25">
      <c r="A76" s="54" t="s">
        <v>84</v>
      </c>
      <c r="B76" s="65"/>
      <c r="C76" s="65"/>
      <c r="D76" s="65"/>
      <c r="E76" s="76"/>
      <c r="F76" s="76"/>
      <c r="G76" s="76"/>
      <c r="H76" s="76"/>
      <c r="I76" s="76"/>
      <c r="J76" s="45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65"/>
      <c r="AE76" s="76"/>
      <c r="AF76" s="76"/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/>
      <c r="C77" s="45"/>
      <c r="D77" s="65"/>
      <c r="E77" s="45"/>
      <c r="F77" s="45"/>
      <c r="G77" s="45"/>
      <c r="H77" s="45"/>
      <c r="I77" s="45"/>
      <c r="J77" s="76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2" si="33">MAX(B77:AF77)</f>
        <v>0</v>
      </c>
      <c r="AI77" s="48">
        <f t="shared" ref="AI77:AI122" si="34">MIN(B77:AF77)</f>
        <v>0</v>
      </c>
      <c r="AK77" s="50"/>
    </row>
    <row r="78" spans="1:40" x14ac:dyDescent="0.25">
      <c r="A78" s="54" t="s">
        <v>86</v>
      </c>
      <c r="B78" s="45"/>
      <c r="C78" s="77"/>
      <c r="D78" s="65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33"/>
        <v>0</v>
      </c>
      <c r="AI78" s="48">
        <f t="shared" si="34"/>
        <v>0</v>
      </c>
      <c r="AK78" s="50"/>
    </row>
    <row r="79" spans="1:40" ht="15.75" thickBot="1" x14ac:dyDescent="0.3">
      <c r="A79" s="54" t="s">
        <v>87</v>
      </c>
      <c r="B79" s="45"/>
      <c r="C79" s="77"/>
      <c r="D79" s="65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33"/>
        <v>0</v>
      </c>
      <c r="AI79" s="48">
        <f t="shared" si="34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/>
      <c r="C80" s="77"/>
      <c r="D80" s="65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33"/>
        <v>0</v>
      </c>
      <c r="AI80" s="48">
        <f t="shared" si="34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/>
      <c r="C81" s="77"/>
      <c r="D81" s="65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33"/>
        <v>0</v>
      </c>
      <c r="AI81" s="48">
        <f t="shared" si="34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/>
      <c r="C82" s="77"/>
      <c r="D82" s="65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33"/>
        <v>0</v>
      </c>
      <c r="AI82" s="48">
        <f t="shared" si="34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/>
      <c r="C83" s="77"/>
      <c r="D83" s="65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33"/>
        <v>0</v>
      </c>
      <c r="AI83" s="48">
        <f t="shared" si="34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AF84" si="35">SUMIF(B73:B83,"&gt;0")</f>
        <v>203</v>
      </c>
      <c r="C84" s="60">
        <f t="shared" si="35"/>
        <v>184</v>
      </c>
      <c r="D84" s="60">
        <f t="shared" si="35"/>
        <v>186</v>
      </c>
      <c r="E84" s="60">
        <f t="shared" si="35"/>
        <v>188.1</v>
      </c>
      <c r="F84" s="60">
        <f t="shared" si="35"/>
        <v>163</v>
      </c>
      <c r="G84" s="60">
        <f t="shared" si="35"/>
        <v>163.1</v>
      </c>
      <c r="H84" s="60">
        <f t="shared" si="35"/>
        <v>187</v>
      </c>
      <c r="I84" s="60">
        <f t="shared" si="35"/>
        <v>209</v>
      </c>
      <c r="J84" s="60">
        <f t="shared" si="35"/>
        <v>185</v>
      </c>
      <c r="K84" s="60">
        <f t="shared" si="35"/>
        <v>188</v>
      </c>
      <c r="L84" s="60">
        <f t="shared" si="35"/>
        <v>88</v>
      </c>
      <c r="M84" s="60">
        <f t="shared" si="35"/>
        <v>6</v>
      </c>
      <c r="N84" s="60">
        <f t="shared" si="35"/>
        <v>36</v>
      </c>
      <c r="O84" s="60">
        <f t="shared" si="35"/>
        <v>86</v>
      </c>
      <c r="P84" s="60">
        <f t="shared" si="35"/>
        <v>243</v>
      </c>
      <c r="Q84" s="60">
        <f t="shared" si="35"/>
        <v>242</v>
      </c>
      <c r="R84" s="60">
        <f t="shared" si="35"/>
        <v>247</v>
      </c>
      <c r="S84" s="60">
        <f t="shared" ref="S84:T84" si="36">SUMIF(S73:S83,"&gt;0")</f>
        <v>248</v>
      </c>
      <c r="T84" s="60">
        <f t="shared" si="36"/>
        <v>245.5</v>
      </c>
      <c r="U84" s="60">
        <f t="shared" ref="U84:V84" si="37">SUMIF(U73:U83,"&gt;0")</f>
        <v>231.2</v>
      </c>
      <c r="V84" s="60">
        <f t="shared" si="37"/>
        <v>83.6</v>
      </c>
      <c r="W84" s="60">
        <f t="shared" ref="W84:X84" si="38">SUMIF(W73:W83,"&gt;0")</f>
        <v>8.9</v>
      </c>
      <c r="X84" s="60">
        <f t="shared" si="38"/>
        <v>4.7</v>
      </c>
      <c r="Y84" s="60">
        <f t="shared" ref="Y84:Z84" si="39">SUMIF(Y73:Y83,"&gt;0")</f>
        <v>0</v>
      </c>
      <c r="Z84" s="60">
        <f t="shared" si="39"/>
        <v>25.09</v>
      </c>
      <c r="AA84" s="60">
        <f t="shared" ref="AA84" si="40">SUMIF(AA73:AA83,"&gt;0")</f>
        <v>92.399999999999991</v>
      </c>
      <c r="AB84" s="60">
        <f t="shared" si="35"/>
        <v>146.1</v>
      </c>
      <c r="AC84" s="60">
        <f t="shared" si="35"/>
        <v>152</v>
      </c>
      <c r="AD84" s="60">
        <f t="shared" si="35"/>
        <v>155</v>
      </c>
      <c r="AE84" s="60">
        <f t="shared" si="35"/>
        <v>146</v>
      </c>
      <c r="AF84" s="60">
        <f t="shared" si="35"/>
        <v>137</v>
      </c>
      <c r="AG84" s="88">
        <f>SUM(AG73:AG83)</f>
        <v>0</v>
      </c>
      <c r="AH84" s="47">
        <f t="shared" si="33"/>
        <v>248</v>
      </c>
      <c r="AI84" s="48">
        <f t="shared" si="34"/>
        <v>0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33"/>
        <v>0</v>
      </c>
      <c r="AI85" s="48">
        <f t="shared" si="34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33"/>
        <v>0</v>
      </c>
      <c r="AI86" s="48">
        <f t="shared" si="34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33"/>
        <v>0</v>
      </c>
      <c r="AI87" s="48">
        <f t="shared" si="34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33"/>
        <v>0</v>
      </c>
      <c r="AI88" s="48">
        <f t="shared" si="34"/>
        <v>0</v>
      </c>
    </row>
    <row r="89" spans="1:40" ht="15.75" thickBot="1" x14ac:dyDescent="0.3">
      <c r="A89" s="74" t="s">
        <v>100</v>
      </c>
      <c r="B89" s="95">
        <f t="shared" ref="B89:AG89" si="41">B50+B54+B72+B68+B84+B88</f>
        <v>1100.98</v>
      </c>
      <c r="C89" s="95">
        <f t="shared" si="41"/>
        <v>1066.98</v>
      </c>
      <c r="D89" s="95">
        <f t="shared" si="41"/>
        <v>1068.98</v>
      </c>
      <c r="E89" s="95">
        <f t="shared" si="41"/>
        <v>1053.48</v>
      </c>
      <c r="F89" s="95">
        <f t="shared" si="41"/>
        <v>1079.58</v>
      </c>
      <c r="G89" s="95">
        <f t="shared" si="41"/>
        <v>1122.58</v>
      </c>
      <c r="H89" s="95">
        <f t="shared" si="41"/>
        <v>1163.8800000000001</v>
      </c>
      <c r="I89" s="95">
        <f t="shared" si="41"/>
        <v>1265.28</v>
      </c>
      <c r="J89" s="95">
        <f t="shared" si="41"/>
        <v>1400.38</v>
      </c>
      <c r="K89" s="95">
        <f t="shared" si="41"/>
        <v>1425.48</v>
      </c>
      <c r="L89" s="95">
        <f t="shared" si="41"/>
        <v>1457.88</v>
      </c>
      <c r="M89" s="95">
        <f t="shared" si="41"/>
        <v>1511.4299999999998</v>
      </c>
      <c r="N89" s="95">
        <f t="shared" si="41"/>
        <v>1517.6299999999999</v>
      </c>
      <c r="O89" s="95">
        <f t="shared" si="41"/>
        <v>1516.9299999999998</v>
      </c>
      <c r="P89" s="95">
        <f t="shared" si="41"/>
        <v>1365.03</v>
      </c>
      <c r="Q89" s="95">
        <f t="shared" si="41"/>
        <v>1235.4299999999998</v>
      </c>
      <c r="R89" s="95">
        <f t="shared" si="41"/>
        <v>1175.4299999999998</v>
      </c>
      <c r="S89" s="95">
        <f t="shared" ref="S89:T89" si="42">S50+S54+S72+S68+S84+S88</f>
        <v>1145.33</v>
      </c>
      <c r="T89" s="95">
        <f t="shared" si="42"/>
        <v>1112.33</v>
      </c>
      <c r="U89" s="95">
        <f t="shared" ref="U89:V89" si="43">U50+U54+U72+U68+U84+U88</f>
        <v>1172.73</v>
      </c>
      <c r="V89" s="95">
        <f t="shared" si="43"/>
        <v>1297.1299999999999</v>
      </c>
      <c r="W89" s="95">
        <f t="shared" ref="W89:X89" si="44">W50+W54+W72+W68+W84+W88</f>
        <v>1445.2300000000002</v>
      </c>
      <c r="X89" s="95">
        <f t="shared" si="44"/>
        <v>1608.3300000000002</v>
      </c>
      <c r="Y89" s="95">
        <f t="shared" ref="Y89:Z89" si="45">Y50+Y54+Y72+Y68+Y84+Y88</f>
        <v>1573.93</v>
      </c>
      <c r="Z89" s="95">
        <f t="shared" si="45"/>
        <v>1457.72</v>
      </c>
      <c r="AA89" s="95">
        <f t="shared" ref="AA89" si="46">AA50+AA54+AA72+AA68+AA84+AA88</f>
        <v>1430.03</v>
      </c>
      <c r="AB89" s="95">
        <f t="shared" si="41"/>
        <v>1467.68</v>
      </c>
      <c r="AC89" s="95">
        <f t="shared" si="41"/>
        <v>1377.38</v>
      </c>
      <c r="AD89" s="95">
        <f t="shared" si="41"/>
        <v>1301.98</v>
      </c>
      <c r="AE89" s="95">
        <f t="shared" si="41"/>
        <v>1099.18</v>
      </c>
      <c r="AF89" s="95">
        <f t="shared" si="41"/>
        <v>1071.54</v>
      </c>
      <c r="AG89" s="61">
        <f t="shared" si="41"/>
        <v>2111.5500000000002</v>
      </c>
      <c r="AH89" s="47">
        <f t="shared" si="33"/>
        <v>1608.3300000000002</v>
      </c>
      <c r="AI89" s="48">
        <f t="shared" si="34"/>
        <v>1053.48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>
        <v>80</v>
      </c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>
        <v>100</v>
      </c>
      <c r="Y90" s="97">
        <v>100</v>
      </c>
      <c r="Z90" s="97">
        <v>101</v>
      </c>
      <c r="AA90" s="97">
        <v>102</v>
      </c>
      <c r="AB90" s="97"/>
      <c r="AC90" s="97"/>
      <c r="AD90" s="97"/>
      <c r="AE90" s="97"/>
      <c r="AF90" s="97"/>
      <c r="AG90" s="88"/>
      <c r="AH90" s="47">
        <f t="shared" si="33"/>
        <v>102</v>
      </c>
      <c r="AI90" s="48">
        <f t="shared" si="34"/>
        <v>80</v>
      </c>
    </row>
    <row r="91" spans="1:40" ht="15.75" thickBot="1" x14ac:dyDescent="0.3">
      <c r="A91" s="74" t="s">
        <v>102</v>
      </c>
      <c r="B91" s="95">
        <f t="shared" ref="B91:AF91" si="47">B89+B90</f>
        <v>1100.98</v>
      </c>
      <c r="C91" s="95">
        <f t="shared" si="47"/>
        <v>1066.98</v>
      </c>
      <c r="D91" s="95">
        <f t="shared" si="47"/>
        <v>1068.98</v>
      </c>
      <c r="E91" s="95">
        <f t="shared" si="47"/>
        <v>1053.48</v>
      </c>
      <c r="F91" s="95">
        <f t="shared" si="47"/>
        <v>1079.58</v>
      </c>
      <c r="G91" s="95">
        <f t="shared" si="47"/>
        <v>1122.58</v>
      </c>
      <c r="H91" s="95">
        <f t="shared" si="47"/>
        <v>1163.8800000000001</v>
      </c>
      <c r="I91" s="95">
        <f t="shared" si="47"/>
        <v>1265.28</v>
      </c>
      <c r="J91" s="95">
        <f t="shared" si="47"/>
        <v>1400.38</v>
      </c>
      <c r="K91" s="95">
        <f t="shared" si="47"/>
        <v>1425.48</v>
      </c>
      <c r="L91" s="95">
        <f t="shared" si="47"/>
        <v>1537.88</v>
      </c>
      <c r="M91" s="95">
        <f t="shared" si="47"/>
        <v>1511.4299999999998</v>
      </c>
      <c r="N91" s="95">
        <f t="shared" si="47"/>
        <v>1517.6299999999999</v>
      </c>
      <c r="O91" s="95">
        <f t="shared" si="47"/>
        <v>1516.9299999999998</v>
      </c>
      <c r="P91" s="95">
        <f t="shared" si="47"/>
        <v>1365.03</v>
      </c>
      <c r="Q91" s="95">
        <f t="shared" si="47"/>
        <v>1235.4299999999998</v>
      </c>
      <c r="R91" s="95">
        <f t="shared" si="47"/>
        <v>1175.4299999999998</v>
      </c>
      <c r="S91" s="95">
        <f t="shared" ref="S91:T91" si="48">S89+S90</f>
        <v>1145.33</v>
      </c>
      <c r="T91" s="95">
        <f t="shared" si="48"/>
        <v>1112.33</v>
      </c>
      <c r="U91" s="95">
        <f t="shared" ref="U91:V91" si="49">U89+U90</f>
        <v>1172.73</v>
      </c>
      <c r="V91" s="95">
        <f t="shared" si="49"/>
        <v>1297.1299999999999</v>
      </c>
      <c r="W91" s="95">
        <f t="shared" ref="W91:X91" si="50">W89+W90</f>
        <v>1445.2300000000002</v>
      </c>
      <c r="X91" s="95">
        <f t="shared" si="50"/>
        <v>1708.3300000000002</v>
      </c>
      <c r="Y91" s="95">
        <f t="shared" ref="Y91:Z91" si="51">Y89+Y90</f>
        <v>1673.93</v>
      </c>
      <c r="Z91" s="95">
        <f t="shared" si="51"/>
        <v>1558.72</v>
      </c>
      <c r="AA91" s="95">
        <f t="shared" ref="AA91" si="52">AA89+AA90</f>
        <v>1532.03</v>
      </c>
      <c r="AB91" s="95">
        <f t="shared" si="47"/>
        <v>1467.68</v>
      </c>
      <c r="AC91" s="95">
        <f t="shared" si="47"/>
        <v>1377.38</v>
      </c>
      <c r="AD91" s="95">
        <f t="shared" si="47"/>
        <v>1301.98</v>
      </c>
      <c r="AE91" s="95">
        <f t="shared" si="47"/>
        <v>1099.18</v>
      </c>
      <c r="AF91" s="95">
        <f t="shared" si="47"/>
        <v>1071.54</v>
      </c>
      <c r="AG91" s="88">
        <f>AG88+AG84+AG72+AG68+AG50+AG90</f>
        <v>1573.45</v>
      </c>
      <c r="AH91" s="47">
        <f t="shared" si="33"/>
        <v>1708.3300000000002</v>
      </c>
      <c r="AI91" s="48">
        <f t="shared" si="34"/>
        <v>1053.48</v>
      </c>
    </row>
    <row r="92" spans="1:40" ht="15.75" thickBot="1" x14ac:dyDescent="0.3">
      <c r="A92" s="74" t="s">
        <v>103</v>
      </c>
      <c r="B92" s="95">
        <f>B91-(-B99)</f>
        <v>1100.98</v>
      </c>
      <c r="C92" s="95">
        <f t="shared" ref="C92:AF92" si="53">C91-(-C99)</f>
        <v>1066.98</v>
      </c>
      <c r="D92" s="95">
        <f t="shared" si="53"/>
        <v>1068.98</v>
      </c>
      <c r="E92" s="95">
        <f t="shared" si="53"/>
        <v>1053.48</v>
      </c>
      <c r="F92" s="95">
        <f t="shared" si="53"/>
        <v>1079.58</v>
      </c>
      <c r="G92" s="95">
        <f t="shared" si="53"/>
        <v>1122.58</v>
      </c>
      <c r="H92" s="95">
        <f t="shared" si="53"/>
        <v>1163.8800000000001</v>
      </c>
      <c r="I92" s="95">
        <f t="shared" si="53"/>
        <v>1265.28</v>
      </c>
      <c r="J92" s="95">
        <f t="shared" si="53"/>
        <v>1400.38</v>
      </c>
      <c r="K92" s="95">
        <f t="shared" si="53"/>
        <v>1425.48</v>
      </c>
      <c r="L92" s="95">
        <f t="shared" si="53"/>
        <v>1537.88</v>
      </c>
      <c r="M92" s="95">
        <f t="shared" si="53"/>
        <v>1511.4299999999998</v>
      </c>
      <c r="N92" s="95">
        <f t="shared" si="53"/>
        <v>1517.6299999999999</v>
      </c>
      <c r="O92" s="95">
        <f t="shared" si="53"/>
        <v>1516.9299999999998</v>
      </c>
      <c r="P92" s="95">
        <f t="shared" si="53"/>
        <v>1365.03</v>
      </c>
      <c r="Q92" s="95">
        <f t="shared" si="53"/>
        <v>1235.4299999999998</v>
      </c>
      <c r="R92" s="95">
        <f t="shared" si="53"/>
        <v>1175.4299999999998</v>
      </c>
      <c r="S92" s="95">
        <f t="shared" ref="S92:T92" si="54">S91-(-S99)</f>
        <v>1145.33</v>
      </c>
      <c r="T92" s="95">
        <f t="shared" si="54"/>
        <v>1112.33</v>
      </c>
      <c r="U92" s="95">
        <f t="shared" ref="U92:V92" si="55">U91-(-U99)</f>
        <v>1172.73</v>
      </c>
      <c r="V92" s="95">
        <f t="shared" si="55"/>
        <v>1297.1299999999999</v>
      </c>
      <c r="W92" s="95">
        <f t="shared" ref="W92:X92" si="56">W91-(-W99)</f>
        <v>1445.2300000000002</v>
      </c>
      <c r="X92" s="95">
        <f t="shared" si="56"/>
        <v>1708.3300000000002</v>
      </c>
      <c r="Y92" s="95">
        <f t="shared" ref="Y92:Z92" si="57">Y91-(-Y99)</f>
        <v>1673.93</v>
      </c>
      <c r="Z92" s="95">
        <f t="shared" si="57"/>
        <v>1558.72</v>
      </c>
      <c r="AA92" s="95">
        <f t="shared" ref="AA92" si="58">AA91-(-AA99)</f>
        <v>1532.03</v>
      </c>
      <c r="AB92" s="95">
        <f t="shared" si="53"/>
        <v>1467.68</v>
      </c>
      <c r="AC92" s="95">
        <f t="shared" si="53"/>
        <v>1377.38</v>
      </c>
      <c r="AD92" s="95">
        <f t="shared" si="53"/>
        <v>1301.98</v>
      </c>
      <c r="AE92" s="95">
        <f t="shared" si="53"/>
        <v>1099.18</v>
      </c>
      <c r="AF92" s="95">
        <f t="shared" si="53"/>
        <v>1071.54</v>
      </c>
      <c r="AG92" s="88"/>
      <c r="AH92" s="47">
        <f t="shared" si="33"/>
        <v>1708.3300000000002</v>
      </c>
      <c r="AI92" s="48">
        <f t="shared" si="34"/>
        <v>1053.48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33"/>
        <v>0</v>
      </c>
      <c r="AI93" s="48">
        <f t="shared" si="34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33"/>
        <v>0</v>
      </c>
      <c r="AI94" s="48">
        <f t="shared" si="34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33"/>
        <v>0</v>
      </c>
      <c r="AI95" s="48">
        <f t="shared" si="34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33"/>
        <v>0</v>
      </c>
      <c r="AI96" s="48">
        <f t="shared" si="34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33"/>
        <v>0</v>
      </c>
      <c r="AI97" s="48">
        <f t="shared" si="34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33"/>
        <v>0</v>
      </c>
      <c r="AI98" s="48">
        <f t="shared" si="34"/>
        <v>0</v>
      </c>
    </row>
    <row r="99" spans="1:37" ht="15.75" thickBot="1" x14ac:dyDescent="0.3">
      <c r="A99" s="99" t="s">
        <v>107</v>
      </c>
      <c r="B99" s="60">
        <f t="shared" ref="B99:AF99" si="59">IF(B84&lt;0,B75+B73,0)</f>
        <v>0</v>
      </c>
      <c r="C99" s="60">
        <f t="shared" si="59"/>
        <v>0</v>
      </c>
      <c r="D99" s="60">
        <f t="shared" si="59"/>
        <v>0</v>
      </c>
      <c r="E99" s="60">
        <f t="shared" si="59"/>
        <v>0</v>
      </c>
      <c r="F99" s="60">
        <f t="shared" si="59"/>
        <v>0</v>
      </c>
      <c r="G99" s="60">
        <f t="shared" si="59"/>
        <v>0</v>
      </c>
      <c r="H99" s="60">
        <f t="shared" si="59"/>
        <v>0</v>
      </c>
      <c r="I99" s="60">
        <f t="shared" si="59"/>
        <v>0</v>
      </c>
      <c r="J99" s="60">
        <f t="shared" si="59"/>
        <v>0</v>
      </c>
      <c r="K99" s="60">
        <f t="shared" si="59"/>
        <v>0</v>
      </c>
      <c r="L99" s="60">
        <f t="shared" si="59"/>
        <v>0</v>
      </c>
      <c r="M99" s="60">
        <f t="shared" si="59"/>
        <v>0</v>
      </c>
      <c r="N99" s="60">
        <f t="shared" si="59"/>
        <v>0</v>
      </c>
      <c r="O99" s="60">
        <f t="shared" si="59"/>
        <v>0</v>
      </c>
      <c r="P99" s="60">
        <f t="shared" si="59"/>
        <v>0</v>
      </c>
      <c r="Q99" s="60">
        <f t="shared" si="59"/>
        <v>0</v>
      </c>
      <c r="R99" s="60">
        <f t="shared" si="59"/>
        <v>0</v>
      </c>
      <c r="S99" s="60">
        <f t="shared" ref="S99:T99" si="60">IF(S84&lt;0,S75+S73,0)</f>
        <v>0</v>
      </c>
      <c r="T99" s="60">
        <f t="shared" si="60"/>
        <v>0</v>
      </c>
      <c r="U99" s="60">
        <f t="shared" ref="U99:V99" si="61">IF(U84&lt;0,U75+U73,0)</f>
        <v>0</v>
      </c>
      <c r="V99" s="60">
        <f t="shared" si="61"/>
        <v>0</v>
      </c>
      <c r="W99" s="60">
        <f t="shared" ref="W99:X99" si="62">IF(W84&lt;0,W75+W73,0)</f>
        <v>0</v>
      </c>
      <c r="X99" s="60">
        <f t="shared" si="62"/>
        <v>0</v>
      </c>
      <c r="Y99" s="60">
        <f t="shared" ref="Y99:Z99" si="63">IF(Y84&lt;0,Y75+Y73,0)</f>
        <v>0</v>
      </c>
      <c r="Z99" s="60">
        <f t="shared" si="63"/>
        <v>0</v>
      </c>
      <c r="AA99" s="60">
        <f t="shared" ref="AA99" si="64">IF(AA84&lt;0,AA75+AA73,0)</f>
        <v>0</v>
      </c>
      <c r="AB99" s="60">
        <f t="shared" si="59"/>
        <v>0</v>
      </c>
      <c r="AC99" s="60">
        <f t="shared" si="59"/>
        <v>0</v>
      </c>
      <c r="AD99" s="60">
        <f t="shared" si="59"/>
        <v>0</v>
      </c>
      <c r="AE99" s="60">
        <f t="shared" si="59"/>
        <v>0</v>
      </c>
      <c r="AF99" s="60">
        <f t="shared" si="59"/>
        <v>0</v>
      </c>
      <c r="AG99" s="88"/>
      <c r="AH99" s="47">
        <f t="shared" si="33"/>
        <v>0</v>
      </c>
      <c r="AI99" s="48">
        <f t="shared" si="34"/>
        <v>0</v>
      </c>
      <c r="AK99" s="50"/>
    </row>
    <row r="100" spans="1:37" ht="15.75" thickBot="1" x14ac:dyDescent="0.3">
      <c r="A100" s="74" t="s">
        <v>108</v>
      </c>
      <c r="B100" s="60">
        <f t="shared" ref="B100:AF100" si="65">B84-B99</f>
        <v>203</v>
      </c>
      <c r="C100" s="60">
        <f t="shared" si="65"/>
        <v>184</v>
      </c>
      <c r="D100" s="60">
        <f t="shared" si="65"/>
        <v>186</v>
      </c>
      <c r="E100" s="60">
        <f t="shared" si="65"/>
        <v>188.1</v>
      </c>
      <c r="F100" s="60">
        <f t="shared" si="65"/>
        <v>163</v>
      </c>
      <c r="G100" s="60">
        <f t="shared" si="65"/>
        <v>163.1</v>
      </c>
      <c r="H100" s="60">
        <f t="shared" si="65"/>
        <v>187</v>
      </c>
      <c r="I100" s="60">
        <f t="shared" si="65"/>
        <v>209</v>
      </c>
      <c r="J100" s="60">
        <f t="shared" si="65"/>
        <v>185</v>
      </c>
      <c r="K100" s="60">
        <f t="shared" si="65"/>
        <v>188</v>
      </c>
      <c r="L100" s="60">
        <f t="shared" si="65"/>
        <v>88</v>
      </c>
      <c r="M100" s="60">
        <f t="shared" si="65"/>
        <v>6</v>
      </c>
      <c r="N100" s="60">
        <f t="shared" si="65"/>
        <v>36</v>
      </c>
      <c r="O100" s="60">
        <f t="shared" si="65"/>
        <v>86</v>
      </c>
      <c r="P100" s="60">
        <f t="shared" si="65"/>
        <v>243</v>
      </c>
      <c r="Q100" s="60">
        <f t="shared" si="65"/>
        <v>242</v>
      </c>
      <c r="R100" s="60">
        <f t="shared" si="65"/>
        <v>247</v>
      </c>
      <c r="S100" s="60">
        <f t="shared" ref="S100:T100" si="66">S84-S99</f>
        <v>248</v>
      </c>
      <c r="T100" s="60">
        <f t="shared" si="66"/>
        <v>245.5</v>
      </c>
      <c r="U100" s="60">
        <f t="shared" ref="U100:V100" si="67">U84-U99</f>
        <v>231.2</v>
      </c>
      <c r="V100" s="60">
        <f t="shared" si="67"/>
        <v>83.6</v>
      </c>
      <c r="W100" s="60">
        <f t="shared" ref="W100:X100" si="68">W84-W99</f>
        <v>8.9</v>
      </c>
      <c r="X100" s="60">
        <f t="shared" si="68"/>
        <v>4.7</v>
      </c>
      <c r="Y100" s="60">
        <f t="shared" ref="Y100:Z100" si="69">Y84-Y99</f>
        <v>0</v>
      </c>
      <c r="Z100" s="60">
        <f t="shared" si="69"/>
        <v>25.09</v>
      </c>
      <c r="AA100" s="60">
        <f t="shared" ref="AA100" si="70">AA84-AA99</f>
        <v>92.399999999999991</v>
      </c>
      <c r="AB100" s="60">
        <f t="shared" si="65"/>
        <v>146.1</v>
      </c>
      <c r="AC100" s="60">
        <f t="shared" si="65"/>
        <v>152</v>
      </c>
      <c r="AD100" s="60">
        <f t="shared" si="65"/>
        <v>155</v>
      </c>
      <c r="AE100" s="60">
        <f t="shared" si="65"/>
        <v>146</v>
      </c>
      <c r="AF100" s="60">
        <f t="shared" si="65"/>
        <v>137</v>
      </c>
      <c r="AG100" s="88"/>
      <c r="AH100" s="47">
        <f t="shared" si="33"/>
        <v>248</v>
      </c>
      <c r="AI100" s="48">
        <f t="shared" si="34"/>
        <v>0</v>
      </c>
    </row>
    <row r="101" spans="1:37" x14ac:dyDescent="0.25">
      <c r="A101" s="100" t="s">
        <v>109</v>
      </c>
      <c r="B101" s="101">
        <v>49.994</v>
      </c>
      <c r="C101" s="101">
        <v>49.947000000000003</v>
      </c>
      <c r="D101" s="101">
        <v>50.006999999999998</v>
      </c>
      <c r="E101" s="101">
        <v>49.981000000000002</v>
      </c>
      <c r="F101" s="101">
        <v>49.935000000000002</v>
      </c>
      <c r="G101" s="101">
        <v>49.892000000000003</v>
      </c>
      <c r="H101" s="101">
        <v>49.948999999999998</v>
      </c>
      <c r="I101" s="101">
        <v>50.054000000000002</v>
      </c>
      <c r="J101" s="101">
        <v>50.1</v>
      </c>
      <c r="K101" s="101">
        <v>49.99</v>
      </c>
      <c r="L101" s="101">
        <v>50.048999999999999</v>
      </c>
      <c r="M101" s="101">
        <v>50.122999999999998</v>
      </c>
      <c r="N101" s="101">
        <v>49.981000000000002</v>
      </c>
      <c r="O101" s="101">
        <v>50.036000000000001</v>
      </c>
      <c r="P101" s="101">
        <v>50.018999999999998</v>
      </c>
      <c r="Q101" s="101">
        <v>49.98</v>
      </c>
      <c r="R101" s="101">
        <v>50.084000000000003</v>
      </c>
      <c r="S101" s="101">
        <v>50.03</v>
      </c>
      <c r="T101" s="101">
        <v>49.99</v>
      </c>
      <c r="U101" s="101">
        <v>50.02</v>
      </c>
      <c r="V101" s="101">
        <v>49.92</v>
      </c>
      <c r="W101" s="101">
        <v>49.82</v>
      </c>
      <c r="X101" s="101">
        <v>49.85</v>
      </c>
      <c r="Y101" s="101">
        <v>50</v>
      </c>
      <c r="Z101" s="101">
        <v>50</v>
      </c>
      <c r="AA101" s="101">
        <v>49.96</v>
      </c>
      <c r="AB101" s="101">
        <v>50.051000000000002</v>
      </c>
      <c r="AC101" s="101">
        <v>49.981999999999999</v>
      </c>
      <c r="AD101" s="101">
        <v>50</v>
      </c>
      <c r="AE101" s="101">
        <v>49.963999999999999</v>
      </c>
      <c r="AF101" s="101">
        <v>50</v>
      </c>
      <c r="AG101" s="102"/>
      <c r="AH101" s="47">
        <f t="shared" si="33"/>
        <v>50.122999999999998</v>
      </c>
      <c r="AI101" s="48">
        <f t="shared" si="34"/>
        <v>49.82</v>
      </c>
    </row>
    <row r="102" spans="1:37" x14ac:dyDescent="0.25">
      <c r="A102" s="103" t="s">
        <v>110</v>
      </c>
      <c r="B102" s="65">
        <v>128</v>
      </c>
      <c r="C102" s="65">
        <v>129.19999999999999</v>
      </c>
      <c r="D102" s="65">
        <v>129</v>
      </c>
      <c r="E102" s="65">
        <v>128.19999999999999</v>
      </c>
      <c r="F102" s="65">
        <v>129.1</v>
      </c>
      <c r="G102" s="65">
        <v>128.80000000000001</v>
      </c>
      <c r="H102" s="65">
        <v>128.9</v>
      </c>
      <c r="I102" s="65">
        <v>127.2</v>
      </c>
      <c r="J102" s="65">
        <v>125.3</v>
      </c>
      <c r="K102" s="65">
        <v>126.6</v>
      </c>
      <c r="L102" s="65">
        <v>128</v>
      </c>
      <c r="M102" s="65">
        <v>126.4</v>
      </c>
      <c r="N102" s="65">
        <v>123.8</v>
      </c>
      <c r="O102" s="65">
        <v>124.8</v>
      </c>
      <c r="P102" s="65">
        <v>127.3</v>
      </c>
      <c r="Q102" s="65">
        <v>127.5</v>
      </c>
      <c r="R102" s="65">
        <v>127.6</v>
      </c>
      <c r="S102" s="65">
        <v>126</v>
      </c>
      <c r="T102" s="65">
        <v>126.2</v>
      </c>
      <c r="U102" s="65">
        <v>126.2</v>
      </c>
      <c r="V102" s="65">
        <v>126.5</v>
      </c>
      <c r="W102" s="65">
        <v>126.5</v>
      </c>
      <c r="X102" s="65">
        <v>125.8</v>
      </c>
      <c r="Y102" s="65">
        <v>127.3</v>
      </c>
      <c r="Z102" s="65">
        <v>127.8</v>
      </c>
      <c r="AA102" s="65">
        <v>127.6</v>
      </c>
      <c r="AB102" s="65">
        <v>128</v>
      </c>
      <c r="AC102" s="65">
        <v>128</v>
      </c>
      <c r="AD102" s="65">
        <v>129</v>
      </c>
      <c r="AE102" s="65">
        <v>130</v>
      </c>
      <c r="AF102" s="65">
        <v>130</v>
      </c>
      <c r="AG102" s="104"/>
      <c r="AH102" s="47">
        <f t="shared" si="33"/>
        <v>130</v>
      </c>
      <c r="AI102" s="48">
        <f t="shared" si="34"/>
        <v>123.8</v>
      </c>
    </row>
    <row r="103" spans="1:37" x14ac:dyDescent="0.25">
      <c r="A103" s="103" t="s">
        <v>111</v>
      </c>
      <c r="B103" s="65">
        <v>132.80000000000001</v>
      </c>
      <c r="C103" s="65">
        <v>133.69999999999999</v>
      </c>
      <c r="D103" s="65">
        <v>133.5</v>
      </c>
      <c r="E103" s="65">
        <v>132.80000000000001</v>
      </c>
      <c r="F103" s="65">
        <v>133.4</v>
      </c>
      <c r="G103" s="65">
        <v>133.30000000000001</v>
      </c>
      <c r="H103" s="65">
        <v>132.80000000000001</v>
      </c>
      <c r="I103" s="65">
        <v>131.1</v>
      </c>
      <c r="J103" s="65">
        <v>129.5</v>
      </c>
      <c r="K103" s="65">
        <v>129.30000000000001</v>
      </c>
      <c r="L103" s="65">
        <v>129.80000000000001</v>
      </c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>
        <v>129.6</v>
      </c>
      <c r="AB103" s="65">
        <v>130</v>
      </c>
      <c r="AC103" s="65">
        <v>130</v>
      </c>
      <c r="AD103" s="65">
        <v>131</v>
      </c>
      <c r="AE103" s="65">
        <v>133</v>
      </c>
      <c r="AF103" s="65">
        <v>133</v>
      </c>
      <c r="AG103" s="104"/>
      <c r="AH103" s="47">
        <f t="shared" si="33"/>
        <v>133.69999999999999</v>
      </c>
      <c r="AI103" s="48">
        <f t="shared" si="34"/>
        <v>129.30000000000001</v>
      </c>
    </row>
    <row r="104" spans="1:37" x14ac:dyDescent="0.25">
      <c r="A104" s="103" t="s">
        <v>112</v>
      </c>
      <c r="B104" s="65">
        <v>131.80000000000001</v>
      </c>
      <c r="C104" s="65">
        <v>130.30000000000001</v>
      </c>
      <c r="D104" s="65">
        <v>130</v>
      </c>
      <c r="E104" s="65">
        <v>130</v>
      </c>
      <c r="F104" s="65">
        <v>132.6</v>
      </c>
      <c r="G104" s="65">
        <v>130.6</v>
      </c>
      <c r="H104" s="65">
        <v>130</v>
      </c>
      <c r="I104" s="65">
        <v>127.8</v>
      </c>
      <c r="J104" s="65">
        <v>126.5</v>
      </c>
      <c r="K104" s="65">
        <v>127</v>
      </c>
      <c r="L104" s="65">
        <v>129</v>
      </c>
      <c r="M104" s="65">
        <v>128.4</v>
      </c>
      <c r="N104" s="65">
        <v>129.69999999999999</v>
      </c>
      <c r="O104" s="65">
        <v>129.5</v>
      </c>
      <c r="P104" s="65">
        <v>130.6</v>
      </c>
      <c r="Q104" s="65">
        <v>131.69999999999999</v>
      </c>
      <c r="R104" s="65">
        <v>131.6</v>
      </c>
      <c r="S104" s="65">
        <v>130.69999999999999</v>
      </c>
      <c r="T104" s="65">
        <v>131.6</v>
      </c>
      <c r="U104" s="65">
        <v>131</v>
      </c>
      <c r="V104" s="65">
        <v>128.9</v>
      </c>
      <c r="W104" s="65">
        <v>128.9</v>
      </c>
      <c r="X104" s="65">
        <v>128.69999999999999</v>
      </c>
      <c r="Y104" s="65">
        <v>132.19999999999999</v>
      </c>
      <c r="Z104" s="65">
        <v>131.69999999999999</v>
      </c>
      <c r="AA104" s="65">
        <v>130.80000000000001</v>
      </c>
      <c r="AB104" s="65">
        <v>130.6</v>
      </c>
      <c r="AC104" s="65">
        <v>130.6</v>
      </c>
      <c r="AD104" s="65">
        <v>132</v>
      </c>
      <c r="AE104" s="65">
        <v>130</v>
      </c>
      <c r="AF104" s="65">
        <v>130</v>
      </c>
      <c r="AG104" s="104"/>
      <c r="AH104" s="47">
        <f t="shared" si="33"/>
        <v>132.6</v>
      </c>
      <c r="AI104" s="48">
        <f t="shared" si="34"/>
        <v>126.5</v>
      </c>
    </row>
    <row r="105" spans="1:37" x14ac:dyDescent="0.25">
      <c r="A105" s="105" t="s">
        <v>113</v>
      </c>
      <c r="B105" s="65">
        <v>133.30000000000001</v>
      </c>
      <c r="C105" s="65">
        <v>131.9</v>
      </c>
      <c r="D105" s="65">
        <v>131.5</v>
      </c>
      <c r="E105" s="65">
        <v>132.69999999999999</v>
      </c>
      <c r="F105" s="65">
        <v>133.69999999999999</v>
      </c>
      <c r="G105" s="65">
        <v>132.1</v>
      </c>
      <c r="H105" s="65">
        <v>133.5</v>
      </c>
      <c r="I105" s="65">
        <v>131.19999999999999</v>
      </c>
      <c r="J105" s="65">
        <v>129</v>
      </c>
      <c r="K105" s="65">
        <v>129.5</v>
      </c>
      <c r="L105" s="65">
        <v>130.69999999999999</v>
      </c>
      <c r="M105" s="65">
        <v>131.1</v>
      </c>
      <c r="N105" s="65">
        <v>131.6</v>
      </c>
      <c r="O105" s="65">
        <v>132.1</v>
      </c>
      <c r="P105" s="65">
        <v>131.6</v>
      </c>
      <c r="Q105" s="65">
        <v>131.6</v>
      </c>
      <c r="R105" s="65">
        <v>132.5</v>
      </c>
      <c r="S105" s="65">
        <v>131.69999999999999</v>
      </c>
      <c r="T105" s="65">
        <v>131.80000000000001</v>
      </c>
      <c r="U105" s="65">
        <v>131.1</v>
      </c>
      <c r="V105" s="65">
        <v>129.5</v>
      </c>
      <c r="W105" s="65">
        <v>129.5</v>
      </c>
      <c r="X105" s="65">
        <v>129.5</v>
      </c>
      <c r="Y105" s="65">
        <v>133.5</v>
      </c>
      <c r="Z105" s="65">
        <v>133.80000000000001</v>
      </c>
      <c r="AA105" s="65">
        <v>133.6</v>
      </c>
      <c r="AB105" s="65">
        <v>134</v>
      </c>
      <c r="AC105" s="65">
        <v>134</v>
      </c>
      <c r="AD105" s="65">
        <v>134</v>
      </c>
      <c r="AE105" s="65">
        <v>133</v>
      </c>
      <c r="AF105" s="65">
        <v>133</v>
      </c>
      <c r="AG105" s="104"/>
      <c r="AH105" s="47">
        <f t="shared" si="33"/>
        <v>134</v>
      </c>
      <c r="AI105" s="48">
        <f t="shared" si="34"/>
        <v>129</v>
      </c>
    </row>
    <row r="106" spans="1:37" x14ac:dyDescent="0.25">
      <c r="A106" s="105" t="s">
        <v>114</v>
      </c>
      <c r="B106" s="106">
        <v>133.1</v>
      </c>
      <c r="C106" s="106">
        <v>133.5</v>
      </c>
      <c r="D106" s="106">
        <v>134.6</v>
      </c>
      <c r="E106" s="106">
        <v>133.5</v>
      </c>
      <c r="F106" s="106">
        <v>132.6</v>
      </c>
      <c r="G106" s="106">
        <v>135.30000000000001</v>
      </c>
      <c r="H106" s="106">
        <v>134.9</v>
      </c>
      <c r="I106" s="106">
        <v>133.6</v>
      </c>
      <c r="J106" s="106">
        <v>131.69999999999999</v>
      </c>
      <c r="K106" s="106">
        <v>132.1</v>
      </c>
      <c r="L106" s="106">
        <v>135.5</v>
      </c>
      <c r="M106" s="106">
        <v>135.5</v>
      </c>
      <c r="N106" s="106">
        <v>131.30000000000001</v>
      </c>
      <c r="O106" s="106">
        <v>132.6</v>
      </c>
      <c r="P106" s="106">
        <v>134.4</v>
      </c>
      <c r="Q106" s="106">
        <v>134.30000000000001</v>
      </c>
      <c r="R106" s="106">
        <v>133.6</v>
      </c>
      <c r="S106" s="106">
        <v>132.1</v>
      </c>
      <c r="T106" s="106">
        <v>132.6</v>
      </c>
      <c r="U106" s="106">
        <v>132.4</v>
      </c>
      <c r="V106" s="106">
        <v>132.9</v>
      </c>
      <c r="W106" s="106">
        <v>132.9</v>
      </c>
      <c r="X106" s="106">
        <v>132.9</v>
      </c>
      <c r="Y106" s="106">
        <v>135.69999999999999</v>
      </c>
      <c r="Z106" s="106">
        <v>134.80000000000001</v>
      </c>
      <c r="AA106" s="106">
        <v>135.30000000000001</v>
      </c>
      <c r="AB106" s="106">
        <v>135</v>
      </c>
      <c r="AC106" s="106">
        <v>135</v>
      </c>
      <c r="AD106" s="106">
        <v>136</v>
      </c>
      <c r="AE106" s="106">
        <v>135</v>
      </c>
      <c r="AF106" s="106">
        <v>135</v>
      </c>
      <c r="AG106" s="107"/>
      <c r="AH106" s="47">
        <f t="shared" si="33"/>
        <v>136</v>
      </c>
      <c r="AI106" s="48">
        <f t="shared" si="34"/>
        <v>131.30000000000001</v>
      </c>
    </row>
    <row r="107" spans="1:37" x14ac:dyDescent="0.25">
      <c r="A107" s="103" t="s">
        <v>115</v>
      </c>
      <c r="B107" s="65">
        <v>133.1</v>
      </c>
      <c r="C107" s="65">
        <v>134.5</v>
      </c>
      <c r="D107" s="65">
        <v>135</v>
      </c>
      <c r="E107" s="65">
        <v>133.6</v>
      </c>
      <c r="F107" s="65">
        <v>133</v>
      </c>
      <c r="G107" s="65">
        <v>134.9</v>
      </c>
      <c r="H107" s="65">
        <v>133.9</v>
      </c>
      <c r="I107" s="65">
        <v>132.19999999999999</v>
      </c>
      <c r="J107" s="65">
        <v>128.19999999999999</v>
      </c>
      <c r="K107" s="65">
        <v>128.80000000000001</v>
      </c>
      <c r="L107" s="65">
        <v>133.19999999999999</v>
      </c>
      <c r="M107" s="65">
        <v>134.1</v>
      </c>
      <c r="N107" s="65">
        <v>131</v>
      </c>
      <c r="O107" s="65">
        <v>132.1</v>
      </c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>
        <v>133.80000000000001</v>
      </c>
      <c r="AB107" s="65">
        <v>134</v>
      </c>
      <c r="AC107" s="65">
        <v>134</v>
      </c>
      <c r="AD107" s="65"/>
      <c r="AE107" s="65"/>
      <c r="AF107" s="65"/>
      <c r="AG107" s="104"/>
      <c r="AH107" s="47">
        <f t="shared" si="33"/>
        <v>135</v>
      </c>
      <c r="AI107" s="48">
        <f t="shared" si="34"/>
        <v>128.19999999999999</v>
      </c>
    </row>
    <row r="108" spans="1:37" ht="15.75" thickBot="1" x14ac:dyDescent="0.3">
      <c r="A108" s="103" t="s">
        <v>116</v>
      </c>
      <c r="B108" s="92">
        <v>66.7</v>
      </c>
      <c r="C108" s="92">
        <v>67</v>
      </c>
      <c r="D108" s="92">
        <v>67</v>
      </c>
      <c r="E108" s="92">
        <v>66.8</v>
      </c>
      <c r="F108" s="92">
        <v>67</v>
      </c>
      <c r="G108" s="92">
        <v>66.7</v>
      </c>
      <c r="H108" s="92">
        <v>66.5</v>
      </c>
      <c r="I108" s="92">
        <v>65.8</v>
      </c>
      <c r="J108" s="92">
        <v>64.8</v>
      </c>
      <c r="K108" s="92">
        <v>64.599999999999994</v>
      </c>
      <c r="L108" s="92">
        <v>64.8</v>
      </c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>
        <v>64.900000000000006</v>
      </c>
      <c r="AB108" s="92">
        <v>65</v>
      </c>
      <c r="AC108" s="92">
        <v>65</v>
      </c>
      <c r="AD108" s="92">
        <v>66</v>
      </c>
      <c r="AE108" s="92">
        <v>66.599999999999994</v>
      </c>
      <c r="AF108" s="92">
        <v>66.599999999999994</v>
      </c>
      <c r="AG108" s="108"/>
      <c r="AH108" s="47">
        <f t="shared" si="33"/>
        <v>67</v>
      </c>
      <c r="AI108" s="48">
        <f t="shared" si="34"/>
        <v>64.599999999999994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33"/>
        <v>0</v>
      </c>
      <c r="AI109" s="48">
        <f t="shared" si="34"/>
        <v>0</v>
      </c>
    </row>
    <row r="110" spans="1:37" ht="15.75" thickBot="1" x14ac:dyDescent="0.3">
      <c r="A110" s="110" t="s">
        <v>118</v>
      </c>
      <c r="B110" s="111">
        <f t="shared" ref="B110:O110" si="71">SUM(B20,B26,B29:B30,B58,B60:B61,B63,B65,B111:B115,B140,B146,B152,B161,B163,B175,B182,B185:B186,B193,B195,B197,B201:B203,B205:B207,B212,B218:B219,B221:B223,B231,B236)</f>
        <v>124.19000000000001</v>
      </c>
      <c r="C110" s="111">
        <f t="shared" si="71"/>
        <v>108.99000000000001</v>
      </c>
      <c r="D110" s="111">
        <f t="shared" si="71"/>
        <v>126.44</v>
      </c>
      <c r="E110" s="111">
        <f t="shared" si="71"/>
        <v>86.239999999999981</v>
      </c>
      <c r="F110" s="111">
        <f t="shared" si="71"/>
        <v>92.190000000000026</v>
      </c>
      <c r="G110" s="111">
        <f t="shared" si="71"/>
        <v>120.39000000000001</v>
      </c>
      <c r="H110" s="111">
        <f t="shared" si="71"/>
        <v>140.09000000000003</v>
      </c>
      <c r="I110" s="111">
        <f t="shared" si="71"/>
        <v>167.29000000000002</v>
      </c>
      <c r="J110" s="111">
        <f t="shared" si="71"/>
        <v>201.74</v>
      </c>
      <c r="K110" s="111">
        <f t="shared" si="71"/>
        <v>243.44</v>
      </c>
      <c r="L110" s="111">
        <f t="shared" si="71"/>
        <v>289.33999999999997</v>
      </c>
      <c r="M110" s="111">
        <f t="shared" si="71"/>
        <v>240.84000000000003</v>
      </c>
      <c r="N110" s="111">
        <f t="shared" si="71"/>
        <v>257.33999999999997</v>
      </c>
      <c r="O110" s="111">
        <f t="shared" si="71"/>
        <v>236.94</v>
      </c>
      <c r="P110" s="111">
        <v>42</v>
      </c>
      <c r="Q110" s="111">
        <f t="shared" ref="Q110:AF110" si="72">SUM(Q20,Q26,Q29:Q30,Q58,Q60:Q61,Q63,Q65,Q111:Q115,Q140,Q146,Q152,Q161,Q163,Q175,Q182,Q185:Q186,Q193,Q195,Q197,Q201:Q203,Q205:Q207,Q212,Q218:Q219,Q221:Q223,Q231,Q236)</f>
        <v>129.64000000000001</v>
      </c>
      <c r="R110" s="111">
        <f t="shared" si="72"/>
        <v>87.440000000000012</v>
      </c>
      <c r="S110" s="111">
        <f t="shared" ref="S110:T110" si="73">SUM(S20,S26,S29:S30,S58,S60:S61,S63,S65,S111:S115,S140,S146,S152,S161,S163,S175,S182,S185:S186,S193,S195,S197,S201:S203,S205:S207,S212,S218:S219,S221:S223,S231,S236)</f>
        <v>112.49000000000001</v>
      </c>
      <c r="T110" s="111">
        <f t="shared" si="73"/>
        <v>102.29000000000002</v>
      </c>
      <c r="U110" s="111">
        <f t="shared" ref="U110:V110" si="74">SUM(U20,U26,U29:U30,U58,U60:U61,U63,U65,U111:U115,U140,U146,U152,U161,U163,U175,U182,U185:U186,U193,U195,U197,U201:U203,U205:U207,U212,U218:U219,U221:U223,U231,U236)</f>
        <v>93.490000000000009</v>
      </c>
      <c r="V110" s="111">
        <f t="shared" si="74"/>
        <v>160.04000000000002</v>
      </c>
      <c r="W110" s="111">
        <f t="shared" ref="W110:X110" si="75">SUM(W20,W26,W29:W30,W58,W60:W61,W63,W65,W111:W115,W140,W146,W152,W161,W163,W175,W182,W185:W186,W193,W195,W197,W201:W203,W205:W207,W212,W218:W219,W221:W223,W231,W236)</f>
        <v>220.04</v>
      </c>
      <c r="X110" s="111">
        <f t="shared" si="75"/>
        <v>260.14</v>
      </c>
      <c r="Y110" s="111">
        <f t="shared" ref="Y110:Z110" si="76">SUM(Y20,Y26,Y29:Y30,Y58,Y60:Y61,Y63,Y65,Y111:Y115,Y140,Y146,Y152,Y161,Y163,Y175,Y182,Y185:Y186,Y193,Y195,Y197,Y201:Y203,Y205:Y207,Y212,Y218:Y219,Y221:Y223,Y231,Y236)</f>
        <v>247.19</v>
      </c>
      <c r="Z110" s="111">
        <f t="shared" si="76"/>
        <v>266.24</v>
      </c>
      <c r="AA110" s="111">
        <f t="shared" ref="AA110" si="77">SUM(AA20,AA26,AA29:AA30,AA58,AA60:AA61,AA63,AA65,AA111:AA115,AA140,AA146,AA152,AA161,AA163,AA175,AA182,AA185:AA186,AA193,AA195,AA197,AA201:AA203,AA205:AA207,AA212,AA218:AA219,AA221:AA223,AA231,AA236)</f>
        <v>345.84</v>
      </c>
      <c r="AB110" s="111">
        <f t="shared" si="72"/>
        <v>352.64</v>
      </c>
      <c r="AC110" s="111">
        <f t="shared" si="72"/>
        <v>315.04000000000002</v>
      </c>
      <c r="AD110" s="111"/>
      <c r="AE110" s="111">
        <f t="shared" si="72"/>
        <v>198.44</v>
      </c>
      <c r="AF110" s="111">
        <f t="shared" si="72"/>
        <v>145.93999999999997</v>
      </c>
      <c r="AG110" s="112"/>
      <c r="AH110" s="47">
        <f t="shared" si="33"/>
        <v>352.64</v>
      </c>
      <c r="AI110" s="48">
        <f t="shared" si="34"/>
        <v>42</v>
      </c>
    </row>
    <row r="111" spans="1:37" x14ac:dyDescent="0.25">
      <c r="A111" s="181" t="s">
        <v>119</v>
      </c>
      <c r="B111" s="113">
        <v>-5.8</v>
      </c>
      <c r="C111" s="113">
        <v>-4.0999999999999996</v>
      </c>
      <c r="D111" s="113">
        <v>-1.5</v>
      </c>
      <c r="E111" s="113">
        <v>-6.7</v>
      </c>
      <c r="F111" s="113">
        <v>4.7</v>
      </c>
      <c r="G111" s="113">
        <v>6.5</v>
      </c>
      <c r="H111" s="113">
        <v>4.7</v>
      </c>
      <c r="I111" s="113">
        <v>5</v>
      </c>
      <c r="J111" s="113">
        <v>11.9</v>
      </c>
      <c r="K111" s="113">
        <v>17.899999999999999</v>
      </c>
      <c r="L111" s="113">
        <v>32.4</v>
      </c>
      <c r="M111" s="113">
        <v>-37.5</v>
      </c>
      <c r="N111" s="113">
        <v>-37</v>
      </c>
      <c r="O111" s="113">
        <v>-56.9</v>
      </c>
      <c r="P111" s="113">
        <v>-58.3</v>
      </c>
      <c r="Q111" s="113">
        <v>-71</v>
      </c>
      <c r="R111" s="113">
        <v>-83</v>
      </c>
      <c r="S111" s="113">
        <v>-90.2</v>
      </c>
      <c r="T111" s="113">
        <v>-91.1</v>
      </c>
      <c r="U111" s="113">
        <v>-83.1</v>
      </c>
      <c r="V111" s="113">
        <v>-32</v>
      </c>
      <c r="W111" s="113">
        <v>-31.5</v>
      </c>
      <c r="X111" s="113">
        <v>-41.3</v>
      </c>
      <c r="Y111" s="113">
        <v>-43.4</v>
      </c>
      <c r="Z111" s="113">
        <v>-19.8</v>
      </c>
      <c r="AA111" s="113">
        <v>56.5</v>
      </c>
      <c r="AB111" s="113">
        <v>55</v>
      </c>
      <c r="AC111" s="113">
        <v>44.5</v>
      </c>
      <c r="AD111" s="113">
        <v>47.3</v>
      </c>
      <c r="AE111" s="113">
        <v>24</v>
      </c>
      <c r="AF111" s="113">
        <v>17.600000000000001</v>
      </c>
      <c r="AG111" s="114">
        <v>75</v>
      </c>
      <c r="AH111" s="47">
        <f t="shared" si="33"/>
        <v>56.5</v>
      </c>
      <c r="AI111" s="48">
        <f t="shared" si="34"/>
        <v>-91.1</v>
      </c>
    </row>
    <row r="112" spans="1:37" x14ac:dyDescent="0.25">
      <c r="A112" s="182" t="s">
        <v>120</v>
      </c>
      <c r="B112" s="115">
        <v>-13.1</v>
      </c>
      <c r="C112" s="115">
        <v>-10.3</v>
      </c>
      <c r="D112" s="115">
        <v>-8.5</v>
      </c>
      <c r="E112" s="115">
        <v>-13</v>
      </c>
      <c r="F112" s="115">
        <v>3.3</v>
      </c>
      <c r="G112" s="115">
        <v>6</v>
      </c>
      <c r="H112" s="115">
        <v>2.4</v>
      </c>
      <c r="I112" s="115">
        <v>2.9</v>
      </c>
      <c r="J112" s="115">
        <v>13.8</v>
      </c>
      <c r="K112" s="115">
        <v>18.7</v>
      </c>
      <c r="L112" s="115">
        <v>38.4</v>
      </c>
      <c r="M112" s="115">
        <v>41.4</v>
      </c>
      <c r="N112" s="115">
        <v>43</v>
      </c>
      <c r="O112" s="115">
        <v>41</v>
      </c>
      <c r="P112" s="115">
        <v>36.200000000000003</v>
      </c>
      <c r="Q112" s="115">
        <v>26</v>
      </c>
      <c r="R112" s="115">
        <v>13.8</v>
      </c>
      <c r="S112" s="115">
        <v>0</v>
      </c>
      <c r="T112" s="115">
        <v>0.6</v>
      </c>
      <c r="U112" s="115">
        <v>17.3</v>
      </c>
      <c r="V112" s="115">
        <v>51.1</v>
      </c>
      <c r="W112" s="115">
        <v>49.7</v>
      </c>
      <c r="X112" s="115">
        <v>41.6</v>
      </c>
      <c r="Y112" s="115">
        <v>41.7</v>
      </c>
      <c r="Z112" s="115">
        <v>58.9</v>
      </c>
      <c r="AA112" s="115">
        <v>64.8</v>
      </c>
      <c r="AB112" s="115">
        <v>65</v>
      </c>
      <c r="AC112" s="115">
        <v>48.4</v>
      </c>
      <c r="AD112" s="115">
        <v>53.7</v>
      </c>
      <c r="AE112" s="115">
        <v>21.4</v>
      </c>
      <c r="AF112" s="115">
        <v>16.7</v>
      </c>
      <c r="AG112" s="114">
        <v>240</v>
      </c>
      <c r="AH112" s="47">
        <f t="shared" si="33"/>
        <v>65</v>
      </c>
      <c r="AI112" s="48">
        <f t="shared" si="34"/>
        <v>-13.1</v>
      </c>
    </row>
    <row r="113" spans="1:37" x14ac:dyDescent="0.25">
      <c r="A113" s="182" t="s">
        <v>121</v>
      </c>
      <c r="B113" s="115">
        <v>-59</v>
      </c>
      <c r="C113" s="115">
        <v>-65</v>
      </c>
      <c r="D113" s="115">
        <v>-42</v>
      </c>
      <c r="E113" s="115">
        <f>-32.4-35</f>
        <v>-67.400000000000006</v>
      </c>
      <c r="F113" s="115">
        <f>-36.4-40.3</f>
        <v>-76.699999999999989</v>
      </c>
      <c r="G113" s="115">
        <f>-32.9-35.7</f>
        <v>-68.599999999999994</v>
      </c>
      <c r="H113" s="115">
        <f>-25.7-29.1</f>
        <v>-54.8</v>
      </c>
      <c r="I113" s="115">
        <f>-23.1-26.1</f>
        <v>-49.2</v>
      </c>
      <c r="J113" s="115">
        <f>-24-26.9</f>
        <v>-50.9</v>
      </c>
      <c r="K113" s="115">
        <f>-15.5-18.1</f>
        <v>-33.6</v>
      </c>
      <c r="L113" s="115">
        <f>-6.4-8.4</f>
        <v>-14.8</v>
      </c>
      <c r="M113" s="115">
        <v>-8.6999999999999993</v>
      </c>
      <c r="N113" s="115">
        <v>-16</v>
      </c>
      <c r="O113" s="115">
        <v>-6</v>
      </c>
      <c r="P113" s="115">
        <v>-3.6</v>
      </c>
      <c r="Q113" s="115">
        <v>-12</v>
      </c>
      <c r="R113" s="115">
        <v>-26</v>
      </c>
      <c r="S113" s="115">
        <v>-18.8</v>
      </c>
      <c r="T113" s="115">
        <v>-18.899999999999999</v>
      </c>
      <c r="U113" s="115">
        <v>-25.8</v>
      </c>
      <c r="V113" s="115">
        <v>-28</v>
      </c>
      <c r="W113" s="115">
        <v>-16</v>
      </c>
      <c r="X113" s="115">
        <v>12</v>
      </c>
      <c r="Y113" s="115">
        <v>12</v>
      </c>
      <c r="Z113" s="115">
        <v>15</v>
      </c>
      <c r="AA113" s="115">
        <v>15</v>
      </c>
      <c r="AB113" s="115">
        <v>12</v>
      </c>
      <c r="AC113" s="115">
        <v>2.5</v>
      </c>
      <c r="AD113" s="115">
        <v>-16.899999999999999</v>
      </c>
      <c r="AE113" s="115">
        <v>-33</v>
      </c>
      <c r="AF113" s="115">
        <v>-65</v>
      </c>
      <c r="AG113" s="114">
        <v>240</v>
      </c>
      <c r="AH113" s="47">
        <f t="shared" si="33"/>
        <v>15</v>
      </c>
      <c r="AI113" s="48">
        <f t="shared" si="34"/>
        <v>-76.699999999999989</v>
      </c>
    </row>
    <row r="114" spans="1:37" ht="15.75" thickBot="1" x14ac:dyDescent="0.3">
      <c r="A114" s="182" t="s">
        <v>122</v>
      </c>
      <c r="B114" s="115">
        <v>-0.8</v>
      </c>
      <c r="C114" s="115">
        <v>-1.3</v>
      </c>
      <c r="D114" s="115">
        <v>-3</v>
      </c>
      <c r="E114" s="115">
        <v>-2.7</v>
      </c>
      <c r="F114" s="115">
        <v>-3</v>
      </c>
      <c r="G114" s="115">
        <v>-0.6</v>
      </c>
      <c r="H114" s="115">
        <v>2.9</v>
      </c>
      <c r="I114" s="115">
        <v>5.0999999999999996</v>
      </c>
      <c r="J114" s="115">
        <v>5.2</v>
      </c>
      <c r="K114" s="115">
        <v>11</v>
      </c>
      <c r="L114" s="115">
        <v>7.4</v>
      </c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>
        <v>9.4</v>
      </c>
      <c r="AB114" s="115">
        <v>9.8000000000000007</v>
      </c>
      <c r="AC114" s="115">
        <v>9.6</v>
      </c>
      <c r="AD114" s="115">
        <v>9.6999999999999993</v>
      </c>
      <c r="AE114" s="115">
        <v>10</v>
      </c>
      <c r="AF114" s="115">
        <v>10.6</v>
      </c>
      <c r="AG114" s="114">
        <v>60</v>
      </c>
      <c r="AH114" s="47">
        <f t="shared" si="33"/>
        <v>11</v>
      </c>
      <c r="AI114" s="48">
        <f t="shared" si="34"/>
        <v>-3</v>
      </c>
    </row>
    <row r="115" spans="1:37" x14ac:dyDescent="0.25">
      <c r="A115" s="181" t="s">
        <v>267</v>
      </c>
      <c r="B115" s="117">
        <f>43*1.65</f>
        <v>70.95</v>
      </c>
      <c r="C115" s="117">
        <f>35*1.65</f>
        <v>57.75</v>
      </c>
      <c r="D115" s="117">
        <f>30*1.65</f>
        <v>49.5</v>
      </c>
      <c r="E115" s="117">
        <f>31.8*1.5</f>
        <v>47.7</v>
      </c>
      <c r="F115" s="117">
        <f>22.1*1.5</f>
        <v>33.150000000000006</v>
      </c>
      <c r="G115" s="117">
        <f>30.9*1.5</f>
        <v>46.349999999999994</v>
      </c>
      <c r="H115" s="117">
        <f>36.1*1.5</f>
        <v>54.150000000000006</v>
      </c>
      <c r="I115" s="117">
        <f>48.5*1.5</f>
        <v>72.75</v>
      </c>
      <c r="J115" s="117">
        <v>91</v>
      </c>
      <c r="K115" s="117">
        <v>98.5</v>
      </c>
      <c r="L115" s="117">
        <f>95</f>
        <v>95</v>
      </c>
      <c r="M115" s="117">
        <v>116</v>
      </c>
      <c r="N115" s="117">
        <f>1.7*81</f>
        <v>137.69999999999999</v>
      </c>
      <c r="O115" s="117">
        <f>1.7*76</f>
        <v>129.19999999999999</v>
      </c>
      <c r="P115" s="117">
        <f>1.6*69.9</f>
        <v>111.84000000000002</v>
      </c>
      <c r="Q115" s="117">
        <v>57</v>
      </c>
      <c r="R115" s="117">
        <v>53</v>
      </c>
      <c r="S115" s="117">
        <f>55.3*1.5</f>
        <v>82.949999999999989</v>
      </c>
      <c r="T115" s="117">
        <f>59.1*1.5</f>
        <v>88.65</v>
      </c>
      <c r="U115" s="117">
        <f>43.5*1.5</f>
        <v>65.25</v>
      </c>
      <c r="V115" s="117">
        <f>34.2*1.5</f>
        <v>51.300000000000004</v>
      </c>
      <c r="W115" s="117">
        <f>66.8*1.5</f>
        <v>100.19999999999999</v>
      </c>
      <c r="X115" s="117">
        <f>86.8*1.5</f>
        <v>130.19999999999999</v>
      </c>
      <c r="Y115" s="117">
        <f>79.5*1.5</f>
        <v>119.25</v>
      </c>
      <c r="Z115" s="117">
        <f>63*1.5</f>
        <v>94.5</v>
      </c>
      <c r="AA115" s="117">
        <f>55*1.5</f>
        <v>82.5</v>
      </c>
      <c r="AB115" s="117">
        <v>81</v>
      </c>
      <c r="AC115" s="117">
        <v>80</v>
      </c>
      <c r="AD115" s="117">
        <v>54</v>
      </c>
      <c r="AE115" s="117">
        <v>46</v>
      </c>
      <c r="AF115" s="117">
        <v>36</v>
      </c>
      <c r="AG115" s="118">
        <v>120</v>
      </c>
      <c r="AH115" s="47">
        <f t="shared" si="33"/>
        <v>137.69999999999999</v>
      </c>
      <c r="AI115" s="48">
        <f t="shared" si="34"/>
        <v>33.150000000000006</v>
      </c>
    </row>
    <row r="116" spans="1:37" x14ac:dyDescent="0.25">
      <c r="A116" s="182" t="s">
        <v>266</v>
      </c>
      <c r="B116" s="117">
        <v>71</v>
      </c>
      <c r="C116" s="117">
        <v>63</v>
      </c>
      <c r="D116" s="117">
        <v>59</v>
      </c>
      <c r="E116" s="117">
        <v>62</v>
      </c>
      <c r="F116" s="117">
        <v>54.3</v>
      </c>
      <c r="G116" s="117">
        <v>60.3</v>
      </c>
      <c r="H116" s="117">
        <v>65.900000000000006</v>
      </c>
      <c r="I116" s="117">
        <v>74.2</v>
      </c>
      <c r="J116" s="117">
        <v>81.3</v>
      </c>
      <c r="K116" s="117">
        <v>94.9</v>
      </c>
      <c r="L116" s="117">
        <v>83.4</v>
      </c>
      <c r="M116" s="117">
        <v>97</v>
      </c>
      <c r="N116" s="117">
        <v>101</v>
      </c>
      <c r="O116" s="117">
        <v>95.9</v>
      </c>
      <c r="P116" s="117">
        <v>90.3</v>
      </c>
      <c r="Q116" s="117">
        <v>81</v>
      </c>
      <c r="R116" s="117">
        <v>76</v>
      </c>
      <c r="S116" s="117">
        <v>79</v>
      </c>
      <c r="T116" s="117">
        <f>82.1*1.5</f>
        <v>123.14999999999999</v>
      </c>
      <c r="U116" s="117">
        <v>71.099999999999994</v>
      </c>
      <c r="V116" s="117">
        <v>62.1</v>
      </c>
      <c r="W116" s="117">
        <v>88</v>
      </c>
      <c r="X116" s="117">
        <v>105.5</v>
      </c>
      <c r="Y116" s="117">
        <v>97.7</v>
      </c>
      <c r="Z116" s="117">
        <v>85.8</v>
      </c>
      <c r="AA116" s="117">
        <v>79.099999999999994</v>
      </c>
      <c r="AB116" s="117">
        <v>78</v>
      </c>
      <c r="AC116" s="117">
        <v>75</v>
      </c>
      <c r="AD116" s="117">
        <v>70</v>
      </c>
      <c r="AE116" s="117">
        <v>62</v>
      </c>
      <c r="AF116" s="117">
        <v>50.5</v>
      </c>
      <c r="AG116" s="118"/>
      <c r="AH116" s="47"/>
      <c r="AI116" s="48"/>
    </row>
    <row r="117" spans="1:37" x14ac:dyDescent="0.25">
      <c r="A117" s="182" t="s">
        <v>263</v>
      </c>
      <c r="B117" s="117">
        <v>56</v>
      </c>
      <c r="C117" s="117">
        <v>54</v>
      </c>
      <c r="D117" s="117">
        <v>48</v>
      </c>
      <c r="E117" s="117">
        <v>55.8</v>
      </c>
      <c r="F117" s="117">
        <v>39.799999999999997</v>
      </c>
      <c r="G117" s="117">
        <v>35.799999999999997</v>
      </c>
      <c r="H117" s="117">
        <v>34.799999999999997</v>
      </c>
      <c r="I117" s="117">
        <v>33.299999999999997</v>
      </c>
      <c r="J117" s="117">
        <v>32.299999999999997</v>
      </c>
      <c r="K117" s="117">
        <v>15.3</v>
      </c>
      <c r="L117" s="117">
        <v>-13</v>
      </c>
      <c r="M117" s="117">
        <v>-21.4</v>
      </c>
      <c r="N117" s="117">
        <v>-14</v>
      </c>
      <c r="O117" s="117">
        <v>-19.600000000000001</v>
      </c>
      <c r="P117" s="117">
        <v>-21.4</v>
      </c>
      <c r="Q117" s="117">
        <v>-8</v>
      </c>
      <c r="R117" s="117">
        <v>-12</v>
      </c>
      <c r="S117" s="117">
        <v>23.7</v>
      </c>
      <c r="T117" s="117">
        <v>22.3</v>
      </c>
      <c r="U117" s="117">
        <v>-0.4</v>
      </c>
      <c r="V117" s="117">
        <v>-35.299999999999997</v>
      </c>
      <c r="W117" s="117">
        <v>-28.4</v>
      </c>
      <c r="X117" s="117">
        <v>-27.1</v>
      </c>
      <c r="Y117" s="117">
        <v>-38.6</v>
      </c>
      <c r="Z117" s="117">
        <v>-61.5</v>
      </c>
      <c r="AA117" s="117">
        <v>-64.400000000000006</v>
      </c>
      <c r="AB117" s="117">
        <v>-73</v>
      </c>
      <c r="AC117" s="117">
        <v>-45.3</v>
      </c>
      <c r="AD117" s="117">
        <v>-40</v>
      </c>
      <c r="AE117" s="117">
        <v>-4.5999999999999996</v>
      </c>
      <c r="AF117" s="117">
        <v>8.4</v>
      </c>
      <c r="AG117" s="118"/>
      <c r="AH117" s="47"/>
      <c r="AI117" s="48"/>
    </row>
    <row r="118" spans="1:37" ht="15.75" thickBot="1" x14ac:dyDescent="0.3">
      <c r="A118" s="182" t="s">
        <v>260</v>
      </c>
      <c r="B118" s="117">
        <v>80</v>
      </c>
      <c r="C118" s="117">
        <v>75</v>
      </c>
      <c r="D118" s="117">
        <v>63</v>
      </c>
      <c r="E118" s="117">
        <v>65.099999999999994</v>
      </c>
      <c r="F118" s="117">
        <v>58.8</v>
      </c>
      <c r="G118" s="117">
        <v>60.9</v>
      </c>
      <c r="H118" s="117">
        <v>65.5</v>
      </c>
      <c r="I118" s="117">
        <v>76.2</v>
      </c>
      <c r="J118" s="117">
        <v>83.7</v>
      </c>
      <c r="K118" s="117">
        <v>83</v>
      </c>
      <c r="L118" s="117">
        <v>72</v>
      </c>
      <c r="M118" s="117">
        <v>78.7</v>
      </c>
      <c r="N118" s="117">
        <v>92</v>
      </c>
      <c r="O118" s="117">
        <v>84.9</v>
      </c>
      <c r="P118" s="117">
        <v>88.6</v>
      </c>
      <c r="Q118" s="117">
        <v>79</v>
      </c>
      <c r="R118" s="117">
        <v>80</v>
      </c>
      <c r="S118" s="117">
        <v>78.7</v>
      </c>
      <c r="T118" s="117">
        <v>80.8</v>
      </c>
      <c r="U118" s="117">
        <v>64.099999999999994</v>
      </c>
      <c r="V118" s="117">
        <v>39.9</v>
      </c>
      <c r="W118" s="117">
        <v>64.900000000000006</v>
      </c>
      <c r="X118" s="117">
        <v>78.900000000000006</v>
      </c>
      <c r="Y118" s="117">
        <v>72.8</v>
      </c>
      <c r="Z118" s="117">
        <v>54.6</v>
      </c>
      <c r="AA118" s="117">
        <v>54.2</v>
      </c>
      <c r="AB118" s="117">
        <v>59</v>
      </c>
      <c r="AC118" s="117">
        <v>57.3</v>
      </c>
      <c r="AD118" s="117">
        <v>52</v>
      </c>
      <c r="AE118" s="117">
        <v>54.8</v>
      </c>
      <c r="AF118" s="117">
        <v>48.8</v>
      </c>
      <c r="AG118" s="114"/>
      <c r="AH118" s="47">
        <f t="shared" si="33"/>
        <v>92</v>
      </c>
      <c r="AI118" s="48">
        <f t="shared" si="34"/>
        <v>39.9</v>
      </c>
    </row>
    <row r="119" spans="1:37" x14ac:dyDescent="0.25">
      <c r="A119" s="181" t="s">
        <v>264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06"/>
      <c r="AG119" s="114"/>
      <c r="AH119" s="47">
        <f t="shared" si="33"/>
        <v>0</v>
      </c>
      <c r="AI119" s="48">
        <f t="shared" si="34"/>
        <v>0</v>
      </c>
    </row>
    <row r="120" spans="1:37" x14ac:dyDescent="0.25">
      <c r="A120" s="182" t="s">
        <v>126</v>
      </c>
      <c r="B120" s="106">
        <v>8</v>
      </c>
      <c r="C120" s="106">
        <v>9</v>
      </c>
      <c r="D120" s="106">
        <v>8.5</v>
      </c>
      <c r="E120" s="106">
        <v>9.8000000000000007</v>
      </c>
      <c r="F120" s="106">
        <v>9.5</v>
      </c>
      <c r="G120" s="106">
        <v>5.8</v>
      </c>
      <c r="H120" s="106">
        <v>1</v>
      </c>
      <c r="I120" s="106">
        <v>-4.2</v>
      </c>
      <c r="J120" s="106">
        <v>-8.6</v>
      </c>
      <c r="K120" s="106">
        <v>-12.7</v>
      </c>
      <c r="L120" s="106">
        <v>-18.5</v>
      </c>
      <c r="M120" s="106">
        <v>-12.4</v>
      </c>
      <c r="N120" s="106">
        <v>-14</v>
      </c>
      <c r="O120" s="106">
        <v>-8.8000000000000007</v>
      </c>
      <c r="P120" s="106">
        <v>-4.2</v>
      </c>
      <c r="Q120" s="106">
        <v>-1.4</v>
      </c>
      <c r="R120" s="106">
        <v>4.9000000000000004</v>
      </c>
      <c r="S120" s="106">
        <v>4.5</v>
      </c>
      <c r="T120" s="106">
        <v>0</v>
      </c>
      <c r="U120" s="106">
        <v>0.7</v>
      </c>
      <c r="V120" s="106">
        <v>-10.199999999999999</v>
      </c>
      <c r="W120" s="106">
        <v>-21</v>
      </c>
      <c r="X120" s="106">
        <v>-34.799999999999997</v>
      </c>
      <c r="Y120" s="106">
        <v>-26</v>
      </c>
      <c r="Z120" s="106">
        <v>-20.6</v>
      </c>
      <c r="AA120" s="106">
        <v>-14.4</v>
      </c>
      <c r="AB120" s="106">
        <v>-10</v>
      </c>
      <c r="AC120" s="106">
        <v>-6.9</v>
      </c>
      <c r="AD120" s="106">
        <v>-3</v>
      </c>
      <c r="AE120" s="106">
        <v>4</v>
      </c>
      <c r="AF120" s="106">
        <v>9.5</v>
      </c>
      <c r="AG120" s="114"/>
      <c r="AH120" s="47">
        <f t="shared" si="33"/>
        <v>9.8000000000000007</v>
      </c>
      <c r="AI120" s="48">
        <f t="shared" si="34"/>
        <v>-34.799999999999997</v>
      </c>
    </row>
    <row r="121" spans="1:37" x14ac:dyDescent="0.25">
      <c r="A121" s="182" t="s">
        <v>268</v>
      </c>
      <c r="B121" s="106">
        <v>29</v>
      </c>
      <c r="C121" s="106">
        <v>35</v>
      </c>
      <c r="D121" s="106">
        <v>41</v>
      </c>
      <c r="E121" s="106">
        <v>38.4</v>
      </c>
      <c r="F121" s="106">
        <v>46.4</v>
      </c>
      <c r="G121" s="106">
        <v>45.9</v>
      </c>
      <c r="H121" s="106">
        <v>34.200000000000003</v>
      </c>
      <c r="I121" s="106">
        <v>30.1</v>
      </c>
      <c r="J121" s="106">
        <v>32.700000000000003</v>
      </c>
      <c r="K121" s="106">
        <v>20.100000000000001</v>
      </c>
      <c r="L121" s="106">
        <v>21.9</v>
      </c>
      <c r="M121" s="106">
        <v>19.3</v>
      </c>
      <c r="N121" s="106">
        <v>30.8</v>
      </c>
      <c r="O121" s="106">
        <v>27.1</v>
      </c>
      <c r="P121" s="106">
        <v>16.5</v>
      </c>
      <c r="Q121" s="106">
        <v>22.5</v>
      </c>
      <c r="R121" s="106">
        <v>21.6</v>
      </c>
      <c r="S121" s="106">
        <v>12.4</v>
      </c>
      <c r="T121" s="106">
        <v>9.4</v>
      </c>
      <c r="U121" s="106">
        <v>22.1</v>
      </c>
      <c r="V121" s="106">
        <v>41.9</v>
      </c>
      <c r="W121" s="106">
        <v>34.799999999999997</v>
      </c>
      <c r="X121" s="106">
        <v>6.2</v>
      </c>
      <c r="Y121" s="106">
        <v>0.7</v>
      </c>
      <c r="Z121" s="106">
        <v>9.8000000000000007</v>
      </c>
      <c r="AA121" s="106">
        <v>15.5</v>
      </c>
      <c r="AB121" s="106">
        <v>14.8</v>
      </c>
      <c r="AC121" s="106">
        <v>18.399999999999999</v>
      </c>
      <c r="AD121" s="106">
        <v>29.6</v>
      </c>
      <c r="AE121" s="106">
        <v>30.8</v>
      </c>
      <c r="AF121" s="106">
        <v>47.4</v>
      </c>
      <c r="AG121" s="114"/>
      <c r="AH121" s="47">
        <f t="shared" si="33"/>
        <v>47.4</v>
      </c>
      <c r="AI121" s="48">
        <f t="shared" si="34"/>
        <v>0.7</v>
      </c>
    </row>
    <row r="122" spans="1:37" x14ac:dyDescent="0.25">
      <c r="A122" s="182" t="s">
        <v>265</v>
      </c>
      <c r="B122" s="106">
        <v>64</v>
      </c>
      <c r="C122" s="106">
        <v>69</v>
      </c>
      <c r="D122" s="106">
        <v>69</v>
      </c>
      <c r="E122" s="106">
        <v>68</v>
      </c>
      <c r="F122" s="106">
        <v>69.5</v>
      </c>
      <c r="G122" s="106">
        <v>71.5</v>
      </c>
      <c r="H122" s="106">
        <v>72.599999999999994</v>
      </c>
      <c r="I122" s="106">
        <v>76.5</v>
      </c>
      <c r="J122" s="106">
        <v>83.8</v>
      </c>
      <c r="K122" s="106">
        <v>91.7</v>
      </c>
      <c r="L122" s="106">
        <v>86.2</v>
      </c>
      <c r="M122" s="106">
        <v>64.5</v>
      </c>
      <c r="N122" s="106">
        <v>91</v>
      </c>
      <c r="O122" s="106">
        <v>53.6</v>
      </c>
      <c r="P122" s="106">
        <v>42.8</v>
      </c>
      <c r="Q122" s="106">
        <v>63.2</v>
      </c>
      <c r="R122" s="106">
        <v>53.5</v>
      </c>
      <c r="S122" s="106">
        <v>53.1</v>
      </c>
      <c r="T122" s="106">
        <v>49.7</v>
      </c>
      <c r="U122" s="106">
        <v>53.7</v>
      </c>
      <c r="V122" s="106">
        <v>72.099999999999994</v>
      </c>
      <c r="W122" s="106">
        <v>91.1</v>
      </c>
      <c r="X122" s="106">
        <v>103.1</v>
      </c>
      <c r="Y122" s="106">
        <v>92.6</v>
      </c>
      <c r="Z122" s="106">
        <v>86.5</v>
      </c>
      <c r="AA122" s="106">
        <v>85</v>
      </c>
      <c r="AB122" s="106">
        <v>89.5</v>
      </c>
      <c r="AC122" s="106">
        <v>91.3</v>
      </c>
      <c r="AD122" s="106">
        <v>73</v>
      </c>
      <c r="AE122" s="106">
        <v>77.900000000000006</v>
      </c>
      <c r="AF122" s="106">
        <v>58</v>
      </c>
      <c r="AG122" s="114"/>
      <c r="AH122" s="47">
        <f t="shared" si="33"/>
        <v>103.1</v>
      </c>
      <c r="AI122" s="48">
        <f t="shared" si="34"/>
        <v>42.8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76" t="s">
        <v>258</v>
      </c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83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78">SUM(B124:B228)</f>
        <v>0</v>
      </c>
      <c r="C229" s="137">
        <f t="shared" si="78"/>
        <v>0</v>
      </c>
      <c r="D229" s="137">
        <f t="shared" si="78"/>
        <v>0</v>
      </c>
      <c r="E229" s="137">
        <f t="shared" si="78"/>
        <v>0</v>
      </c>
      <c r="F229" s="137">
        <f t="shared" si="78"/>
        <v>0</v>
      </c>
      <c r="G229" s="137">
        <f t="shared" si="78"/>
        <v>0</v>
      </c>
      <c r="H229" s="137">
        <f t="shared" si="78"/>
        <v>0</v>
      </c>
      <c r="I229" s="137">
        <f t="shared" si="78"/>
        <v>0</v>
      </c>
      <c r="J229" s="137">
        <f t="shared" si="78"/>
        <v>0</v>
      </c>
      <c r="K229" s="137">
        <f t="shared" si="78"/>
        <v>0</v>
      </c>
      <c r="L229" s="137">
        <f t="shared" si="78"/>
        <v>0</v>
      </c>
      <c r="M229" s="137">
        <f t="shared" si="78"/>
        <v>0</v>
      </c>
      <c r="N229" s="137">
        <f t="shared" si="78"/>
        <v>0</v>
      </c>
      <c r="O229" s="137">
        <f t="shared" si="78"/>
        <v>0</v>
      </c>
      <c r="P229" s="137">
        <f t="shared" si="78"/>
        <v>0</v>
      </c>
      <c r="Q229" s="137">
        <f t="shared" si="78"/>
        <v>0</v>
      </c>
      <c r="R229" s="137">
        <f t="shared" si="78"/>
        <v>0</v>
      </c>
      <c r="S229" s="137">
        <f t="shared" si="78"/>
        <v>0</v>
      </c>
      <c r="T229" s="137">
        <f t="shared" si="78"/>
        <v>0</v>
      </c>
      <c r="U229" s="137">
        <f t="shared" si="78"/>
        <v>0</v>
      </c>
      <c r="V229" s="137">
        <f t="shared" si="78"/>
        <v>0</v>
      </c>
      <c r="W229" s="137">
        <f t="shared" si="78"/>
        <v>0</v>
      </c>
      <c r="X229" s="137">
        <f t="shared" si="78"/>
        <v>0</v>
      </c>
      <c r="Y229" s="137">
        <f t="shared" si="78"/>
        <v>0</v>
      </c>
      <c r="Z229" s="137">
        <f t="shared" si="78"/>
        <v>0</v>
      </c>
      <c r="AA229" s="137">
        <f t="shared" si="78"/>
        <v>0</v>
      </c>
      <c r="AB229" s="137">
        <f t="shared" si="78"/>
        <v>0</v>
      </c>
      <c r="AC229" s="137">
        <f t="shared" si="78"/>
        <v>0</v>
      </c>
      <c r="AD229" s="137">
        <f t="shared" si="78"/>
        <v>0</v>
      </c>
      <c r="AE229" s="137">
        <f t="shared" si="78"/>
        <v>0</v>
      </c>
      <c r="AF229" s="138">
        <f t="shared" si="78"/>
        <v>0</v>
      </c>
      <c r="AG229" s="139">
        <f t="shared" si="78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79">AF231</f>
        <v>0.3</v>
      </c>
      <c r="C231" s="141">
        <v>0.3</v>
      </c>
      <c r="D231" s="141">
        <f t="shared" ref="D231:S236" si="80">C231</f>
        <v>0.3</v>
      </c>
      <c r="E231" s="141">
        <f t="shared" si="80"/>
        <v>0.3</v>
      </c>
      <c r="F231" s="141">
        <f t="shared" si="80"/>
        <v>0.3</v>
      </c>
      <c r="G231" s="141">
        <f t="shared" si="80"/>
        <v>0.3</v>
      </c>
      <c r="H231" s="141">
        <f t="shared" si="80"/>
        <v>0.3</v>
      </c>
      <c r="I231" s="141">
        <f t="shared" si="80"/>
        <v>0.3</v>
      </c>
      <c r="J231" s="141">
        <f t="shared" si="80"/>
        <v>0.3</v>
      </c>
      <c r="K231" s="141">
        <f t="shared" si="80"/>
        <v>0.3</v>
      </c>
      <c r="L231" s="141">
        <f t="shared" si="80"/>
        <v>0.3</v>
      </c>
      <c r="M231" s="141">
        <f t="shared" si="80"/>
        <v>0.3</v>
      </c>
      <c r="N231" s="141">
        <f t="shared" si="80"/>
        <v>0.3</v>
      </c>
      <c r="O231" s="141">
        <f t="shared" si="80"/>
        <v>0.3</v>
      </c>
      <c r="P231" s="141">
        <f t="shared" si="80"/>
        <v>0.3</v>
      </c>
      <c r="Q231" s="141">
        <f t="shared" si="80"/>
        <v>0.3</v>
      </c>
      <c r="R231" s="141">
        <f t="shared" si="80"/>
        <v>0.3</v>
      </c>
      <c r="S231" s="141">
        <f t="shared" si="80"/>
        <v>0.3</v>
      </c>
      <c r="T231" s="141">
        <f t="shared" ref="T231:AF236" si="81">S231</f>
        <v>0.3</v>
      </c>
      <c r="U231" s="141">
        <f t="shared" si="81"/>
        <v>0.3</v>
      </c>
      <c r="V231" s="141">
        <f t="shared" si="81"/>
        <v>0.3</v>
      </c>
      <c r="W231" s="141">
        <f t="shared" si="81"/>
        <v>0.3</v>
      </c>
      <c r="X231" s="141">
        <f t="shared" si="81"/>
        <v>0.3</v>
      </c>
      <c r="Y231" s="141">
        <f t="shared" si="81"/>
        <v>0.3</v>
      </c>
      <c r="Z231" s="141">
        <f t="shared" si="81"/>
        <v>0.3</v>
      </c>
      <c r="AA231" s="141">
        <f t="shared" si="81"/>
        <v>0.3</v>
      </c>
      <c r="AB231" s="141">
        <f t="shared" si="81"/>
        <v>0.3</v>
      </c>
      <c r="AC231" s="141">
        <f t="shared" si="81"/>
        <v>0.3</v>
      </c>
      <c r="AD231" s="141">
        <f t="shared" si="81"/>
        <v>0.3</v>
      </c>
      <c r="AE231" s="141">
        <f t="shared" si="81"/>
        <v>0.3</v>
      </c>
      <c r="AF231" s="141">
        <f t="shared" si="81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79"/>
        <v>0.4</v>
      </c>
      <c r="C232" s="129">
        <v>0.4</v>
      </c>
      <c r="D232" s="129">
        <f t="shared" si="80"/>
        <v>0.4</v>
      </c>
      <c r="E232" s="129">
        <f t="shared" si="80"/>
        <v>0.4</v>
      </c>
      <c r="F232" s="129">
        <f t="shared" si="80"/>
        <v>0.4</v>
      </c>
      <c r="G232" s="129">
        <f t="shared" si="80"/>
        <v>0.4</v>
      </c>
      <c r="H232" s="129">
        <f t="shared" si="80"/>
        <v>0.4</v>
      </c>
      <c r="I232" s="129">
        <f t="shared" si="80"/>
        <v>0.4</v>
      </c>
      <c r="J232" s="129">
        <f t="shared" si="80"/>
        <v>0.4</v>
      </c>
      <c r="K232" s="129">
        <f t="shared" si="80"/>
        <v>0.4</v>
      </c>
      <c r="L232" s="129">
        <f t="shared" si="80"/>
        <v>0.4</v>
      </c>
      <c r="M232" s="129">
        <f t="shared" si="80"/>
        <v>0.4</v>
      </c>
      <c r="N232" s="129">
        <f t="shared" si="80"/>
        <v>0.4</v>
      </c>
      <c r="O232" s="129">
        <f t="shared" si="80"/>
        <v>0.4</v>
      </c>
      <c r="P232" s="129">
        <f t="shared" si="80"/>
        <v>0.4</v>
      </c>
      <c r="Q232" s="129">
        <f t="shared" si="80"/>
        <v>0.4</v>
      </c>
      <c r="R232" s="129">
        <f t="shared" si="80"/>
        <v>0.4</v>
      </c>
      <c r="S232" s="129">
        <f t="shared" si="80"/>
        <v>0.4</v>
      </c>
      <c r="T232" s="129">
        <f t="shared" si="81"/>
        <v>0.4</v>
      </c>
      <c r="U232" s="129">
        <f t="shared" si="81"/>
        <v>0.4</v>
      </c>
      <c r="V232" s="129">
        <f t="shared" si="81"/>
        <v>0.4</v>
      </c>
      <c r="W232" s="129">
        <f t="shared" si="81"/>
        <v>0.4</v>
      </c>
      <c r="X232" s="129">
        <f t="shared" si="81"/>
        <v>0.4</v>
      </c>
      <c r="Y232" s="129">
        <f t="shared" si="81"/>
        <v>0.4</v>
      </c>
      <c r="Z232" s="129">
        <f t="shared" si="81"/>
        <v>0.4</v>
      </c>
      <c r="AA232" s="129">
        <f t="shared" si="81"/>
        <v>0.4</v>
      </c>
      <c r="AB232" s="129">
        <f t="shared" si="81"/>
        <v>0.4</v>
      </c>
      <c r="AC232" s="129">
        <f t="shared" si="81"/>
        <v>0.4</v>
      </c>
      <c r="AD232" s="129">
        <f t="shared" si="81"/>
        <v>0.4</v>
      </c>
      <c r="AE232" s="129">
        <f t="shared" si="81"/>
        <v>0.4</v>
      </c>
      <c r="AF232" s="129">
        <f t="shared" si="81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79"/>
        <v>1.5</v>
      </c>
      <c r="C233" s="129">
        <v>1.5</v>
      </c>
      <c r="D233" s="129">
        <f t="shared" si="80"/>
        <v>1.5</v>
      </c>
      <c r="E233" s="129">
        <f t="shared" si="80"/>
        <v>1.5</v>
      </c>
      <c r="F233" s="129">
        <f t="shared" si="80"/>
        <v>1.5</v>
      </c>
      <c r="G233" s="129">
        <f t="shared" si="80"/>
        <v>1.5</v>
      </c>
      <c r="H233" s="129">
        <f t="shared" si="80"/>
        <v>1.5</v>
      </c>
      <c r="I233" s="129">
        <f t="shared" si="80"/>
        <v>1.5</v>
      </c>
      <c r="J233" s="129">
        <f t="shared" si="80"/>
        <v>1.5</v>
      </c>
      <c r="K233" s="129">
        <f t="shared" si="80"/>
        <v>1.5</v>
      </c>
      <c r="L233" s="129">
        <f t="shared" si="80"/>
        <v>1.5</v>
      </c>
      <c r="M233" s="129">
        <f t="shared" si="80"/>
        <v>1.5</v>
      </c>
      <c r="N233" s="129">
        <f t="shared" si="80"/>
        <v>1.5</v>
      </c>
      <c r="O233" s="129">
        <f t="shared" si="80"/>
        <v>1.5</v>
      </c>
      <c r="P233" s="129">
        <f t="shared" si="80"/>
        <v>1.5</v>
      </c>
      <c r="Q233" s="129">
        <f t="shared" si="80"/>
        <v>1.5</v>
      </c>
      <c r="R233" s="129">
        <f t="shared" si="80"/>
        <v>1.5</v>
      </c>
      <c r="S233" s="129">
        <f t="shared" si="80"/>
        <v>1.5</v>
      </c>
      <c r="T233" s="129">
        <f t="shared" si="81"/>
        <v>1.5</v>
      </c>
      <c r="U233" s="129">
        <f t="shared" si="81"/>
        <v>1.5</v>
      </c>
      <c r="V233" s="129">
        <f t="shared" si="81"/>
        <v>1.5</v>
      </c>
      <c r="W233" s="129">
        <f t="shared" si="81"/>
        <v>1.5</v>
      </c>
      <c r="X233" s="129">
        <f t="shared" si="81"/>
        <v>1.5</v>
      </c>
      <c r="Y233" s="129">
        <f t="shared" si="81"/>
        <v>1.5</v>
      </c>
      <c r="Z233" s="129">
        <f t="shared" si="81"/>
        <v>1.5</v>
      </c>
      <c r="AA233" s="129">
        <f t="shared" si="81"/>
        <v>1.5</v>
      </c>
      <c r="AB233" s="129">
        <f t="shared" si="81"/>
        <v>1.5</v>
      </c>
      <c r="AC233" s="129">
        <f t="shared" si="81"/>
        <v>1.5</v>
      </c>
      <c r="AD233" s="129">
        <f t="shared" si="81"/>
        <v>1.5</v>
      </c>
      <c r="AE233" s="129">
        <f t="shared" si="81"/>
        <v>1.5</v>
      </c>
      <c r="AF233" s="129">
        <f t="shared" si="81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79"/>
        <v>0.3</v>
      </c>
      <c r="C234" s="129">
        <v>0.3</v>
      </c>
      <c r="D234" s="129">
        <f t="shared" si="80"/>
        <v>0.3</v>
      </c>
      <c r="E234" s="129">
        <f t="shared" si="80"/>
        <v>0.3</v>
      </c>
      <c r="F234" s="129">
        <f t="shared" si="80"/>
        <v>0.3</v>
      </c>
      <c r="G234" s="129">
        <f t="shared" si="80"/>
        <v>0.3</v>
      </c>
      <c r="H234" s="129">
        <f t="shared" si="80"/>
        <v>0.3</v>
      </c>
      <c r="I234" s="129">
        <f t="shared" si="80"/>
        <v>0.3</v>
      </c>
      <c r="J234" s="129">
        <f t="shared" si="80"/>
        <v>0.3</v>
      </c>
      <c r="K234" s="129">
        <f t="shared" si="80"/>
        <v>0.3</v>
      </c>
      <c r="L234" s="129">
        <f t="shared" si="80"/>
        <v>0.3</v>
      </c>
      <c r="M234" s="129">
        <f t="shared" si="80"/>
        <v>0.3</v>
      </c>
      <c r="N234" s="129">
        <f t="shared" si="80"/>
        <v>0.3</v>
      </c>
      <c r="O234" s="129">
        <f t="shared" si="80"/>
        <v>0.3</v>
      </c>
      <c r="P234" s="129">
        <f t="shared" si="80"/>
        <v>0.3</v>
      </c>
      <c r="Q234" s="129">
        <f t="shared" si="80"/>
        <v>0.3</v>
      </c>
      <c r="R234" s="129">
        <f t="shared" si="80"/>
        <v>0.3</v>
      </c>
      <c r="S234" s="129">
        <f t="shared" si="80"/>
        <v>0.3</v>
      </c>
      <c r="T234" s="129">
        <f t="shared" si="81"/>
        <v>0.3</v>
      </c>
      <c r="U234" s="129">
        <f t="shared" si="81"/>
        <v>0.3</v>
      </c>
      <c r="V234" s="129">
        <f t="shared" si="81"/>
        <v>0.3</v>
      </c>
      <c r="W234" s="129">
        <f t="shared" si="81"/>
        <v>0.3</v>
      </c>
      <c r="X234" s="129">
        <f t="shared" si="81"/>
        <v>0.3</v>
      </c>
      <c r="Y234" s="129">
        <f t="shared" si="81"/>
        <v>0.3</v>
      </c>
      <c r="Z234" s="129">
        <f t="shared" si="81"/>
        <v>0.3</v>
      </c>
      <c r="AA234" s="129">
        <f t="shared" si="81"/>
        <v>0.3</v>
      </c>
      <c r="AB234" s="129">
        <f t="shared" si="81"/>
        <v>0.3</v>
      </c>
      <c r="AC234" s="129">
        <f t="shared" si="81"/>
        <v>0.3</v>
      </c>
      <c r="AD234" s="129">
        <f t="shared" si="81"/>
        <v>0.3</v>
      </c>
      <c r="AE234" s="129">
        <f t="shared" si="81"/>
        <v>0.3</v>
      </c>
      <c r="AF234" s="129">
        <f t="shared" si="81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79"/>
        <v>0.4</v>
      </c>
      <c r="C235" s="129">
        <v>0.4</v>
      </c>
      <c r="D235" s="129">
        <f t="shared" si="80"/>
        <v>0.4</v>
      </c>
      <c r="E235" s="129">
        <f t="shared" si="80"/>
        <v>0.4</v>
      </c>
      <c r="F235" s="129">
        <f t="shared" si="80"/>
        <v>0.4</v>
      </c>
      <c r="G235" s="129">
        <f t="shared" si="80"/>
        <v>0.4</v>
      </c>
      <c r="H235" s="129">
        <f t="shared" si="80"/>
        <v>0.4</v>
      </c>
      <c r="I235" s="129">
        <f t="shared" si="80"/>
        <v>0.4</v>
      </c>
      <c r="J235" s="129">
        <f t="shared" si="80"/>
        <v>0.4</v>
      </c>
      <c r="K235" s="129">
        <f t="shared" si="80"/>
        <v>0.4</v>
      </c>
      <c r="L235" s="129">
        <f t="shared" si="80"/>
        <v>0.4</v>
      </c>
      <c r="M235" s="129">
        <f t="shared" si="80"/>
        <v>0.4</v>
      </c>
      <c r="N235" s="129">
        <f t="shared" si="80"/>
        <v>0.4</v>
      </c>
      <c r="O235" s="129">
        <f t="shared" si="80"/>
        <v>0.4</v>
      </c>
      <c r="P235" s="129">
        <f t="shared" si="80"/>
        <v>0.4</v>
      </c>
      <c r="Q235" s="129">
        <f t="shared" si="80"/>
        <v>0.4</v>
      </c>
      <c r="R235" s="129">
        <f t="shared" si="80"/>
        <v>0.4</v>
      </c>
      <c r="S235" s="129">
        <f t="shared" si="80"/>
        <v>0.4</v>
      </c>
      <c r="T235" s="129">
        <f t="shared" si="81"/>
        <v>0.4</v>
      </c>
      <c r="U235" s="129">
        <f t="shared" si="81"/>
        <v>0.4</v>
      </c>
      <c r="V235" s="129">
        <f t="shared" si="81"/>
        <v>0.4</v>
      </c>
      <c r="W235" s="129">
        <f t="shared" si="81"/>
        <v>0.4</v>
      </c>
      <c r="X235" s="129">
        <f t="shared" si="81"/>
        <v>0.4</v>
      </c>
      <c r="Y235" s="129">
        <f t="shared" si="81"/>
        <v>0.4</v>
      </c>
      <c r="Z235" s="129">
        <f t="shared" si="81"/>
        <v>0.4</v>
      </c>
      <c r="AA235" s="129">
        <f t="shared" si="81"/>
        <v>0.4</v>
      </c>
      <c r="AB235" s="129">
        <f t="shared" si="81"/>
        <v>0.4</v>
      </c>
      <c r="AC235" s="129">
        <f t="shared" si="81"/>
        <v>0.4</v>
      </c>
      <c r="AD235" s="129">
        <f t="shared" si="81"/>
        <v>0.4</v>
      </c>
      <c r="AE235" s="129">
        <f t="shared" si="81"/>
        <v>0.4</v>
      </c>
      <c r="AF235" s="129">
        <f t="shared" si="81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79"/>
        <v>0.64</v>
      </c>
      <c r="C236" s="133">
        <v>0.64</v>
      </c>
      <c r="D236" s="133">
        <f t="shared" si="80"/>
        <v>0.64</v>
      </c>
      <c r="E236" s="133">
        <f t="shared" si="80"/>
        <v>0.64</v>
      </c>
      <c r="F236" s="133">
        <f t="shared" si="80"/>
        <v>0.64</v>
      </c>
      <c r="G236" s="133">
        <f t="shared" si="80"/>
        <v>0.64</v>
      </c>
      <c r="H236" s="133">
        <f t="shared" si="80"/>
        <v>0.64</v>
      </c>
      <c r="I236" s="133">
        <f t="shared" si="80"/>
        <v>0.64</v>
      </c>
      <c r="J236" s="133">
        <f t="shared" si="80"/>
        <v>0.64</v>
      </c>
      <c r="K236" s="133">
        <f t="shared" si="80"/>
        <v>0.64</v>
      </c>
      <c r="L236" s="133">
        <f t="shared" si="80"/>
        <v>0.64</v>
      </c>
      <c r="M236" s="133">
        <f t="shared" si="80"/>
        <v>0.64</v>
      </c>
      <c r="N236" s="133">
        <f t="shared" si="80"/>
        <v>0.64</v>
      </c>
      <c r="O236" s="133">
        <f t="shared" si="80"/>
        <v>0.64</v>
      </c>
      <c r="P236" s="133">
        <f t="shared" si="80"/>
        <v>0.64</v>
      </c>
      <c r="Q236" s="133">
        <f t="shared" si="80"/>
        <v>0.64</v>
      </c>
      <c r="R236" s="133">
        <f t="shared" si="80"/>
        <v>0.64</v>
      </c>
      <c r="S236" s="133">
        <f t="shared" si="80"/>
        <v>0.64</v>
      </c>
      <c r="T236" s="133">
        <f t="shared" si="81"/>
        <v>0.64</v>
      </c>
      <c r="U236" s="133">
        <f t="shared" si="81"/>
        <v>0.64</v>
      </c>
      <c r="V236" s="133">
        <f t="shared" si="81"/>
        <v>0.64</v>
      </c>
      <c r="W236" s="133">
        <f t="shared" si="81"/>
        <v>0.64</v>
      </c>
      <c r="X236" s="133">
        <f t="shared" si="81"/>
        <v>0.64</v>
      </c>
      <c r="Y236" s="133">
        <f t="shared" si="81"/>
        <v>0.64</v>
      </c>
      <c r="Z236" s="133">
        <f t="shared" si="81"/>
        <v>0.64</v>
      </c>
      <c r="AA236" s="133">
        <f t="shared" si="81"/>
        <v>0.64</v>
      </c>
      <c r="AB236" s="133">
        <f t="shared" si="81"/>
        <v>0.64</v>
      </c>
      <c r="AC236" s="133">
        <f t="shared" si="81"/>
        <v>0.64</v>
      </c>
      <c r="AD236" s="133">
        <f t="shared" si="81"/>
        <v>0.64</v>
      </c>
      <c r="AE236" s="133">
        <f t="shared" si="81"/>
        <v>0.64</v>
      </c>
      <c r="AF236" s="133">
        <f t="shared" si="81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82">SUM(B231:B236)</f>
        <v>3.54</v>
      </c>
      <c r="C237" s="137">
        <f t="shared" si="82"/>
        <v>3.54</v>
      </c>
      <c r="D237" s="137">
        <f t="shared" si="82"/>
        <v>3.54</v>
      </c>
      <c r="E237" s="137">
        <f t="shared" si="82"/>
        <v>3.54</v>
      </c>
      <c r="F237" s="137">
        <f t="shared" si="82"/>
        <v>3.54</v>
      </c>
      <c r="G237" s="137">
        <f t="shared" si="82"/>
        <v>3.54</v>
      </c>
      <c r="H237" s="137">
        <f t="shared" si="82"/>
        <v>3.54</v>
      </c>
      <c r="I237" s="137">
        <f t="shared" si="82"/>
        <v>3.54</v>
      </c>
      <c r="J237" s="137">
        <f t="shared" si="82"/>
        <v>3.54</v>
      </c>
      <c r="K237" s="137">
        <f t="shared" si="82"/>
        <v>3.54</v>
      </c>
      <c r="L237" s="137">
        <f t="shared" si="82"/>
        <v>3.54</v>
      </c>
      <c r="M237" s="137">
        <f t="shared" si="82"/>
        <v>3.54</v>
      </c>
      <c r="N237" s="137">
        <f t="shared" si="82"/>
        <v>3.54</v>
      </c>
      <c r="O237" s="137">
        <f t="shared" si="82"/>
        <v>3.54</v>
      </c>
      <c r="P237" s="137">
        <f t="shared" si="82"/>
        <v>3.54</v>
      </c>
      <c r="Q237" s="137">
        <f t="shared" si="82"/>
        <v>3.54</v>
      </c>
      <c r="R237" s="137">
        <f t="shared" si="82"/>
        <v>3.54</v>
      </c>
      <c r="S237" s="137">
        <f t="shared" si="82"/>
        <v>3.54</v>
      </c>
      <c r="T237" s="137">
        <f t="shared" si="82"/>
        <v>3.54</v>
      </c>
      <c r="U237" s="137">
        <f t="shared" si="82"/>
        <v>3.54</v>
      </c>
      <c r="V237" s="137">
        <f t="shared" si="82"/>
        <v>3.54</v>
      </c>
      <c r="W237" s="137">
        <f t="shared" si="82"/>
        <v>3.54</v>
      </c>
      <c r="X237" s="137">
        <f t="shared" si="82"/>
        <v>3.54</v>
      </c>
      <c r="Y237" s="137">
        <f t="shared" si="82"/>
        <v>3.54</v>
      </c>
      <c r="Z237" s="137">
        <f t="shared" si="82"/>
        <v>3.54</v>
      </c>
      <c r="AA237" s="137">
        <f t="shared" si="82"/>
        <v>3.54</v>
      </c>
      <c r="AB237" s="137">
        <f t="shared" si="82"/>
        <v>3.54</v>
      </c>
      <c r="AC237" s="137">
        <f t="shared" si="82"/>
        <v>3.54</v>
      </c>
      <c r="AD237" s="137">
        <f t="shared" si="82"/>
        <v>3.54</v>
      </c>
      <c r="AE237" s="137">
        <f t="shared" si="82"/>
        <v>3.54</v>
      </c>
      <c r="AF237" s="137">
        <f t="shared" si="82"/>
        <v>3.54</v>
      </c>
      <c r="AG237" s="146">
        <f t="shared" si="82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1537.88</v>
      </c>
      <c r="C246" s="162">
        <f>INDEX(G9:N9,1,MATCH(MAX(G91:N91),G91:N91,0))</f>
        <v>0.3125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7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2080/09/7)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2080/09/7)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83">B91</f>
        <v>1100.98</v>
      </c>
      <c r="U251" s="171">
        <f t="shared" si="83"/>
        <v>1066.98</v>
      </c>
      <c r="V251" s="171">
        <f t="shared" si="83"/>
        <v>1068.98</v>
      </c>
      <c r="W251" s="171">
        <f t="shared" si="83"/>
        <v>1053.48</v>
      </c>
      <c r="X251" s="171">
        <f t="shared" si="83"/>
        <v>1079.58</v>
      </c>
      <c r="Y251" s="171">
        <f t="shared" si="83"/>
        <v>1122.58</v>
      </c>
      <c r="Z251" s="171">
        <f t="shared" si="83"/>
        <v>1163.8800000000001</v>
      </c>
      <c r="AA251" s="171">
        <f t="shared" si="83"/>
        <v>1265.28</v>
      </c>
      <c r="AB251" s="171">
        <f t="shared" si="83"/>
        <v>1400.38</v>
      </c>
      <c r="AC251" s="171">
        <f t="shared" si="83"/>
        <v>1425.48</v>
      </c>
      <c r="AD251" s="171">
        <f t="shared" si="83"/>
        <v>1537.88</v>
      </c>
      <c r="AE251" s="171">
        <f t="shared" si="83"/>
        <v>1511.4299999999998</v>
      </c>
      <c r="AF251" s="171">
        <f t="shared" si="83"/>
        <v>1517.6299999999999</v>
      </c>
      <c r="AG251" s="171">
        <f t="shared" si="83"/>
        <v>1516.9299999999998</v>
      </c>
      <c r="AH251" s="171">
        <f t="shared" si="83"/>
        <v>1365.03</v>
      </c>
      <c r="AI251" s="171">
        <f t="shared" si="83"/>
        <v>1235.4299999999998</v>
      </c>
      <c r="AJ251" s="171">
        <f t="shared" si="83"/>
        <v>1175.4299999999998</v>
      </c>
      <c r="AK251" s="171">
        <f t="shared" si="83"/>
        <v>1145.33</v>
      </c>
      <c r="AL251" s="171">
        <f t="shared" si="83"/>
        <v>1112.33</v>
      </c>
      <c r="AM251" s="171">
        <f t="shared" si="83"/>
        <v>1172.73</v>
      </c>
      <c r="AN251" s="171">
        <f t="shared" si="83"/>
        <v>1297.1299999999999</v>
      </c>
      <c r="AO251" s="171">
        <f t="shared" si="83"/>
        <v>1445.2300000000002</v>
      </c>
      <c r="AP251" s="171">
        <f t="shared" si="83"/>
        <v>1708.3300000000002</v>
      </c>
      <c r="AQ251" s="171">
        <f t="shared" si="83"/>
        <v>1673.93</v>
      </c>
      <c r="AR251" s="171">
        <f t="shared" si="83"/>
        <v>1558.72</v>
      </c>
      <c r="AS251" s="171">
        <f t="shared" si="83"/>
        <v>1532.03</v>
      </c>
      <c r="AT251" s="171">
        <f t="shared" si="83"/>
        <v>1467.68</v>
      </c>
      <c r="AU251" s="171">
        <f t="shared" si="83"/>
        <v>1377.38</v>
      </c>
      <c r="AV251" s="171">
        <f t="shared" si="83"/>
        <v>1301.98</v>
      </c>
      <c r="AW251" s="171">
        <f t="shared" si="83"/>
        <v>1099.18</v>
      </c>
      <c r="AX251" s="171">
        <f t="shared" si="83"/>
        <v>1071.54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84">C236</f>
        <v>0.64</v>
      </c>
      <c r="C272" s="174">
        <f t="shared" si="84"/>
        <v>0.64</v>
      </c>
      <c r="D272" s="174">
        <f t="shared" si="84"/>
        <v>0.64</v>
      </c>
      <c r="E272" s="174">
        <f t="shared" si="84"/>
        <v>0.64</v>
      </c>
      <c r="F272" s="174">
        <f t="shared" si="84"/>
        <v>0.64</v>
      </c>
      <c r="G272" s="174">
        <f t="shared" si="84"/>
        <v>0.64</v>
      </c>
      <c r="H272" s="174">
        <f t="shared" si="84"/>
        <v>0.64</v>
      </c>
      <c r="I272" s="174">
        <f t="shared" si="84"/>
        <v>0.64</v>
      </c>
      <c r="J272" s="174">
        <f t="shared" si="84"/>
        <v>0.64</v>
      </c>
      <c r="K272" s="174">
        <f t="shared" si="84"/>
        <v>0.64</v>
      </c>
      <c r="L272" s="174">
        <f t="shared" si="84"/>
        <v>0.64</v>
      </c>
      <c r="M272" s="174">
        <f t="shared" si="84"/>
        <v>0.64</v>
      </c>
      <c r="N272" s="174">
        <f t="shared" si="84"/>
        <v>0.64</v>
      </c>
      <c r="O272" s="174">
        <f t="shared" si="84"/>
        <v>0.64</v>
      </c>
      <c r="P272" s="174">
        <f t="shared" si="84"/>
        <v>0.64</v>
      </c>
      <c r="Q272" s="174">
        <f t="shared" si="84"/>
        <v>0.64</v>
      </c>
      <c r="R272" s="174">
        <f t="shared" si="84"/>
        <v>0.64</v>
      </c>
      <c r="S272" s="174">
        <f t="shared" si="84"/>
        <v>0.64</v>
      </c>
      <c r="T272" s="174">
        <f t="shared" si="84"/>
        <v>0.64</v>
      </c>
      <c r="U272" s="174">
        <f t="shared" si="84"/>
        <v>0.64</v>
      </c>
      <c r="V272" s="174">
        <f t="shared" si="84"/>
        <v>0.64</v>
      </c>
      <c r="W272" s="174">
        <f t="shared" si="84"/>
        <v>0.64</v>
      </c>
      <c r="X272" s="174">
        <f t="shared" si="84"/>
        <v>0.64</v>
      </c>
      <c r="Y272" s="174">
        <f t="shared" si="84"/>
        <v>0.64</v>
      </c>
      <c r="Z272" s="174">
        <f t="shared" si="84"/>
        <v>0.64</v>
      </c>
      <c r="AA272" s="174">
        <f t="shared" si="84"/>
        <v>0.64</v>
      </c>
      <c r="AB272" s="174">
        <f t="shared" si="84"/>
        <v>0.64</v>
      </c>
      <c r="AC272" s="174">
        <f t="shared" si="84"/>
        <v>0.64</v>
      </c>
      <c r="AD272" s="174">
        <f t="shared" si="84"/>
        <v>0.64</v>
      </c>
      <c r="AE272" s="174">
        <f t="shared" si="84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85">IF(B240&lt;100,"",B240-520)</f>
        <v/>
      </c>
      <c r="C273" s="175" t="str">
        <f t="shared" si="85"/>
        <v/>
      </c>
      <c r="D273" s="175" t="str">
        <f t="shared" si="85"/>
        <v/>
      </c>
      <c r="E273" s="175" t="str">
        <f t="shared" si="85"/>
        <v/>
      </c>
      <c r="F273" s="175" t="str">
        <f t="shared" si="85"/>
        <v/>
      </c>
      <c r="G273" s="175" t="str">
        <f t="shared" si="85"/>
        <v/>
      </c>
      <c r="H273" s="175" t="str">
        <f t="shared" si="85"/>
        <v/>
      </c>
      <c r="I273" s="175" t="str">
        <f t="shared" si="85"/>
        <v/>
      </c>
      <c r="J273" s="175" t="str">
        <f t="shared" si="85"/>
        <v/>
      </c>
      <c r="K273" s="175" t="str">
        <f t="shared" si="85"/>
        <v/>
      </c>
      <c r="L273" s="175" t="str">
        <f t="shared" si="85"/>
        <v/>
      </c>
      <c r="M273" s="175" t="str">
        <f t="shared" si="85"/>
        <v/>
      </c>
      <c r="N273" s="175" t="str">
        <f t="shared" si="85"/>
        <v/>
      </c>
      <c r="O273" s="175" t="str">
        <f t="shared" si="85"/>
        <v/>
      </c>
      <c r="P273" s="175" t="str">
        <f t="shared" si="85"/>
        <v/>
      </c>
      <c r="Q273" s="175" t="str">
        <f t="shared" si="85"/>
        <v/>
      </c>
      <c r="R273" s="175" t="str">
        <f t="shared" si="85"/>
        <v/>
      </c>
      <c r="S273" s="175" t="str">
        <f t="shared" si="85"/>
        <v/>
      </c>
      <c r="T273" s="175" t="str">
        <f t="shared" si="85"/>
        <v/>
      </c>
      <c r="U273" s="175" t="str">
        <f t="shared" si="85"/>
        <v/>
      </c>
      <c r="V273" s="175" t="str">
        <f t="shared" si="85"/>
        <v/>
      </c>
      <c r="W273" s="175" t="str">
        <f t="shared" si="85"/>
        <v/>
      </c>
      <c r="X273" s="175" t="str">
        <f t="shared" si="85"/>
        <v/>
      </c>
      <c r="Y273" s="175" t="str">
        <f t="shared" si="85"/>
        <v/>
      </c>
      <c r="Z273" s="175" t="str">
        <f t="shared" si="85"/>
        <v/>
      </c>
      <c r="AA273" s="175" t="str">
        <f t="shared" si="85"/>
        <v/>
      </c>
      <c r="AB273" s="175" t="str">
        <f t="shared" si="85"/>
        <v/>
      </c>
      <c r="AC273" s="175" t="str">
        <f t="shared" si="85"/>
        <v/>
      </c>
      <c r="AD273" s="175" t="str">
        <f t="shared" si="85"/>
        <v/>
      </c>
      <c r="AE273" s="175" t="str">
        <f t="shared" si="85"/>
        <v/>
      </c>
      <c r="AF273" s="175" t="str">
        <f t="shared" si="85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86">IF(B241&lt;100,"",B241-620)</f>
        <v/>
      </c>
      <c r="C274" s="175" t="str">
        <f t="shared" si="86"/>
        <v/>
      </c>
      <c r="D274" s="175" t="str">
        <f t="shared" si="86"/>
        <v/>
      </c>
      <c r="E274" s="175" t="str">
        <f t="shared" si="86"/>
        <v/>
      </c>
      <c r="F274" s="175" t="str">
        <f t="shared" si="86"/>
        <v/>
      </c>
      <c r="G274" s="175" t="str">
        <f t="shared" si="86"/>
        <v/>
      </c>
      <c r="H274" s="175" t="str">
        <f t="shared" si="86"/>
        <v/>
      </c>
      <c r="I274" s="175" t="str">
        <f t="shared" si="86"/>
        <v/>
      </c>
      <c r="J274" s="175" t="str">
        <f t="shared" si="86"/>
        <v/>
      </c>
      <c r="K274" s="175" t="str">
        <f t="shared" si="86"/>
        <v/>
      </c>
      <c r="L274" s="175" t="str">
        <f t="shared" si="86"/>
        <v/>
      </c>
      <c r="M274" s="175" t="str">
        <f t="shared" si="86"/>
        <v/>
      </c>
      <c r="N274" s="175" t="str">
        <f t="shared" si="86"/>
        <v/>
      </c>
      <c r="O274" s="175" t="str">
        <f t="shared" si="86"/>
        <v/>
      </c>
      <c r="P274" s="175" t="str">
        <f t="shared" si="86"/>
        <v/>
      </c>
      <c r="Q274" s="175" t="str">
        <f t="shared" si="86"/>
        <v/>
      </c>
      <c r="R274" s="175" t="str">
        <f t="shared" si="86"/>
        <v/>
      </c>
      <c r="S274" s="175" t="str">
        <f t="shared" si="86"/>
        <v/>
      </c>
      <c r="T274" s="175" t="str">
        <f t="shared" si="86"/>
        <v/>
      </c>
      <c r="U274" s="175" t="str">
        <f t="shared" si="86"/>
        <v/>
      </c>
      <c r="V274" s="175" t="str">
        <f t="shared" si="86"/>
        <v/>
      </c>
      <c r="W274" s="175" t="str">
        <f t="shared" si="86"/>
        <v/>
      </c>
      <c r="X274" s="175" t="str">
        <f t="shared" si="86"/>
        <v/>
      </c>
      <c r="Y274" s="175" t="str">
        <f t="shared" si="86"/>
        <v/>
      </c>
      <c r="Z274" s="175" t="str">
        <f t="shared" si="86"/>
        <v/>
      </c>
      <c r="AA274" s="175" t="str">
        <f t="shared" si="86"/>
        <v/>
      </c>
      <c r="AB274" s="175" t="str">
        <f t="shared" si="86"/>
        <v/>
      </c>
      <c r="AC274" s="175" t="str">
        <f t="shared" si="86"/>
        <v/>
      </c>
      <c r="AD274" s="175" t="str">
        <f t="shared" si="86"/>
        <v/>
      </c>
      <c r="AE274" s="175" t="str">
        <f t="shared" si="86"/>
        <v/>
      </c>
      <c r="AF274" s="175" t="str">
        <f t="shared" si="86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87">IF(B242&lt;100,"",B242-330)</f>
        <v/>
      </c>
      <c r="C275" s="175" t="str">
        <f t="shared" si="87"/>
        <v/>
      </c>
      <c r="D275" s="175" t="str">
        <f t="shared" si="87"/>
        <v/>
      </c>
      <c r="E275" s="175" t="str">
        <f t="shared" si="87"/>
        <v/>
      </c>
      <c r="F275" s="175" t="str">
        <f t="shared" si="87"/>
        <v/>
      </c>
      <c r="G275" s="175" t="str">
        <f t="shared" si="87"/>
        <v/>
      </c>
      <c r="H275" s="175" t="str">
        <f t="shared" si="87"/>
        <v/>
      </c>
      <c r="I275" s="175" t="str">
        <f t="shared" si="87"/>
        <v/>
      </c>
      <c r="J275" s="175" t="str">
        <f t="shared" si="87"/>
        <v/>
      </c>
      <c r="K275" s="175" t="str">
        <f t="shared" si="87"/>
        <v/>
      </c>
      <c r="L275" s="175" t="str">
        <f t="shared" si="87"/>
        <v/>
      </c>
      <c r="M275" s="175" t="str">
        <f t="shared" si="87"/>
        <v/>
      </c>
      <c r="N275" s="175" t="str">
        <f t="shared" si="87"/>
        <v/>
      </c>
      <c r="O275" s="175" t="str">
        <f t="shared" si="87"/>
        <v/>
      </c>
      <c r="P275" s="175" t="str">
        <f t="shared" si="87"/>
        <v/>
      </c>
      <c r="Q275" s="175" t="str">
        <f t="shared" si="87"/>
        <v/>
      </c>
      <c r="R275" s="175" t="str">
        <f t="shared" si="87"/>
        <v/>
      </c>
      <c r="S275" s="175" t="str">
        <f t="shared" si="87"/>
        <v/>
      </c>
      <c r="T275" s="175" t="str">
        <f t="shared" si="87"/>
        <v/>
      </c>
      <c r="U275" s="175" t="str">
        <f t="shared" si="87"/>
        <v/>
      </c>
      <c r="V275" s="175" t="str">
        <f t="shared" si="87"/>
        <v/>
      </c>
      <c r="W275" s="175" t="str">
        <f t="shared" si="87"/>
        <v/>
      </c>
      <c r="X275" s="175" t="str">
        <f t="shared" si="87"/>
        <v/>
      </c>
      <c r="Y275" s="175" t="str">
        <f t="shared" si="87"/>
        <v/>
      </c>
      <c r="Z275" s="175" t="str">
        <f t="shared" si="87"/>
        <v/>
      </c>
      <c r="AA275" s="175" t="str">
        <f t="shared" si="87"/>
        <v/>
      </c>
      <c r="AB275" s="175" t="str">
        <f t="shared" si="87"/>
        <v/>
      </c>
      <c r="AC275" s="175" t="str">
        <f t="shared" si="87"/>
        <v/>
      </c>
      <c r="AD275" s="175" t="str">
        <f t="shared" si="87"/>
        <v/>
      </c>
      <c r="AE275" s="175" t="str">
        <f t="shared" si="87"/>
        <v/>
      </c>
      <c r="AF275" s="175" t="str">
        <f t="shared" si="87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88">IF(B243&lt;100,"",B243-1500)</f>
        <v/>
      </c>
      <c r="C276" s="175" t="str">
        <f t="shared" si="88"/>
        <v/>
      </c>
      <c r="D276" s="175" t="str">
        <f t="shared" si="88"/>
        <v/>
      </c>
      <c r="E276" s="175" t="str">
        <f t="shared" si="88"/>
        <v/>
      </c>
      <c r="F276" s="175" t="str">
        <f t="shared" si="88"/>
        <v/>
      </c>
      <c r="G276" s="175" t="str">
        <f t="shared" si="88"/>
        <v/>
      </c>
      <c r="H276" s="175" t="str">
        <f t="shared" si="88"/>
        <v/>
      </c>
      <c r="I276" s="175" t="str">
        <f t="shared" si="88"/>
        <v/>
      </c>
      <c r="J276" s="175" t="str">
        <f t="shared" si="88"/>
        <v/>
      </c>
      <c r="K276" s="175" t="str">
        <f t="shared" si="88"/>
        <v/>
      </c>
      <c r="L276" s="175" t="str">
        <f t="shared" si="88"/>
        <v/>
      </c>
      <c r="M276" s="175" t="str">
        <f t="shared" si="88"/>
        <v/>
      </c>
      <c r="N276" s="175" t="str">
        <f t="shared" si="88"/>
        <v/>
      </c>
      <c r="O276" s="175" t="str">
        <f t="shared" si="88"/>
        <v/>
      </c>
      <c r="P276" s="175" t="str">
        <f t="shared" si="88"/>
        <v/>
      </c>
      <c r="Q276" s="175" t="str">
        <f t="shared" si="88"/>
        <v/>
      </c>
      <c r="R276" s="175" t="str">
        <f t="shared" si="88"/>
        <v/>
      </c>
      <c r="S276" s="175" t="str">
        <f t="shared" si="88"/>
        <v/>
      </c>
      <c r="T276" s="175" t="str">
        <f t="shared" si="88"/>
        <v/>
      </c>
      <c r="U276" s="175" t="str">
        <f t="shared" si="88"/>
        <v/>
      </c>
      <c r="V276" s="175" t="str">
        <f t="shared" si="88"/>
        <v/>
      </c>
      <c r="W276" s="175" t="str">
        <f t="shared" si="88"/>
        <v/>
      </c>
      <c r="X276" s="175" t="str">
        <f t="shared" si="88"/>
        <v/>
      </c>
      <c r="Y276" s="175" t="str">
        <f t="shared" si="88"/>
        <v/>
      </c>
      <c r="Z276" s="175" t="str">
        <f t="shared" si="88"/>
        <v/>
      </c>
      <c r="AA276" s="175" t="str">
        <f t="shared" si="88"/>
        <v/>
      </c>
      <c r="AB276" s="175" t="str">
        <f t="shared" si="88"/>
        <v/>
      </c>
      <c r="AC276" s="175" t="str">
        <f t="shared" si="88"/>
        <v/>
      </c>
      <c r="AD276" s="175" t="str">
        <f t="shared" si="88"/>
        <v/>
      </c>
      <c r="AE276" s="175" t="str">
        <f t="shared" si="88"/>
        <v/>
      </c>
      <c r="AF276" s="175" t="str">
        <f t="shared" si="88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8:B24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8">
    <cfRule type="expression" dxfId="3017" priority="5">
      <formula>$AH11=0</formula>
    </cfRule>
  </conditionalFormatting>
  <conditionalFormatting sqref="B8 M8 S8 AB8">
    <cfRule type="expression" dxfId="3016" priority="124">
      <formula>AND(C$9&gt;=8/24,C$9&lt;14/24)</formula>
    </cfRule>
    <cfRule type="expression" dxfId="3015" priority="123">
      <formula>AND(C$9&gt;=14/24,C$9&lt;20/24)</formula>
    </cfRule>
    <cfRule type="expression" dxfId="3014" priority="125">
      <formula>C$9&lt;8/24</formula>
    </cfRule>
  </conditionalFormatting>
  <conditionalFormatting sqref="B54:C54 B73:AF91">
    <cfRule type="expression" dxfId="3013" priority="49">
      <formula>AND(B$9&gt;=8/24,B$9&lt;14/24)</formula>
    </cfRule>
    <cfRule type="expression" dxfId="3012" priority="50">
      <formula>B$9&lt;8/24</formula>
    </cfRule>
    <cfRule type="expression" dxfId="3011" priority="47">
      <formula>B$9&gt;=20/24</formula>
    </cfRule>
    <cfRule type="expression" dxfId="3010" priority="48">
      <formula>AND(B$9&gt;=14/24,B$9&lt;20/24)</formula>
    </cfRule>
  </conditionalFormatting>
  <conditionalFormatting sqref="B54:C66">
    <cfRule type="expression" dxfId="3009" priority="42">
      <formula>B54&gt;$AG54</formula>
    </cfRule>
  </conditionalFormatting>
  <conditionalFormatting sqref="B55:D59 E58:E59 F59">
    <cfRule type="expression" dxfId="3008" priority="72">
      <formula>B$9&lt;8/24</formula>
    </cfRule>
    <cfRule type="expression" dxfId="3007" priority="71">
      <formula>AND(B$9&gt;=8/24,B$9&lt;14/24)</formula>
    </cfRule>
    <cfRule type="expression" dxfId="3006" priority="70">
      <formula>AND(B$9&gt;=14/24,B$9&lt;20/24)</formula>
    </cfRule>
    <cfRule type="expression" dxfId="3005" priority="69">
      <formula>B$9&gt;=20/24</formula>
    </cfRule>
  </conditionalFormatting>
  <conditionalFormatting sqref="B60:W60">
    <cfRule type="expression" dxfId="3004" priority="60">
      <formula>B$9&gt;=20/24</formula>
    </cfRule>
    <cfRule type="expression" dxfId="3003" priority="63">
      <formula>B$9&lt;8/24</formula>
    </cfRule>
    <cfRule type="expression" dxfId="3002" priority="62">
      <formula>AND(B$9&gt;=8/24,B$9&lt;14/24)</formula>
    </cfRule>
    <cfRule type="expression" dxfId="3001" priority="61">
      <formula>AND(B$9&gt;=14/24,B$9&lt;20/24)</formula>
    </cfRule>
  </conditionalFormatting>
  <conditionalFormatting sqref="B9:AF45">
    <cfRule type="expression" dxfId="3000" priority="32">
      <formula>B$9&gt;=20/24</formula>
    </cfRule>
    <cfRule type="expression" dxfId="2999" priority="33">
      <formula>AND(B$9&gt;=14/24,B$9&lt;20/24)</formula>
    </cfRule>
    <cfRule type="expression" dxfId="2998" priority="34">
      <formula>AND(B$9&gt;=8/24,B$9&lt;14/24)</formula>
    </cfRule>
    <cfRule type="expression" dxfId="2997" priority="35">
      <formula>B$9&lt;8/24</formula>
    </cfRule>
  </conditionalFormatting>
  <conditionalFormatting sqref="B11:AF46">
    <cfRule type="expression" dxfId="2996" priority="31">
      <formula>B11&gt;$AG11</formula>
    </cfRule>
  </conditionalFormatting>
  <conditionalFormatting sqref="B46:AF46">
    <cfRule type="expression" dxfId="2995" priority="27">
      <formula>B$9&gt;=20/24</formula>
    </cfRule>
    <cfRule type="expression" dxfId="2994" priority="28">
      <formula>AND(B$9&gt;=14/24,B$9&lt;20/24)</formula>
    </cfRule>
    <cfRule type="expression" dxfId="2993" priority="29">
      <formula>AND(B$9&gt;=8/24,B$9&lt;14/24)</formula>
    </cfRule>
    <cfRule type="expression" dxfId="2992" priority="30">
      <formula>B$9&lt;8/24</formula>
    </cfRule>
  </conditionalFormatting>
  <conditionalFormatting sqref="B47:AF47">
    <cfRule type="expression" dxfId="2991" priority="41">
      <formula>B47&gt;$AG47</formula>
    </cfRule>
  </conditionalFormatting>
  <conditionalFormatting sqref="B47:AF49">
    <cfRule type="expression" dxfId="2990" priority="39">
      <formula>AND(B$9&gt;=8/24,B$9&lt;14/24)</formula>
    </cfRule>
    <cfRule type="expression" dxfId="2989" priority="37">
      <formula>B$9&gt;=20/24</formula>
    </cfRule>
    <cfRule type="expression" dxfId="2988" priority="38">
      <formula>AND(B$9&gt;=14/24,B$9&lt;20/24)</formula>
    </cfRule>
    <cfRule type="expression" dxfId="2987" priority="40">
      <formula>B$9&lt;8/24</formula>
    </cfRule>
  </conditionalFormatting>
  <conditionalFormatting sqref="B48:AF53">
    <cfRule type="expression" dxfId="2986" priority="36">
      <formula>B48&gt;$AG48</formula>
    </cfRule>
  </conditionalFormatting>
  <conditionalFormatting sqref="B51:AF53">
    <cfRule type="expression" dxfId="2985" priority="56">
      <formula>B$9&gt;=20/24</formula>
    </cfRule>
    <cfRule type="expression" dxfId="2984" priority="57">
      <formula>AND(B$9&gt;=14/24,B$9&lt;20/24)</formula>
    </cfRule>
    <cfRule type="expression" dxfId="2983" priority="58">
      <formula>AND(B$9&gt;=8/24,B$9&lt;14/24)</formula>
    </cfRule>
    <cfRule type="expression" dxfId="2982" priority="59">
      <formula>B$9&lt;8/24</formula>
    </cfRule>
  </conditionalFormatting>
  <conditionalFormatting sqref="B61:AF66">
    <cfRule type="expression" dxfId="2981" priority="43">
      <formula>B$9&gt;=20/24</formula>
    </cfRule>
    <cfRule type="expression" dxfId="2980" priority="44">
      <formula>AND(B$9&gt;=14/24,B$9&lt;20/24)</formula>
    </cfRule>
    <cfRule type="expression" dxfId="2979" priority="46">
      <formula>B$9&lt;8/24</formula>
    </cfRule>
    <cfRule type="expression" dxfId="2978" priority="45">
      <formula>AND(B$9&gt;=8/24,B$9&lt;14/24)</formula>
    </cfRule>
  </conditionalFormatting>
  <conditionalFormatting sqref="B69:AF71">
    <cfRule type="expression" dxfId="2977" priority="66">
      <formula>AND(B$9&gt;=14/24,B$9&lt;20/24)</formula>
    </cfRule>
    <cfRule type="expression" dxfId="2976" priority="67">
      <formula>AND(B$9&gt;=8/24,B$9&lt;14/24)</formula>
    </cfRule>
    <cfRule type="expression" dxfId="2975" priority="68">
      <formula>B$9&lt;8/24</formula>
    </cfRule>
    <cfRule type="expression" dxfId="2974" priority="64">
      <formula>B69&gt;$AG69</formula>
    </cfRule>
    <cfRule type="expression" dxfId="2973" priority="65">
      <formula>B$9&gt;=20/24</formula>
    </cfRule>
  </conditionalFormatting>
  <conditionalFormatting sqref="B93:AF109">
    <cfRule type="expression" dxfId="2972" priority="6">
      <formula>B$9&gt;=20/24</formula>
    </cfRule>
    <cfRule type="expression" dxfId="2971" priority="7">
      <formula>AND(B$9&gt;=14/24,B$9&lt;20/24)</formula>
    </cfRule>
    <cfRule type="expression" dxfId="2970" priority="8">
      <formula>AND(B$9&gt;=8/24,B$9&lt;14/24)</formula>
    </cfRule>
    <cfRule type="expression" dxfId="2969" priority="9">
      <formula>B$9&lt;8/24</formula>
    </cfRule>
  </conditionalFormatting>
  <conditionalFormatting sqref="B111:AF122">
    <cfRule type="expression" dxfId="2968" priority="24">
      <formula>AND(B$9&gt;=14/24,B$9&lt;20/24)</formula>
    </cfRule>
    <cfRule type="expression" dxfId="2967" priority="23">
      <formula>B$9&gt;=20/24</formula>
    </cfRule>
    <cfRule type="expression" dxfId="2966" priority="26">
      <formula>B$9&lt;8/24</formula>
    </cfRule>
    <cfRule type="expression" dxfId="2965" priority="25">
      <formula>AND(B$9&gt;=8/24,B$9&lt;14/24)</formula>
    </cfRule>
  </conditionalFormatting>
  <conditionalFormatting sqref="B229:AF229 B231:B237 D231:AF237 U250:AF250">
    <cfRule type="expression" dxfId="2964" priority="119">
      <formula>B$9&lt;8/24</formula>
    </cfRule>
    <cfRule type="expression" dxfId="2963" priority="118">
      <formula>AND(B$9&gt;=8/24,B$9&lt;14/24)</formula>
    </cfRule>
    <cfRule type="expression" dxfId="2962" priority="116">
      <formula>B$9&gt;=20/24</formula>
    </cfRule>
    <cfRule type="expression" dxfId="2961" priority="117">
      <formula>AND(B$9&gt;=14/24,B$9&lt;20/24)</formula>
    </cfRule>
  </conditionalFormatting>
  <conditionalFormatting sqref="B67:AG68 B72:AG72">
    <cfRule type="expression" dxfId="2960" priority="51">
      <formula>B67&gt;$AG67</formula>
    </cfRule>
  </conditionalFormatting>
  <conditionalFormatting sqref="B72:AG72">
    <cfRule type="expression" dxfId="2959" priority="53">
      <formula>AND(B$9&gt;=14/24,B$9&lt;20/24)</formula>
    </cfRule>
    <cfRule type="expression" dxfId="2958" priority="54">
      <formula>AND(B$9&gt;=8/24,B$9&lt;14/24)</formula>
    </cfRule>
    <cfRule type="expression" dxfId="2957" priority="55">
      <formula>B$9&lt;8/24</formula>
    </cfRule>
    <cfRule type="expression" dxfId="2956" priority="52">
      <formula>B$9&gt;=20/24</formula>
    </cfRule>
  </conditionalFormatting>
  <conditionalFormatting sqref="D55:AF66">
    <cfRule type="expression" dxfId="2955" priority="14">
      <formula>D55&gt;$AG55</formula>
    </cfRule>
  </conditionalFormatting>
  <conditionalFormatting sqref="D54:AG54">
    <cfRule type="expression" dxfId="2954" priority="88">
      <formula>D$9&lt;8/24</formula>
    </cfRule>
    <cfRule type="expression" dxfId="2953" priority="84">
      <formula>D54&gt;$AG54</formula>
    </cfRule>
    <cfRule type="expression" dxfId="2952" priority="87">
      <formula>AND(D$9&gt;=8/24,D$9&lt;14/24)</formula>
    </cfRule>
    <cfRule type="expression" dxfId="2951" priority="86">
      <formula>AND(D$9&gt;=14/24,D$9&lt;20/24)</formula>
    </cfRule>
    <cfRule type="expression" dxfId="2950" priority="85">
      <formula>D$9&gt;=20/24</formula>
    </cfRule>
  </conditionalFormatting>
  <conditionalFormatting sqref="E55:N57 O57:P57">
    <cfRule type="expression" dxfId="2949" priority="97">
      <formula>E$9&gt;=20/24</formula>
    </cfRule>
    <cfRule type="expression" dxfId="2948" priority="98">
      <formula>AND(E$9&gt;=14/24,E$9&lt;20/24)</formula>
    </cfRule>
    <cfRule type="expression" dxfId="2947" priority="99">
      <formula>AND(E$9&gt;=8/24,E$9&lt;14/24)</formula>
    </cfRule>
    <cfRule type="expression" dxfId="2946" priority="100">
      <formula>E$9&lt;8/24</formula>
    </cfRule>
  </conditionalFormatting>
  <conditionalFormatting sqref="M58:W59">
    <cfRule type="expression" dxfId="2945" priority="2">
      <formula>AND(M$9&gt;=14/24,M$9&lt;20/24)</formula>
    </cfRule>
    <cfRule type="expression" dxfId="2944" priority="1">
      <formula>M$9&gt;=20/24</formula>
    </cfRule>
    <cfRule type="expression" dxfId="2943" priority="4">
      <formula>M$9&lt;8/24</formula>
    </cfRule>
    <cfRule type="expression" dxfId="2942" priority="3">
      <formula>AND(M$9&gt;=8/24,M$9&lt;14/24)</formula>
    </cfRule>
  </conditionalFormatting>
  <conditionalFormatting sqref="N55:W59">
    <cfRule type="expression" dxfId="2941" priority="101">
      <formula>N$9&gt;=20/24</formula>
    </cfRule>
    <cfRule type="expression" dxfId="2940" priority="102">
      <formula>AND(N$9&gt;=14/24,N$9&lt;20/24)</formula>
    </cfRule>
    <cfRule type="expression" dxfId="2939" priority="103">
      <formula>AND(N$9&gt;=8/24,N$9&lt;14/24)</formula>
    </cfRule>
    <cfRule type="expression" dxfId="2938" priority="104">
      <formula>N$9&lt;8/24</formula>
    </cfRule>
  </conditionalFormatting>
  <conditionalFormatting sqref="O3:P3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937" priority="122">
      <formula>C$9&gt;=20/24</formula>
    </cfRule>
  </conditionalFormatting>
  <conditionalFormatting sqref="S8">
    <cfRule type="expression" dxfId="2936" priority="110">
      <formula>AND(U$9&gt;=14/24,U$9&lt;20/24)</formula>
    </cfRule>
    <cfRule type="expression" dxfId="2935" priority="111">
      <formula>AND(U$9&gt;=8/24,U$9&lt;14/24)</formula>
    </cfRule>
    <cfRule type="expression" dxfId="2934" priority="112">
      <formula>U$9&lt;8/24</formula>
    </cfRule>
    <cfRule type="expression" dxfId="2933" priority="109">
      <formula>U$9&gt;=20/24</formula>
    </cfRule>
  </conditionalFormatting>
  <conditionalFormatting sqref="T250">
    <cfRule type="expression" dxfId="2932" priority="134">
      <formula>AX$9&gt;=20/24</formula>
    </cfRule>
    <cfRule type="expression" dxfId="2931" priority="135">
      <formula>AND(AX$9&gt;=14/24,AX$9&lt;20/24)</formula>
    </cfRule>
    <cfRule type="expression" dxfId="2930" priority="136">
      <formula>AND(AX$9&gt;=8/24,AX$9&lt;14/24)</formula>
    </cfRule>
    <cfRule type="expression" dxfId="2929" priority="137">
      <formula>AX$9&lt;8/24</formula>
    </cfRule>
  </conditionalFormatting>
  <conditionalFormatting sqref="V3 AB3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X55:AF60">
    <cfRule type="expression" dxfId="2928" priority="20">
      <formula>AND(X$9&gt;=14/24,X$9&lt;20/24)</formula>
    </cfRule>
    <cfRule type="expression" dxfId="2927" priority="19">
      <formula>X$9&gt;=20/24</formula>
    </cfRule>
    <cfRule type="expression" dxfId="2926" priority="22">
      <formula>X$9&lt;8/24</formula>
    </cfRule>
    <cfRule type="expression" dxfId="2925" priority="21">
      <formula>AND(X$9&gt;=8/24,X$9&lt;14/24)</formula>
    </cfRule>
  </conditionalFormatting>
  <conditionalFormatting sqref="AB8">
    <cfRule type="expression" dxfId="2924" priority="106">
      <formula>AND(AD$9&gt;=14/24,AD$9&lt;20/24)</formula>
    </cfRule>
    <cfRule type="expression" dxfId="2923" priority="107">
      <formula>AND(AD$9&gt;=8/24,AD$9&lt;14/24)</formula>
    </cfRule>
    <cfRule type="expression" dxfId="2922" priority="108">
      <formula>AD$9&lt;8/24</formula>
    </cfRule>
    <cfRule type="expression" dxfId="2921" priority="105">
      <formula>AD$9&gt;=20/24</formula>
    </cfRule>
  </conditionalFormatting>
  <conditionalFormatting sqref="AE61:AF66">
    <cfRule type="expression" dxfId="2920" priority="18">
      <formula>AE$9&lt;8/24</formula>
    </cfRule>
    <cfRule type="expression" dxfId="2919" priority="17">
      <formula>AND(AE$9&gt;=8/24,AE$9&lt;14/24)</formula>
    </cfRule>
    <cfRule type="expression" dxfId="2918" priority="16">
      <formula>AND(AE$9&gt;=14/24,AE$9&lt;20/24)</formula>
    </cfRule>
    <cfRule type="expression" dxfId="2917" priority="15">
      <formula>AE$9&gt;=20/24</formula>
    </cfRule>
  </conditionalFormatting>
  <conditionalFormatting sqref="AG50">
    <cfRule type="expression" dxfId="2916" priority="92">
      <formula>AG50&gt;$AG50</formula>
    </cfRule>
  </conditionalFormatting>
  <conditionalFormatting sqref="AG89">
    <cfRule type="expression" dxfId="2915" priority="93">
      <formula>AG$9&gt;=20/24</formula>
    </cfRule>
    <cfRule type="expression" dxfId="2914" priority="94">
      <formula>AND(AG$9&gt;=14/24,AG$9&lt;20/24)</formula>
    </cfRule>
    <cfRule type="expression" dxfId="2913" priority="95">
      <formula>AND(AG$9&gt;=8/24,AG$9&lt;14/24)</formula>
    </cfRule>
    <cfRule type="expression" dxfId="2912" priority="96">
      <formula>AG$9&lt;8/24</formula>
    </cfRule>
  </conditionalFormatting>
  <conditionalFormatting sqref="AG250">
    <cfRule type="expression" dxfId="2911" priority="126">
      <formula>B$9&gt;=20/24</formula>
    </cfRule>
    <cfRule type="expression" dxfId="2910" priority="127">
      <formula>AND(B$9&gt;=14/24,B$9&lt;20/24)</formula>
    </cfRule>
    <cfRule type="expression" dxfId="2909" priority="128">
      <formula>AND(B$9&gt;=8/24,B$9&lt;14/24)</formula>
    </cfRule>
    <cfRule type="expression" dxfId="2908" priority="129">
      <formula>B$9&lt;8/24</formula>
    </cfRule>
  </conditionalFormatting>
  <conditionalFormatting sqref="AH250:AX250">
    <cfRule type="expression" dxfId="2907" priority="130">
      <formula>AG$9&gt;=20/24</formula>
    </cfRule>
    <cfRule type="expression" dxfId="2906" priority="131">
      <formula>AND(AG$9&gt;=14/24,AG$9&lt;20/24)</formula>
    </cfRule>
    <cfRule type="expression" dxfId="2905" priority="132">
      <formula>AND(AG$9&gt;=8/24,AG$9&lt;14/24)</formula>
    </cfRule>
    <cfRule type="expression" dxfId="2904" priority="133">
      <formula>AG$9&lt;8/24</formula>
    </cfRule>
  </conditionalFormatting>
  <conditionalFormatting sqref="AL4:AL6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9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903" priority="142">
      <formula>AJ$9&lt;8/24</formula>
    </cfRule>
    <cfRule type="expression" dxfId="2902" priority="139">
      <formula>AJ$9&gt;=20/24</formula>
    </cfRule>
    <cfRule type="expression" dxfId="2901" priority="140">
      <formula>AND(AJ$9&gt;=14/24,AJ$9&lt;20/24)</formula>
    </cfRule>
    <cfRule type="expression" dxfId="2900" priority="141">
      <formula>AND(AJ$9&gt;=8/24,AJ$9&lt;14/24)</formula>
    </cfRule>
  </conditionalFormatting>
  <conditionalFormatting sqref="AL80:AN80 AL86:AN86">
    <cfRule type="expression" dxfId="2899" priority="82">
      <formula>AND(AL$9&gt;=8/24,AL$9&lt;14/24)</formula>
    </cfRule>
    <cfRule type="expression" dxfId="2898" priority="83">
      <formula>AL$9&lt;8/24</formula>
    </cfRule>
    <cfRule type="expression" dxfId="2897" priority="80">
      <formula>AL$9&gt;=20/24</formula>
    </cfRule>
    <cfRule type="expression" dxfId="2896" priority="81">
      <formula>AND(AL$9&gt;=14/24,AL$9&lt;20/24)</formula>
    </cfRule>
  </conditionalFormatting>
  <conditionalFormatting sqref="AN81:AN84">
    <cfRule type="expression" dxfId="2895" priority="77">
      <formula>AND(AN$9&gt;=14/24,AN$9&lt;20/24)</formula>
    </cfRule>
    <cfRule type="expression" dxfId="2894" priority="78">
      <formula>AND(AN$9&gt;=8/24,AN$9&lt;14/24)</formula>
    </cfRule>
    <cfRule type="expression" dxfId="2893" priority="79">
      <formula>AN$9&lt;8/24</formula>
    </cfRule>
    <cfRule type="expression" dxfId="2892" priority="76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41DA-7A50-4796-A3DD-1B8CDF4BE8C4}">
  <sheetPr codeName="Sheet9"/>
  <dimension ref="A1:CJ283"/>
  <sheetViews>
    <sheetView workbookViewId="0">
      <pane xSplit="1" ySplit="10" topLeftCell="B7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W122" sqref="W12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2080/09/8</v>
      </c>
      <c r="C4" s="246"/>
      <c r="D4" s="246"/>
      <c r="E4" s="247" t="str">
        <f ca="1">"2080/"&amp;"09/"&amp;INT(MID(CELL("filename",G6),FIND("]",CELL("filename",G6))+1,200))</f>
        <v>2080/09/8</v>
      </c>
      <c r="F4" s="247"/>
      <c r="G4" s="247"/>
      <c r="H4" s="247" t="str">
        <f ca="1">TEXT(E4,"dddd")</f>
        <v>Sunday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128</v>
      </c>
      <c r="C5" s="30">
        <f t="shared" si="0"/>
        <v>62</v>
      </c>
      <c r="D5" s="30">
        <f t="shared" si="0"/>
        <v>66.8</v>
      </c>
      <c r="E5" s="30">
        <f t="shared" si="0"/>
        <v>50.5</v>
      </c>
      <c r="F5" s="30">
        <f t="shared" si="0"/>
        <v>143.6</v>
      </c>
      <c r="G5" s="30">
        <f t="shared" si="0"/>
        <v>105</v>
      </c>
      <c r="H5" s="30">
        <f t="shared" si="0"/>
        <v>121.9</v>
      </c>
      <c r="I5" s="30">
        <f t="shared" si="0"/>
        <v>121.9</v>
      </c>
      <c r="J5" s="30">
        <f t="shared" si="0"/>
        <v>195.6</v>
      </c>
      <c r="K5" s="30">
        <f t="shared" si="0"/>
        <v>224.3</v>
      </c>
      <c r="L5" s="30">
        <f t="shared" si="0"/>
        <v>55.599999999999994</v>
      </c>
      <c r="M5" s="30">
        <f t="shared" si="0"/>
        <v>40</v>
      </c>
      <c r="N5" s="30">
        <f t="shared" si="0"/>
        <v>207.5</v>
      </c>
      <c r="O5" s="30">
        <f t="shared" si="0"/>
        <v>254.7</v>
      </c>
      <c r="P5" s="30">
        <f t="shared" si="0"/>
        <v>254.60000000000002</v>
      </c>
      <c r="Q5" s="30">
        <f t="shared" si="0"/>
        <v>355</v>
      </c>
      <c r="R5" s="30">
        <f t="shared" si="0"/>
        <v>285</v>
      </c>
      <c r="S5" s="30">
        <f t="shared" si="0"/>
        <v>334.5</v>
      </c>
      <c r="T5" s="30">
        <f t="shared" si="0"/>
        <v>332.1</v>
      </c>
      <c r="U5" s="30">
        <f t="shared" si="0"/>
        <v>201.2</v>
      </c>
      <c r="V5" s="30">
        <f t="shared" si="0"/>
        <v>87.3</v>
      </c>
      <c r="W5" s="30">
        <f t="shared" si="0"/>
        <v>52.3</v>
      </c>
      <c r="X5" s="30">
        <f t="shared" si="0"/>
        <v>41.400000000000006</v>
      </c>
      <c r="Y5" s="30">
        <f t="shared" si="0"/>
        <v>36</v>
      </c>
      <c r="Z5" s="30">
        <f t="shared" si="0"/>
        <v>168</v>
      </c>
      <c r="AA5" s="30">
        <f t="shared" si="0"/>
        <v>208</v>
      </c>
      <c r="AB5" s="30">
        <f t="shared" si="0"/>
        <v>217.1</v>
      </c>
      <c r="AC5" s="30">
        <f t="shared" si="0"/>
        <v>228</v>
      </c>
      <c r="AD5" s="30">
        <f t="shared" si="0"/>
        <v>175</v>
      </c>
      <c r="AE5" s="30">
        <f t="shared" si="0"/>
        <v>178.7</v>
      </c>
      <c r="AF5" s="30">
        <f>B84</f>
        <v>143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1644MW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Load=996</v>
      </c>
      <c r="B7" s="35">
        <f>B92</f>
        <v>1040.18</v>
      </c>
      <c r="C7" s="35">
        <f t="shared" ref="C7:AF7" si="1">C92</f>
        <v>1080.8800000000001</v>
      </c>
      <c r="D7" s="35">
        <f t="shared" si="1"/>
        <v>996.18000000000006</v>
      </c>
      <c r="E7" s="35">
        <f t="shared" si="1"/>
        <v>1002.88</v>
      </c>
      <c r="F7" s="35">
        <f t="shared" si="1"/>
        <v>1014.6800000000001</v>
      </c>
      <c r="G7" s="35">
        <f t="shared" si="1"/>
        <v>1110.08</v>
      </c>
      <c r="H7" s="35">
        <f t="shared" si="1"/>
        <v>1233.6400000000001</v>
      </c>
      <c r="I7" s="35">
        <f t="shared" si="1"/>
        <v>1339.8400000000001</v>
      </c>
      <c r="J7" s="35">
        <f t="shared" si="1"/>
        <v>1449.8400000000001</v>
      </c>
      <c r="K7" s="35">
        <f t="shared" si="1"/>
        <v>1576.6399999999999</v>
      </c>
      <c r="L7" s="35">
        <f t="shared" si="1"/>
        <v>1613.7399999999998</v>
      </c>
      <c r="M7" s="35">
        <f t="shared" si="1"/>
        <v>1643.84</v>
      </c>
      <c r="N7" s="35">
        <f t="shared" si="1"/>
        <v>1614.7399999999998</v>
      </c>
      <c r="O7" s="35">
        <f t="shared" si="1"/>
        <v>1571.94</v>
      </c>
      <c r="P7" s="35">
        <f t="shared" si="1"/>
        <v>1458.94</v>
      </c>
      <c r="Q7" s="35">
        <f t="shared" si="1"/>
        <v>1400.2399999999998</v>
      </c>
      <c r="R7" s="35">
        <f t="shared" si="1"/>
        <v>1402.1399999999999</v>
      </c>
      <c r="S7" s="35">
        <f t="shared" si="1"/>
        <v>1333.24</v>
      </c>
      <c r="T7" s="35">
        <f t="shared" si="1"/>
        <v>1363.6399999999999</v>
      </c>
      <c r="U7" s="35">
        <f t="shared" si="1"/>
        <v>1384.3400000000001</v>
      </c>
      <c r="V7" s="35">
        <f t="shared" si="1"/>
        <v>1423.14</v>
      </c>
      <c r="W7" s="35">
        <f t="shared" si="1"/>
        <v>1516.74</v>
      </c>
      <c r="X7" s="35">
        <f t="shared" si="1"/>
        <v>1778.24</v>
      </c>
      <c r="Y7" s="35">
        <f t="shared" si="1"/>
        <v>1719.94</v>
      </c>
      <c r="Z7" s="35">
        <f t="shared" si="1"/>
        <v>1640.64</v>
      </c>
      <c r="AA7" s="35">
        <f t="shared" si="1"/>
        <v>1527.44</v>
      </c>
      <c r="AB7" s="35">
        <f t="shared" si="1"/>
        <v>1475.6399999999999</v>
      </c>
      <c r="AC7" s="35">
        <f t="shared" si="1"/>
        <v>1434.7399999999998</v>
      </c>
      <c r="AD7" s="35">
        <f t="shared" si="1"/>
        <v>1233.04</v>
      </c>
      <c r="AE7" s="35">
        <f t="shared" si="1"/>
        <v>1072.04</v>
      </c>
      <c r="AF7" s="35">
        <f t="shared" si="1"/>
        <v>1060.74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40.4</v>
      </c>
      <c r="C11" s="45">
        <v>40.4</v>
      </c>
      <c r="D11" s="45">
        <v>40.4</v>
      </c>
      <c r="E11" s="45">
        <v>40.4</v>
      </c>
      <c r="F11" s="45">
        <v>40.4</v>
      </c>
      <c r="G11" s="45">
        <v>40.4</v>
      </c>
      <c r="H11" s="45">
        <v>40.4</v>
      </c>
      <c r="I11" s="45">
        <v>39.799999999999997</v>
      </c>
      <c r="J11" s="45">
        <v>39.799999999999997</v>
      </c>
      <c r="K11" s="45">
        <v>39.799999999999997</v>
      </c>
      <c r="L11" s="45">
        <v>39.799999999999997</v>
      </c>
      <c r="M11" s="45">
        <v>39.299999999999997</v>
      </c>
      <c r="N11" s="45">
        <v>39.299999999999997</v>
      </c>
      <c r="O11" s="45">
        <v>39.299999999999997</v>
      </c>
      <c r="P11" s="45">
        <v>39.299999999999997</v>
      </c>
      <c r="Q11" s="45">
        <v>39.299999999999997</v>
      </c>
      <c r="R11" s="45">
        <v>39.799999999999997</v>
      </c>
      <c r="S11" s="45">
        <v>39.799999999999997</v>
      </c>
      <c r="T11" s="45">
        <v>39.799999999999997</v>
      </c>
      <c r="U11" s="45">
        <v>39.799999999999997</v>
      </c>
      <c r="V11" s="45">
        <v>39.799999999999997</v>
      </c>
      <c r="W11" s="45">
        <v>39.799999999999997</v>
      </c>
      <c r="X11" s="45">
        <v>39.799999999999997</v>
      </c>
      <c r="Y11" s="45">
        <v>39.799999999999997</v>
      </c>
      <c r="Z11" s="45">
        <v>39.799999999999997</v>
      </c>
      <c r="AA11" s="45">
        <v>39.799999999999997</v>
      </c>
      <c r="AB11" s="45">
        <v>39.200000000000003</v>
      </c>
      <c r="AC11" s="45">
        <v>39.200000000000003</v>
      </c>
      <c r="AD11" s="45">
        <v>39.200000000000003</v>
      </c>
      <c r="AE11" s="45">
        <v>39.200000000000003</v>
      </c>
      <c r="AF11" s="45">
        <v>39.200000000000003</v>
      </c>
      <c r="AG11" s="46">
        <v>86</v>
      </c>
      <c r="AH11" s="47">
        <f t="shared" ref="AH11:AH76" si="2">MAX(B11:AF11)</f>
        <v>40.4</v>
      </c>
      <c r="AI11" s="48">
        <f t="shared" ref="AI11:AI76" si="3">MIN(B11:AF11)</f>
        <v>39.200000000000003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</v>
      </c>
      <c r="C12" s="45">
        <v>18</v>
      </c>
      <c r="D12" s="45">
        <v>18</v>
      </c>
      <c r="E12" s="45">
        <v>18</v>
      </c>
      <c r="F12" s="45">
        <v>18</v>
      </c>
      <c r="G12" s="45">
        <v>18</v>
      </c>
      <c r="H12" s="45">
        <v>18</v>
      </c>
      <c r="I12" s="45">
        <v>18</v>
      </c>
      <c r="J12" s="45">
        <v>18</v>
      </c>
      <c r="K12" s="45">
        <v>18</v>
      </c>
      <c r="L12" s="45">
        <v>18</v>
      </c>
      <c r="M12" s="45">
        <v>18</v>
      </c>
      <c r="N12" s="45">
        <v>18</v>
      </c>
      <c r="O12" s="45">
        <v>18</v>
      </c>
      <c r="P12" s="45">
        <v>18</v>
      </c>
      <c r="Q12" s="45">
        <v>18</v>
      </c>
      <c r="R12" s="45">
        <v>18</v>
      </c>
      <c r="S12" s="45">
        <v>18</v>
      </c>
      <c r="T12" s="45">
        <v>18</v>
      </c>
      <c r="U12" s="45">
        <v>18</v>
      </c>
      <c r="V12" s="45">
        <v>18</v>
      </c>
      <c r="W12" s="45">
        <v>18</v>
      </c>
      <c r="X12" s="45">
        <v>18</v>
      </c>
      <c r="Y12" s="45">
        <v>18</v>
      </c>
      <c r="Z12" s="45">
        <v>18</v>
      </c>
      <c r="AA12" s="45">
        <v>18</v>
      </c>
      <c r="AB12" s="45">
        <v>18</v>
      </c>
      <c r="AC12" s="45">
        <v>18</v>
      </c>
      <c r="AD12" s="45">
        <v>18</v>
      </c>
      <c r="AE12" s="45">
        <v>18</v>
      </c>
      <c r="AF12" s="45">
        <v>18</v>
      </c>
      <c r="AG12" s="49">
        <v>54</v>
      </c>
      <c r="AH12" s="47">
        <f t="shared" si="2"/>
        <v>18</v>
      </c>
      <c r="AI12" s="48">
        <f t="shared" si="3"/>
        <v>18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</v>
      </c>
      <c r="C13" s="45">
        <v>23</v>
      </c>
      <c r="D13" s="45">
        <v>23</v>
      </c>
      <c r="E13" s="45">
        <v>23</v>
      </c>
      <c r="F13" s="45">
        <v>23</v>
      </c>
      <c r="G13" s="45">
        <v>23</v>
      </c>
      <c r="H13" s="45">
        <v>23</v>
      </c>
      <c r="I13" s="45">
        <v>21.1</v>
      </c>
      <c r="J13" s="45">
        <v>21.1</v>
      </c>
      <c r="K13" s="45">
        <v>21.1</v>
      </c>
      <c r="L13" s="45">
        <v>21.1</v>
      </c>
      <c r="M13" s="45">
        <v>21.6</v>
      </c>
      <c r="N13" s="45">
        <v>21.6</v>
      </c>
      <c r="O13" s="45">
        <v>21.6</v>
      </c>
      <c r="P13" s="45">
        <v>21.6</v>
      </c>
      <c r="Q13" s="45">
        <v>22.6</v>
      </c>
      <c r="R13" s="45">
        <v>22.5</v>
      </c>
      <c r="S13" s="45">
        <v>22.5</v>
      </c>
      <c r="T13" s="45">
        <v>22.5</v>
      </c>
      <c r="U13" s="45">
        <v>22.5</v>
      </c>
      <c r="V13" s="45">
        <v>22.5</v>
      </c>
      <c r="W13" s="45">
        <v>22.5</v>
      </c>
      <c r="X13" s="45">
        <v>22.5</v>
      </c>
      <c r="Y13" s="45">
        <v>22.5</v>
      </c>
      <c r="Z13" s="45">
        <v>22.5</v>
      </c>
      <c r="AA13" s="45">
        <v>22.5</v>
      </c>
      <c r="AB13" s="45">
        <v>22.9</v>
      </c>
      <c r="AC13" s="45">
        <v>22.9</v>
      </c>
      <c r="AD13" s="45">
        <v>22.9</v>
      </c>
      <c r="AE13" s="45">
        <v>22.9</v>
      </c>
      <c r="AF13" s="45">
        <v>22.9</v>
      </c>
      <c r="AG13" s="46">
        <v>52.4</v>
      </c>
      <c r="AH13" s="47">
        <f t="shared" si="2"/>
        <v>23</v>
      </c>
      <c r="AI13" s="48">
        <f t="shared" si="3"/>
        <v>21.1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44.5</v>
      </c>
      <c r="C14" s="45">
        <v>44.5</v>
      </c>
      <c r="D14" s="45">
        <v>44.5</v>
      </c>
      <c r="E14" s="45">
        <v>44.5</v>
      </c>
      <c r="F14" s="45">
        <v>44.5</v>
      </c>
      <c r="G14" s="45">
        <v>44.5</v>
      </c>
      <c r="H14" s="45">
        <v>44.5</v>
      </c>
      <c r="I14" s="51">
        <v>44.8</v>
      </c>
      <c r="J14" s="51">
        <v>44.8</v>
      </c>
      <c r="K14" s="51">
        <v>44.8</v>
      </c>
      <c r="L14" s="51">
        <v>44.8</v>
      </c>
      <c r="M14" s="51">
        <v>44.2</v>
      </c>
      <c r="N14" s="51">
        <v>44.2</v>
      </c>
      <c r="O14" s="51">
        <v>44.2</v>
      </c>
      <c r="P14" s="51">
        <v>44.2</v>
      </c>
      <c r="Q14" s="51">
        <v>44.5</v>
      </c>
      <c r="R14" s="51">
        <v>44.3</v>
      </c>
      <c r="S14" s="51">
        <v>44.3</v>
      </c>
      <c r="T14" s="51">
        <v>44.3</v>
      </c>
      <c r="U14" s="51">
        <v>44.3</v>
      </c>
      <c r="V14" s="51">
        <v>44.3</v>
      </c>
      <c r="W14" s="51">
        <v>44.3</v>
      </c>
      <c r="X14" s="51">
        <v>44.3</v>
      </c>
      <c r="Y14" s="51">
        <v>44.3</v>
      </c>
      <c r="Z14" s="51">
        <v>44.3</v>
      </c>
      <c r="AA14" s="51">
        <v>44.3</v>
      </c>
      <c r="AB14" s="51">
        <v>43.2</v>
      </c>
      <c r="AC14" s="51">
        <v>43.2</v>
      </c>
      <c r="AD14" s="51">
        <v>43.2</v>
      </c>
      <c r="AE14" s="51">
        <v>43.2</v>
      </c>
      <c r="AF14" s="51">
        <v>43.2</v>
      </c>
      <c r="AG14" s="49">
        <v>50</v>
      </c>
      <c r="AH14" s="47">
        <f t="shared" si="2"/>
        <v>44.8</v>
      </c>
      <c r="AI14" s="48">
        <f t="shared" si="3"/>
        <v>43.2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23.5</v>
      </c>
      <c r="C15" s="45">
        <v>23.5</v>
      </c>
      <c r="D15" s="45">
        <v>23.5</v>
      </c>
      <c r="E15" s="45">
        <v>23.5</v>
      </c>
      <c r="F15" s="45">
        <v>23.5</v>
      </c>
      <c r="G15" s="45">
        <v>23.5</v>
      </c>
      <c r="H15" s="45">
        <v>23.5</v>
      </c>
      <c r="I15" s="45">
        <v>22.5</v>
      </c>
      <c r="J15" s="45">
        <v>22.5</v>
      </c>
      <c r="K15" s="45">
        <v>22.5</v>
      </c>
      <c r="L15" s="45">
        <v>22.5</v>
      </c>
      <c r="M15" s="45">
        <v>22.3</v>
      </c>
      <c r="N15" s="45">
        <v>22.3</v>
      </c>
      <c r="O15" s="45">
        <v>22.3</v>
      </c>
      <c r="P15" s="45">
        <v>22.3</v>
      </c>
      <c r="Q15" s="45">
        <v>21.3</v>
      </c>
      <c r="R15" s="45">
        <v>21.3</v>
      </c>
      <c r="S15" s="45">
        <v>21.3</v>
      </c>
      <c r="T15" s="45">
        <v>21.3</v>
      </c>
      <c r="U15" s="45">
        <v>21.3</v>
      </c>
      <c r="V15" s="45">
        <v>21.3</v>
      </c>
      <c r="W15" s="45">
        <v>21.3</v>
      </c>
      <c r="X15" s="45">
        <v>21.3</v>
      </c>
      <c r="Y15" s="45">
        <v>21.3</v>
      </c>
      <c r="Z15" s="45">
        <v>21.3</v>
      </c>
      <c r="AA15" s="45">
        <v>21.3</v>
      </c>
      <c r="AB15" s="45">
        <v>22.9</v>
      </c>
      <c r="AC15" s="45">
        <v>22.9</v>
      </c>
      <c r="AD15" s="45">
        <v>22.9</v>
      </c>
      <c r="AE15" s="45">
        <v>22.9</v>
      </c>
      <c r="AF15" s="45">
        <v>22.9</v>
      </c>
      <c r="AG15" s="49">
        <v>45</v>
      </c>
      <c r="AH15" s="47">
        <f t="shared" si="2"/>
        <v>23.5</v>
      </c>
      <c r="AI15" s="48">
        <f t="shared" si="3"/>
        <v>21.3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</v>
      </c>
      <c r="C16" s="45">
        <v>17</v>
      </c>
      <c r="D16" s="45">
        <v>17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49">
        <v>44</v>
      </c>
      <c r="AH16" s="47">
        <f>MAX(B16:AG16)</f>
        <v>44</v>
      </c>
      <c r="AI16" s="48">
        <f>MIN(B16:AG16)</f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</v>
      </c>
      <c r="J17" s="45">
        <v>12</v>
      </c>
      <c r="K17" s="45">
        <v>12</v>
      </c>
      <c r="L17" s="45">
        <v>12</v>
      </c>
      <c r="M17" s="45">
        <v>12</v>
      </c>
      <c r="N17" s="45">
        <v>12</v>
      </c>
      <c r="O17" s="45">
        <v>12</v>
      </c>
      <c r="P17" s="45">
        <v>12</v>
      </c>
      <c r="Q17" s="45">
        <v>12</v>
      </c>
      <c r="R17" s="45">
        <v>11.5</v>
      </c>
      <c r="S17" s="45">
        <v>11.5</v>
      </c>
      <c r="T17" s="45">
        <v>11.5</v>
      </c>
      <c r="U17" s="45">
        <v>11.5</v>
      </c>
      <c r="V17" s="45">
        <v>11.5</v>
      </c>
      <c r="W17" s="45">
        <v>11.5</v>
      </c>
      <c r="X17" s="45">
        <v>11.5</v>
      </c>
      <c r="Y17" s="45">
        <v>11.5</v>
      </c>
      <c r="Z17" s="45">
        <v>11.5</v>
      </c>
      <c r="AA17" s="45">
        <v>11.5</v>
      </c>
      <c r="AB17" s="45">
        <v>12.5</v>
      </c>
      <c r="AC17" s="45">
        <v>12.5</v>
      </c>
      <c r="AD17" s="45">
        <v>12.5</v>
      </c>
      <c r="AE17" s="45">
        <v>12.5</v>
      </c>
      <c r="AF17" s="45">
        <v>12.5</v>
      </c>
      <c r="AG17" s="49">
        <v>42</v>
      </c>
      <c r="AH17" s="47">
        <f t="shared" si="2"/>
        <v>12.5</v>
      </c>
      <c r="AI17" s="48">
        <f t="shared" si="3"/>
        <v>11.5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13.7</v>
      </c>
      <c r="C18" s="45">
        <v>13.7</v>
      </c>
      <c r="D18" s="45">
        <v>13.7</v>
      </c>
      <c r="E18" s="45">
        <v>13.7</v>
      </c>
      <c r="F18" s="45">
        <v>13.7</v>
      </c>
      <c r="G18" s="45">
        <v>13.7</v>
      </c>
      <c r="H18" s="45">
        <v>13.7</v>
      </c>
      <c r="I18" s="45">
        <v>13.7</v>
      </c>
      <c r="J18" s="45">
        <v>13.7</v>
      </c>
      <c r="K18" s="45">
        <v>13.7</v>
      </c>
      <c r="L18" s="45">
        <v>13.7</v>
      </c>
      <c r="M18" s="45">
        <v>13.7</v>
      </c>
      <c r="N18" s="45">
        <v>13.7</v>
      </c>
      <c r="O18" s="45">
        <v>13.7</v>
      </c>
      <c r="P18" s="45">
        <v>13.7</v>
      </c>
      <c r="Q18" s="45">
        <v>13.7</v>
      </c>
      <c r="R18" s="45">
        <v>13.7</v>
      </c>
      <c r="S18" s="45">
        <v>13.7</v>
      </c>
      <c r="T18" s="45">
        <v>13.7</v>
      </c>
      <c r="U18" s="45">
        <v>13.7</v>
      </c>
      <c r="V18" s="45">
        <v>13.7</v>
      </c>
      <c r="W18" s="45">
        <v>13.7</v>
      </c>
      <c r="X18" s="45">
        <v>13.7</v>
      </c>
      <c r="Y18" s="45">
        <v>13.7</v>
      </c>
      <c r="Z18" s="45">
        <v>13.7</v>
      </c>
      <c r="AA18" s="45">
        <v>13.7</v>
      </c>
      <c r="AB18" s="45">
        <v>13.7</v>
      </c>
      <c r="AC18" s="45">
        <v>13.7</v>
      </c>
      <c r="AD18" s="45">
        <v>13.7</v>
      </c>
      <c r="AE18" s="45">
        <v>13.7</v>
      </c>
      <c r="AF18" s="45">
        <v>13.7</v>
      </c>
      <c r="AG18" s="49">
        <v>38.46</v>
      </c>
      <c r="AH18" s="47">
        <f t="shared" si="2"/>
        <v>13.7</v>
      </c>
      <c r="AI18" s="48">
        <f t="shared" si="3"/>
        <v>13.7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17.5</v>
      </c>
      <c r="C19" s="45">
        <v>17.5</v>
      </c>
      <c r="D19" s="45">
        <v>17.5</v>
      </c>
      <c r="E19" s="45">
        <v>17.5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</v>
      </c>
      <c r="AC19" s="45">
        <v>17</v>
      </c>
      <c r="AD19" s="45">
        <v>17</v>
      </c>
      <c r="AE19" s="45">
        <v>17</v>
      </c>
      <c r="AF19" s="45">
        <v>17</v>
      </c>
      <c r="AG19" s="49">
        <v>36</v>
      </c>
      <c r="AH19" s="47">
        <f t="shared" si="2"/>
        <v>17.5</v>
      </c>
      <c r="AI19" s="48">
        <f t="shared" si="3"/>
        <v>17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12.3</v>
      </c>
      <c r="C20" s="45">
        <v>12.3</v>
      </c>
      <c r="D20" s="45">
        <v>12.3</v>
      </c>
      <c r="E20" s="45">
        <v>12.3</v>
      </c>
      <c r="F20" s="45">
        <v>12.3</v>
      </c>
      <c r="G20" s="45">
        <v>12.3</v>
      </c>
      <c r="H20" s="45">
        <v>12.3</v>
      </c>
      <c r="I20" s="45">
        <v>12.1</v>
      </c>
      <c r="J20" s="45">
        <v>12.1</v>
      </c>
      <c r="K20" s="45">
        <v>12.1</v>
      </c>
      <c r="L20" s="45">
        <v>12.1</v>
      </c>
      <c r="M20" s="45">
        <v>12.1</v>
      </c>
      <c r="N20" s="45">
        <v>12.1</v>
      </c>
      <c r="O20" s="45">
        <v>12.1</v>
      </c>
      <c r="P20" s="45">
        <v>12.1</v>
      </c>
      <c r="Q20" s="45">
        <v>12.1</v>
      </c>
      <c r="R20" s="45">
        <v>11.5</v>
      </c>
      <c r="S20" s="45">
        <v>11.5</v>
      </c>
      <c r="T20" s="45">
        <v>11.5</v>
      </c>
      <c r="U20" s="45">
        <v>11.5</v>
      </c>
      <c r="V20" s="45">
        <v>11.5</v>
      </c>
      <c r="W20" s="45">
        <v>11.5</v>
      </c>
      <c r="X20" s="45">
        <v>11.5</v>
      </c>
      <c r="Y20" s="45">
        <v>11.5</v>
      </c>
      <c r="Z20" s="45">
        <v>11.5</v>
      </c>
      <c r="AA20" s="45">
        <v>11.5</v>
      </c>
      <c r="AB20" s="45">
        <v>11.8</v>
      </c>
      <c r="AC20" s="45">
        <v>11.8</v>
      </c>
      <c r="AD20" s="45">
        <v>11.8</v>
      </c>
      <c r="AE20" s="45">
        <v>11.8</v>
      </c>
      <c r="AF20" s="45">
        <v>11.8</v>
      </c>
      <c r="AG20" s="52">
        <v>30</v>
      </c>
      <c r="AH20" s="47">
        <f t="shared" si="2"/>
        <v>12.3</v>
      </c>
      <c r="AI20" s="48">
        <f t="shared" si="3"/>
        <v>11.5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24.8</v>
      </c>
      <c r="C21" s="45">
        <v>24.8</v>
      </c>
      <c r="D21" s="45">
        <v>24.8</v>
      </c>
      <c r="E21" s="45">
        <v>24.8</v>
      </c>
      <c r="F21" s="45">
        <v>24.8</v>
      </c>
      <c r="G21" s="45">
        <v>24.8</v>
      </c>
      <c r="H21" s="45">
        <v>24.8</v>
      </c>
      <c r="I21" s="45">
        <v>24.1</v>
      </c>
      <c r="J21" s="45">
        <v>24.1</v>
      </c>
      <c r="K21" s="45">
        <v>24.1</v>
      </c>
      <c r="L21" s="45">
        <v>24.1</v>
      </c>
      <c r="M21" s="45">
        <v>24.1</v>
      </c>
      <c r="N21" s="45">
        <v>24.1</v>
      </c>
      <c r="O21" s="45">
        <v>24.1</v>
      </c>
      <c r="P21" s="45">
        <v>24.1</v>
      </c>
      <c r="Q21" s="45">
        <v>24.1</v>
      </c>
      <c r="R21" s="45">
        <v>23.6</v>
      </c>
      <c r="S21" s="45">
        <v>23.6</v>
      </c>
      <c r="T21" s="45">
        <v>23.6</v>
      </c>
      <c r="U21" s="45">
        <v>23.6</v>
      </c>
      <c r="V21" s="45">
        <v>23.6</v>
      </c>
      <c r="W21" s="45">
        <v>23.6</v>
      </c>
      <c r="X21" s="45">
        <v>23.6</v>
      </c>
      <c r="Y21" s="45">
        <v>23.6</v>
      </c>
      <c r="Z21" s="45">
        <v>23.6</v>
      </c>
      <c r="AA21" s="45">
        <v>23.6</v>
      </c>
      <c r="AB21" s="45">
        <v>12</v>
      </c>
      <c r="AC21" s="45">
        <v>12</v>
      </c>
      <c r="AD21" s="45">
        <v>12</v>
      </c>
      <c r="AE21" s="45">
        <v>12</v>
      </c>
      <c r="AF21" s="45">
        <v>12</v>
      </c>
      <c r="AG21" s="49">
        <v>24.2</v>
      </c>
      <c r="AH21" s="47">
        <f t="shared" si="2"/>
        <v>24.8</v>
      </c>
      <c r="AI21" s="48">
        <f t="shared" si="3"/>
        <v>12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13.3</v>
      </c>
      <c r="C22" s="45">
        <v>13.3</v>
      </c>
      <c r="D22" s="45">
        <v>13.3</v>
      </c>
      <c r="E22" s="45">
        <v>13.3</v>
      </c>
      <c r="F22" s="45">
        <v>13.3</v>
      </c>
      <c r="G22" s="45">
        <v>13.3</v>
      </c>
      <c r="H22" s="45">
        <v>13.3</v>
      </c>
      <c r="I22" s="45">
        <v>12.1</v>
      </c>
      <c r="J22" s="45">
        <v>12.1</v>
      </c>
      <c r="K22" s="45">
        <v>12.1</v>
      </c>
      <c r="L22" s="45">
        <v>12.1</v>
      </c>
      <c r="M22" s="45">
        <v>12.1</v>
      </c>
      <c r="N22" s="45">
        <v>12.1</v>
      </c>
      <c r="O22" s="45">
        <v>12.1</v>
      </c>
      <c r="P22" s="45">
        <v>12.1</v>
      </c>
      <c r="Q22" s="45">
        <v>12.1</v>
      </c>
      <c r="R22" s="45">
        <v>13.3</v>
      </c>
      <c r="S22" s="45">
        <v>13.3</v>
      </c>
      <c r="T22" s="45">
        <v>13.3</v>
      </c>
      <c r="U22" s="45">
        <v>13.3</v>
      </c>
      <c r="V22" s="45">
        <v>13.3</v>
      </c>
      <c r="W22" s="45">
        <v>13.3</v>
      </c>
      <c r="X22" s="45">
        <v>13.3</v>
      </c>
      <c r="Y22" s="45">
        <v>13.3</v>
      </c>
      <c r="Z22" s="45">
        <v>13.3</v>
      </c>
      <c r="AA22" s="45">
        <v>13.3</v>
      </c>
      <c r="AB22" s="45">
        <v>13.3</v>
      </c>
      <c r="AC22" s="45">
        <v>13.3</v>
      </c>
      <c r="AD22" s="45">
        <v>13.3</v>
      </c>
      <c r="AE22" s="45">
        <v>13.3</v>
      </c>
      <c r="AF22" s="45">
        <v>13.3</v>
      </c>
      <c r="AG22" s="49">
        <v>28</v>
      </c>
      <c r="AH22" s="47">
        <f t="shared" si="2"/>
        <v>13.3</v>
      </c>
      <c r="AI22" s="48">
        <f t="shared" si="3"/>
        <v>12.1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10.8</v>
      </c>
      <c r="C23" s="45">
        <v>10.8</v>
      </c>
      <c r="D23" s="45">
        <v>10.8</v>
      </c>
      <c r="E23" s="45">
        <v>10.8</v>
      </c>
      <c r="F23" s="45">
        <v>10.8</v>
      </c>
      <c r="G23" s="45">
        <v>10.8</v>
      </c>
      <c r="H23" s="45">
        <v>10.8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9.9</v>
      </c>
      <c r="S23" s="45">
        <v>9.9</v>
      </c>
      <c r="T23" s="45">
        <v>9.9</v>
      </c>
      <c r="U23" s="45">
        <v>9.9</v>
      </c>
      <c r="V23" s="45">
        <v>9.9</v>
      </c>
      <c r="W23" s="45">
        <v>9.9</v>
      </c>
      <c r="X23" s="45">
        <v>9.9</v>
      </c>
      <c r="Y23" s="45">
        <v>9.9</v>
      </c>
      <c r="Z23" s="45">
        <v>9.9</v>
      </c>
      <c r="AA23" s="45">
        <v>9.9</v>
      </c>
      <c r="AB23" s="45">
        <v>10.3</v>
      </c>
      <c r="AC23" s="45">
        <v>10.3</v>
      </c>
      <c r="AD23" s="45">
        <v>10.3</v>
      </c>
      <c r="AE23" s="45">
        <v>10.3</v>
      </c>
      <c r="AF23" s="45">
        <v>10.3</v>
      </c>
      <c r="AG23" s="52">
        <v>30</v>
      </c>
      <c r="AH23" s="47">
        <f t="shared" si="2"/>
        <v>10.8</v>
      </c>
      <c r="AI23" s="48">
        <f t="shared" si="3"/>
        <v>9.9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12.5</v>
      </c>
      <c r="C24" s="45">
        <v>12.5</v>
      </c>
      <c r="D24" s="45">
        <v>12.5</v>
      </c>
      <c r="E24" s="45">
        <v>12.5</v>
      </c>
      <c r="F24" s="45">
        <v>12.5</v>
      </c>
      <c r="G24" s="45">
        <v>12.5</v>
      </c>
      <c r="H24" s="45">
        <v>12.5</v>
      </c>
      <c r="I24" s="45">
        <v>12.8</v>
      </c>
      <c r="J24" s="45">
        <v>12.8</v>
      </c>
      <c r="K24" s="45">
        <v>12.8</v>
      </c>
      <c r="L24" s="45">
        <v>12.8</v>
      </c>
      <c r="M24" s="45">
        <v>12.8</v>
      </c>
      <c r="N24" s="45">
        <v>12.8</v>
      </c>
      <c r="O24" s="45">
        <v>12.8</v>
      </c>
      <c r="P24" s="45">
        <v>12.8</v>
      </c>
      <c r="Q24" s="45">
        <v>12.8</v>
      </c>
      <c r="R24" s="45">
        <v>12.5</v>
      </c>
      <c r="S24" s="45">
        <v>12.5</v>
      </c>
      <c r="T24" s="45">
        <v>12.5</v>
      </c>
      <c r="U24" s="45">
        <v>12.5</v>
      </c>
      <c r="V24" s="45">
        <v>12.5</v>
      </c>
      <c r="W24" s="45">
        <v>12.5</v>
      </c>
      <c r="X24" s="45">
        <v>12.5</v>
      </c>
      <c r="Y24" s="45">
        <v>12.5</v>
      </c>
      <c r="Z24" s="45">
        <v>12.5</v>
      </c>
      <c r="AA24" s="45">
        <v>12.5</v>
      </c>
      <c r="AB24" s="45">
        <v>13.1</v>
      </c>
      <c r="AC24" s="45">
        <v>13.1</v>
      </c>
      <c r="AD24" s="45">
        <v>13.1</v>
      </c>
      <c r="AE24" s="45">
        <v>13.1</v>
      </c>
      <c r="AF24" s="45">
        <v>13.1</v>
      </c>
      <c r="AG24" s="49">
        <v>25</v>
      </c>
      <c r="AH24" s="47">
        <f t="shared" si="2"/>
        <v>13.1</v>
      </c>
      <c r="AI24" s="48">
        <f t="shared" si="3"/>
        <v>12.5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9.5</v>
      </c>
      <c r="C26" s="45">
        <v>9.5</v>
      </c>
      <c r="D26" s="45">
        <v>9.5</v>
      </c>
      <c r="E26" s="45">
        <v>9.5</v>
      </c>
      <c r="F26" s="45">
        <v>9.5</v>
      </c>
      <c r="G26" s="45">
        <v>9.5</v>
      </c>
      <c r="H26" s="45">
        <v>9.5</v>
      </c>
      <c r="I26" s="45">
        <v>9.5</v>
      </c>
      <c r="J26" s="45">
        <v>9.5</v>
      </c>
      <c r="K26" s="45">
        <v>9.5</v>
      </c>
      <c r="L26" s="45">
        <v>9.5</v>
      </c>
      <c r="M26" s="45">
        <v>9.5</v>
      </c>
      <c r="N26" s="45">
        <v>9.5</v>
      </c>
      <c r="O26" s="45">
        <v>9.5</v>
      </c>
      <c r="P26" s="45">
        <v>9.5</v>
      </c>
      <c r="Q26" s="45">
        <v>9.5</v>
      </c>
      <c r="R26" s="45">
        <v>9.5</v>
      </c>
      <c r="S26" s="45">
        <v>9.5</v>
      </c>
      <c r="T26" s="45">
        <v>9.5</v>
      </c>
      <c r="U26" s="45">
        <v>9.5</v>
      </c>
      <c r="V26" s="45">
        <v>9.5</v>
      </c>
      <c r="W26" s="45">
        <v>9.5</v>
      </c>
      <c r="X26" s="45">
        <v>9.5</v>
      </c>
      <c r="Y26" s="45">
        <v>9.5</v>
      </c>
      <c r="Z26" s="45">
        <v>9.5</v>
      </c>
      <c r="AA26" s="45">
        <v>9.5</v>
      </c>
      <c r="AB26" s="45">
        <v>9.5</v>
      </c>
      <c r="AC26" s="45">
        <v>9.5</v>
      </c>
      <c r="AD26" s="45">
        <v>9.5</v>
      </c>
      <c r="AE26" s="45">
        <v>9.5</v>
      </c>
      <c r="AF26" s="45">
        <v>9.5</v>
      </c>
      <c r="AG26" s="49">
        <v>25</v>
      </c>
      <c r="AH26" s="47">
        <f t="shared" si="2"/>
        <v>9.5</v>
      </c>
      <c r="AI26" s="48">
        <f t="shared" si="3"/>
        <v>9.5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12.5</v>
      </c>
      <c r="C27" s="45">
        <v>12.5</v>
      </c>
      <c r="D27" s="45">
        <v>12.5</v>
      </c>
      <c r="E27" s="45">
        <v>12.5</v>
      </c>
      <c r="F27" s="45">
        <v>12.5</v>
      </c>
      <c r="G27" s="45">
        <v>12.5</v>
      </c>
      <c r="H27" s="45">
        <v>12.5</v>
      </c>
      <c r="I27" s="45">
        <v>12.5</v>
      </c>
      <c r="J27" s="45">
        <v>12.5</v>
      </c>
      <c r="K27" s="45">
        <v>12.5</v>
      </c>
      <c r="L27" s="45">
        <v>12.5</v>
      </c>
      <c r="M27" s="45">
        <v>12.5</v>
      </c>
      <c r="N27" s="45">
        <v>12.5</v>
      </c>
      <c r="O27" s="45">
        <v>12.5</v>
      </c>
      <c r="P27" s="45">
        <v>12.5</v>
      </c>
      <c r="Q27" s="45">
        <v>12.5</v>
      </c>
      <c r="R27" s="45">
        <v>11.5</v>
      </c>
      <c r="S27" s="45">
        <v>11.5</v>
      </c>
      <c r="T27" s="45">
        <v>11.5</v>
      </c>
      <c r="U27" s="45">
        <v>11.5</v>
      </c>
      <c r="V27" s="45">
        <v>11.5</v>
      </c>
      <c r="W27" s="45">
        <v>11.5</v>
      </c>
      <c r="X27" s="45">
        <v>11.5</v>
      </c>
      <c r="Y27" s="45">
        <v>11.5</v>
      </c>
      <c r="Z27" s="45">
        <v>11.5</v>
      </c>
      <c r="AA27" s="45">
        <v>11.5</v>
      </c>
      <c r="AB27" s="45">
        <v>11.9</v>
      </c>
      <c r="AC27" s="45">
        <v>11.9</v>
      </c>
      <c r="AD27" s="45">
        <v>11.9</v>
      </c>
      <c r="AE27" s="45">
        <v>11.9</v>
      </c>
      <c r="AF27" s="45">
        <v>11.9</v>
      </c>
      <c r="AG27" s="49">
        <v>25</v>
      </c>
      <c r="AH27" s="47">
        <f t="shared" si="2"/>
        <v>12.5</v>
      </c>
      <c r="AI27" s="48">
        <f t="shared" si="3"/>
        <v>11.5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11.8</v>
      </c>
      <c r="C28" s="45">
        <v>11.8</v>
      </c>
      <c r="D28" s="45">
        <v>11.8</v>
      </c>
      <c r="E28" s="45">
        <v>11.8</v>
      </c>
      <c r="F28" s="45">
        <v>11.8</v>
      </c>
      <c r="G28" s="45">
        <v>11.8</v>
      </c>
      <c r="H28" s="45">
        <v>11.8</v>
      </c>
      <c r="I28" s="45">
        <v>11.2</v>
      </c>
      <c r="J28" s="45">
        <v>11.2</v>
      </c>
      <c r="K28" s="45">
        <v>11.2</v>
      </c>
      <c r="L28" s="45">
        <v>11.2</v>
      </c>
      <c r="M28" s="45">
        <v>11.2</v>
      </c>
      <c r="N28" s="45">
        <v>11.2</v>
      </c>
      <c r="O28" s="45">
        <v>11.2</v>
      </c>
      <c r="P28" s="45">
        <v>11.2</v>
      </c>
      <c r="Q28" s="45">
        <v>11.2</v>
      </c>
      <c r="R28" s="45">
        <v>11.2</v>
      </c>
      <c r="S28" s="45">
        <v>11.2</v>
      </c>
      <c r="T28" s="45">
        <v>11.2</v>
      </c>
      <c r="U28" s="45">
        <v>11.2</v>
      </c>
      <c r="V28" s="45">
        <v>11.2</v>
      </c>
      <c r="W28" s="45">
        <v>11.2</v>
      </c>
      <c r="X28" s="45">
        <v>11.2</v>
      </c>
      <c r="Y28" s="45">
        <v>11.2</v>
      </c>
      <c r="Z28" s="45">
        <v>11.2</v>
      </c>
      <c r="AA28" s="45">
        <v>11.2</v>
      </c>
      <c r="AB28" s="45">
        <v>11.2</v>
      </c>
      <c r="AC28" s="45">
        <v>11.2</v>
      </c>
      <c r="AD28" s="45">
        <v>11.2</v>
      </c>
      <c r="AE28" s="45">
        <v>11.2</v>
      </c>
      <c r="AF28" s="45">
        <v>11.2</v>
      </c>
      <c r="AG28" s="49">
        <v>23.5</v>
      </c>
      <c r="AH28" s="47">
        <f t="shared" si="2"/>
        <v>11.8</v>
      </c>
      <c r="AI28" s="48">
        <f t="shared" si="3"/>
        <v>11.2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49">
        <v>22.2</v>
      </c>
      <c r="AH29" s="47">
        <f t="shared" si="2"/>
        <v>6</v>
      </c>
      <c r="AI29" s="48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11.4</v>
      </c>
      <c r="C32" s="45">
        <v>11.4</v>
      </c>
      <c r="D32" s="45">
        <v>11.4</v>
      </c>
      <c r="E32" s="45">
        <v>11.4</v>
      </c>
      <c r="F32" s="45">
        <v>11.4</v>
      </c>
      <c r="G32" s="45">
        <v>11.4</v>
      </c>
      <c r="H32" s="45">
        <v>11.4</v>
      </c>
      <c r="I32" s="45">
        <v>11.4</v>
      </c>
      <c r="J32" s="45">
        <v>11.4</v>
      </c>
      <c r="K32" s="45">
        <v>11.4</v>
      </c>
      <c r="L32" s="45">
        <v>11.4</v>
      </c>
      <c r="M32" s="45">
        <v>11.4</v>
      </c>
      <c r="N32" s="45">
        <v>11.4</v>
      </c>
      <c r="O32" s="45">
        <v>11.4</v>
      </c>
      <c r="P32" s="45">
        <v>11.4</v>
      </c>
      <c r="Q32" s="45">
        <v>11.4</v>
      </c>
      <c r="R32" s="45">
        <v>6.7</v>
      </c>
      <c r="S32" s="45">
        <v>6.7</v>
      </c>
      <c r="T32" s="45">
        <v>6.7</v>
      </c>
      <c r="U32" s="45">
        <v>6.7</v>
      </c>
      <c r="V32" s="45">
        <v>6.7</v>
      </c>
      <c r="W32" s="45">
        <v>6.7</v>
      </c>
      <c r="X32" s="45">
        <v>6.7</v>
      </c>
      <c r="Y32" s="45">
        <v>6.7</v>
      </c>
      <c r="Z32" s="45">
        <v>6.7</v>
      </c>
      <c r="AA32" s="45">
        <v>6.7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49">
        <v>22</v>
      </c>
      <c r="AH32" s="47">
        <f t="shared" si="2"/>
        <v>11.4</v>
      </c>
      <c r="AI32" s="48">
        <f t="shared" si="3"/>
        <v>6.7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8.6999999999999993</v>
      </c>
      <c r="C33" s="45">
        <v>8.6999999999999993</v>
      </c>
      <c r="D33" s="45">
        <v>8.6999999999999993</v>
      </c>
      <c r="E33" s="45">
        <v>8.6999999999999993</v>
      </c>
      <c r="F33" s="45">
        <v>8.6999999999999993</v>
      </c>
      <c r="G33" s="45">
        <v>8.6999999999999993</v>
      </c>
      <c r="H33" s="45">
        <v>8.6999999999999993</v>
      </c>
      <c r="I33" s="45">
        <v>8.6999999999999993</v>
      </c>
      <c r="J33" s="45">
        <v>8.6999999999999993</v>
      </c>
      <c r="K33" s="45">
        <v>8.6999999999999993</v>
      </c>
      <c r="L33" s="45">
        <v>8.6999999999999993</v>
      </c>
      <c r="M33" s="45">
        <v>8.6999999999999993</v>
      </c>
      <c r="N33" s="45">
        <v>8.6999999999999993</v>
      </c>
      <c r="O33" s="45">
        <v>8.6999999999999993</v>
      </c>
      <c r="P33" s="45">
        <v>8.6999999999999993</v>
      </c>
      <c r="Q33" s="45">
        <v>8.6999999999999993</v>
      </c>
      <c r="R33" s="45">
        <v>8.6999999999999993</v>
      </c>
      <c r="S33" s="45">
        <v>8.6999999999999993</v>
      </c>
      <c r="T33" s="45">
        <v>8.6999999999999993</v>
      </c>
      <c r="U33" s="45">
        <v>8.6999999999999993</v>
      </c>
      <c r="V33" s="45">
        <v>8.6999999999999993</v>
      </c>
      <c r="W33" s="45">
        <v>8.6999999999999993</v>
      </c>
      <c r="X33" s="45">
        <v>8.6999999999999993</v>
      </c>
      <c r="Y33" s="45">
        <v>8.6999999999999993</v>
      </c>
      <c r="Z33" s="45">
        <v>8.6999999999999993</v>
      </c>
      <c r="AA33" s="45">
        <v>8.6999999999999993</v>
      </c>
      <c r="AB33" s="45">
        <v>8.6999999999999993</v>
      </c>
      <c r="AC33" s="45">
        <v>8.6999999999999993</v>
      </c>
      <c r="AD33" s="45">
        <v>8.6999999999999993</v>
      </c>
      <c r="AE33" s="45">
        <v>8.6999999999999993</v>
      </c>
      <c r="AF33" s="45">
        <v>8.6999999999999993</v>
      </c>
      <c r="AG33" s="49">
        <v>20</v>
      </c>
      <c r="AH33" s="47">
        <f t="shared" si="2"/>
        <v>8.6999999999999993</v>
      </c>
      <c r="AI33" s="48">
        <f t="shared" si="3"/>
        <v>8.6999999999999993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49">
        <v>18</v>
      </c>
      <c r="AH34" s="47">
        <f t="shared" si="2"/>
        <v>6</v>
      </c>
      <c r="AI34" s="48">
        <f t="shared" si="3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8.1999999999999993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5.8</v>
      </c>
      <c r="Q45" s="45">
        <v>5.8</v>
      </c>
      <c r="R45" s="45">
        <v>5.8</v>
      </c>
      <c r="S45" s="45">
        <v>5.8</v>
      </c>
      <c r="T45" s="45">
        <v>5.8</v>
      </c>
      <c r="U45" s="45">
        <v>5.8</v>
      </c>
      <c r="V45" s="45">
        <v>5.8</v>
      </c>
      <c r="W45" s="45">
        <v>5.8</v>
      </c>
      <c r="X45" s="45">
        <v>5.8</v>
      </c>
      <c r="Y45" s="45">
        <v>5.8</v>
      </c>
      <c r="Z45" s="45">
        <v>5.8</v>
      </c>
      <c r="AA45" s="45">
        <v>5.8</v>
      </c>
      <c r="AB45" s="45">
        <v>5.8</v>
      </c>
      <c r="AC45" s="45">
        <v>5.8</v>
      </c>
      <c r="AD45" s="45">
        <v>5.8</v>
      </c>
      <c r="AE45" s="45">
        <v>5.8</v>
      </c>
      <c r="AF45" s="45">
        <v>5.8</v>
      </c>
      <c r="AG45" s="55">
        <v>10</v>
      </c>
      <c r="AH45" s="47">
        <f t="shared" si="2"/>
        <v>5.8</v>
      </c>
      <c r="AI45" s="48">
        <f t="shared" si="3"/>
        <v>5.8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6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250</v>
      </c>
      <c r="C48" s="57">
        <v>250</v>
      </c>
      <c r="D48" s="57">
        <v>250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250</v>
      </c>
      <c r="N48" s="57">
        <v>250</v>
      </c>
      <c r="O48" s="57">
        <v>250</v>
      </c>
      <c r="P48" s="57">
        <v>250</v>
      </c>
      <c r="Q48" s="57">
        <v>250</v>
      </c>
      <c r="R48" s="57">
        <v>250</v>
      </c>
      <c r="S48" s="57">
        <v>250</v>
      </c>
      <c r="T48" s="57">
        <v>250</v>
      </c>
      <c r="U48" s="57">
        <v>250</v>
      </c>
      <c r="V48" s="57">
        <v>250</v>
      </c>
      <c r="W48" s="57">
        <v>250</v>
      </c>
      <c r="X48" s="57">
        <v>250</v>
      </c>
      <c r="Y48" s="57">
        <v>250</v>
      </c>
      <c r="Z48" s="57">
        <v>250</v>
      </c>
      <c r="AA48" s="57">
        <v>250</v>
      </c>
      <c r="AB48" s="57">
        <v>250</v>
      </c>
      <c r="AC48" s="57">
        <v>250</v>
      </c>
      <c r="AD48" s="57">
        <v>250</v>
      </c>
      <c r="AE48" s="57">
        <v>250</v>
      </c>
      <c r="AF48" s="57">
        <v>250</v>
      </c>
      <c r="AG48" s="55">
        <v>85</v>
      </c>
      <c r="AH48" s="47">
        <f t="shared" si="2"/>
        <v>250</v>
      </c>
      <c r="AI48" s="48">
        <f t="shared" si="3"/>
        <v>250</v>
      </c>
      <c r="AK48" s="50"/>
    </row>
    <row r="49" spans="1:41" ht="15.75" thickBot="1" x14ac:dyDescent="0.3">
      <c r="A49" s="58" t="s">
        <v>57</v>
      </c>
      <c r="B49" s="57">
        <v>40.200000000000003</v>
      </c>
      <c r="C49" s="57">
        <v>40.200000000000003</v>
      </c>
      <c r="D49" s="57">
        <v>40.200000000000003</v>
      </c>
      <c r="E49" s="57">
        <v>40.200000000000003</v>
      </c>
      <c r="F49" s="57">
        <v>38.1</v>
      </c>
      <c r="G49" s="57">
        <v>38.1</v>
      </c>
      <c r="H49" s="57">
        <v>37.200000000000003</v>
      </c>
      <c r="I49" s="51">
        <v>37.4</v>
      </c>
      <c r="J49" s="51">
        <v>37.4</v>
      </c>
      <c r="K49" s="51">
        <v>37.4</v>
      </c>
      <c r="L49" s="51">
        <v>35.6</v>
      </c>
      <c r="M49" s="51">
        <f>26.5+8.8</f>
        <v>35.299999999999997</v>
      </c>
      <c r="N49" s="51">
        <f>26.6+8.7</f>
        <v>35.299999999999997</v>
      </c>
      <c r="O49" s="51">
        <f>27.8+9.2</f>
        <v>37</v>
      </c>
      <c r="P49" s="51">
        <f>27.8+9.1</f>
        <v>36.9</v>
      </c>
      <c r="Q49" s="51">
        <f>27.8+9.1</f>
        <v>36.9</v>
      </c>
      <c r="R49" s="51">
        <f t="shared" ref="R49:AA49" si="4">8.8+24.3</f>
        <v>33.1</v>
      </c>
      <c r="S49" s="51">
        <f t="shared" si="4"/>
        <v>33.1</v>
      </c>
      <c r="T49" s="51">
        <f t="shared" si="4"/>
        <v>33.1</v>
      </c>
      <c r="U49" s="51">
        <f t="shared" si="4"/>
        <v>33.1</v>
      </c>
      <c r="V49" s="51">
        <f t="shared" si="4"/>
        <v>33.1</v>
      </c>
      <c r="W49" s="51">
        <f t="shared" si="4"/>
        <v>33.1</v>
      </c>
      <c r="X49" s="57">
        <f t="shared" si="4"/>
        <v>33.1</v>
      </c>
      <c r="Y49" s="57">
        <f t="shared" si="4"/>
        <v>33.1</v>
      </c>
      <c r="Z49" s="57">
        <f t="shared" si="4"/>
        <v>33.1</v>
      </c>
      <c r="AA49" s="57">
        <f t="shared" si="4"/>
        <v>33.1</v>
      </c>
      <c r="AB49" s="57">
        <f>8.5+25.4</f>
        <v>33.9</v>
      </c>
      <c r="AC49" s="57">
        <v>34</v>
      </c>
      <c r="AD49" s="57">
        <v>34</v>
      </c>
      <c r="AE49" s="57">
        <v>34</v>
      </c>
      <c r="AF49" s="57">
        <v>34</v>
      </c>
      <c r="AG49" s="55">
        <v>240</v>
      </c>
      <c r="AH49" s="47">
        <f t="shared" si="2"/>
        <v>40.200000000000003</v>
      </c>
      <c r="AI49" s="48">
        <f t="shared" si="3"/>
        <v>33.1</v>
      </c>
      <c r="AK49" s="50"/>
    </row>
    <row r="50" spans="1:41" ht="15.75" thickBot="1" x14ac:dyDescent="0.3">
      <c r="A50" s="59" t="s">
        <v>58</v>
      </c>
      <c r="B50" s="60">
        <f t="shared" ref="B50:AF50" si="5">SUM(B11:B48)</f>
        <v>686.5</v>
      </c>
      <c r="C50" s="60">
        <f t="shared" si="5"/>
        <v>686.5</v>
      </c>
      <c r="D50" s="60">
        <f t="shared" si="5"/>
        <v>686.5</v>
      </c>
      <c r="E50" s="60">
        <f t="shared" si="5"/>
        <v>686.5</v>
      </c>
      <c r="F50" s="60">
        <f t="shared" si="5"/>
        <v>686.5</v>
      </c>
      <c r="G50" s="60">
        <f t="shared" ref="G50" si="6">SUM(G11:G48)</f>
        <v>686.5</v>
      </c>
      <c r="H50" s="60">
        <f t="shared" si="5"/>
        <v>686.5</v>
      </c>
      <c r="I50" s="60">
        <f t="shared" si="5"/>
        <v>679.59999999999991</v>
      </c>
      <c r="J50" s="60">
        <f t="shared" ref="J50:K50" si="7">SUM(J11:J48)</f>
        <v>679.59999999999991</v>
      </c>
      <c r="K50" s="60">
        <f t="shared" si="7"/>
        <v>679.59999999999991</v>
      </c>
      <c r="L50" s="60">
        <f t="shared" si="5"/>
        <v>679.59999999999991</v>
      </c>
      <c r="M50" s="60">
        <f t="shared" ref="M50" si="8">SUM(M11:M48)</f>
        <v>678.8</v>
      </c>
      <c r="N50" s="60">
        <f t="shared" si="5"/>
        <v>678.8</v>
      </c>
      <c r="O50" s="60">
        <f t="shared" si="5"/>
        <v>678.8</v>
      </c>
      <c r="P50" s="60">
        <f t="shared" ref="P50" si="9">SUM(P11:P48)</f>
        <v>678.8</v>
      </c>
      <c r="Q50" s="60">
        <f t="shared" si="5"/>
        <v>679.09999999999991</v>
      </c>
      <c r="R50" s="60">
        <f t="shared" si="5"/>
        <v>672.8</v>
      </c>
      <c r="S50" s="60">
        <f t="shared" ref="S50:T50" si="10">SUM(S11:S48)</f>
        <v>672.8</v>
      </c>
      <c r="T50" s="60">
        <f t="shared" si="10"/>
        <v>672.8</v>
      </c>
      <c r="U50" s="60">
        <f t="shared" ref="U50:V50" si="11">SUM(U11:U48)</f>
        <v>672.8</v>
      </c>
      <c r="V50" s="60">
        <f t="shared" si="11"/>
        <v>672.8</v>
      </c>
      <c r="W50" s="60">
        <f t="shared" ref="W50:X50" si="12">SUM(W11:W48)</f>
        <v>672.8</v>
      </c>
      <c r="X50" s="60">
        <f t="shared" si="12"/>
        <v>672.8</v>
      </c>
      <c r="Y50" s="60">
        <f t="shared" ref="Y50:Z50" si="13">SUM(Y11:Y48)</f>
        <v>672.8</v>
      </c>
      <c r="Z50" s="60">
        <f t="shared" si="13"/>
        <v>672.8</v>
      </c>
      <c r="AA50" s="60">
        <f t="shared" ref="AA50" si="14">SUM(AA11:AA48)</f>
        <v>672.8</v>
      </c>
      <c r="AB50" s="60">
        <f t="shared" si="5"/>
        <v>665</v>
      </c>
      <c r="AC50" s="60">
        <f t="shared" si="5"/>
        <v>665</v>
      </c>
      <c r="AD50" s="60">
        <f t="shared" si="5"/>
        <v>665</v>
      </c>
      <c r="AE50" s="60">
        <f t="shared" si="5"/>
        <v>665</v>
      </c>
      <c r="AF50" s="60">
        <f t="shared" si="5"/>
        <v>665</v>
      </c>
      <c r="AG50" s="61">
        <f>SUM(AG13:AG48)</f>
        <v>922.14</v>
      </c>
      <c r="AH50" s="47">
        <f t="shared" si="2"/>
        <v>686.5</v>
      </c>
      <c r="AI50" s="48">
        <f t="shared" si="3"/>
        <v>665</v>
      </c>
      <c r="AK50" s="50"/>
    </row>
    <row r="51" spans="1:41" x14ac:dyDescent="0.25">
      <c r="A51" s="62" t="s">
        <v>59</v>
      </c>
      <c r="B51" s="45">
        <v>0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20</v>
      </c>
      <c r="I51" s="45">
        <v>130</v>
      </c>
      <c r="J51" s="45">
        <v>240</v>
      </c>
      <c r="K51" s="45">
        <v>250</v>
      </c>
      <c r="L51" s="45">
        <v>240</v>
      </c>
      <c r="M51" s="45">
        <v>380</v>
      </c>
      <c r="N51" s="63">
        <v>380</v>
      </c>
      <c r="O51" s="63">
        <v>200</v>
      </c>
      <c r="P51" s="63">
        <v>100</v>
      </c>
      <c r="Q51" s="63">
        <v>115</v>
      </c>
      <c r="R51" s="63">
        <v>90</v>
      </c>
      <c r="S51" s="63">
        <v>120</v>
      </c>
      <c r="T51" s="63">
        <v>70</v>
      </c>
      <c r="U51" s="63">
        <v>50</v>
      </c>
      <c r="V51" s="63">
        <v>120</v>
      </c>
      <c r="W51" s="63">
        <v>290</v>
      </c>
      <c r="X51" s="45">
        <v>380</v>
      </c>
      <c r="Y51" s="45">
        <v>380</v>
      </c>
      <c r="Z51" s="45">
        <v>380</v>
      </c>
      <c r="AA51" s="45">
        <v>220</v>
      </c>
      <c r="AB51" s="45">
        <v>130</v>
      </c>
      <c r="AC51" s="45">
        <v>80</v>
      </c>
      <c r="AD51" s="45">
        <v>15</v>
      </c>
      <c r="AE51" s="45">
        <v>0</v>
      </c>
      <c r="AF51" s="45">
        <v>0</v>
      </c>
      <c r="AG51" s="52">
        <v>456</v>
      </c>
      <c r="AH51" s="47">
        <f t="shared" si="2"/>
        <v>380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42</v>
      </c>
      <c r="N52" s="65">
        <v>42</v>
      </c>
      <c r="O52" s="65">
        <v>42</v>
      </c>
      <c r="P52" s="65">
        <v>42</v>
      </c>
      <c r="Q52" s="65">
        <v>42</v>
      </c>
      <c r="R52" s="65">
        <v>42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5">
        <v>60</v>
      </c>
      <c r="AH52" s="47">
        <f t="shared" si="2"/>
        <v>42</v>
      </c>
      <c r="AI52" s="48">
        <f t="shared" si="3"/>
        <v>42</v>
      </c>
      <c r="AK52" s="50"/>
    </row>
    <row r="53" spans="1:41" ht="15.75" thickBot="1" x14ac:dyDescent="0.3">
      <c r="A53" s="66" t="s">
        <v>61</v>
      </c>
      <c r="B53" s="67">
        <v>13.6</v>
      </c>
      <c r="C53" s="67">
        <v>13.6</v>
      </c>
      <c r="D53" s="67">
        <v>13.6</v>
      </c>
      <c r="E53" s="67">
        <v>13.6</v>
      </c>
      <c r="F53" s="67">
        <v>13.6</v>
      </c>
      <c r="G53" s="67">
        <v>13.6</v>
      </c>
      <c r="H53" s="67">
        <v>13.6</v>
      </c>
      <c r="I53" s="67">
        <v>13.6</v>
      </c>
      <c r="J53" s="67">
        <v>13.6</v>
      </c>
      <c r="K53" s="67">
        <v>13.6</v>
      </c>
      <c r="L53" s="67">
        <v>20.3</v>
      </c>
      <c r="M53" s="67">
        <v>20.3</v>
      </c>
      <c r="N53" s="67">
        <v>16.899999999999999</v>
      </c>
      <c r="O53" s="67">
        <v>14.2</v>
      </c>
      <c r="P53" s="67">
        <v>14.2</v>
      </c>
      <c r="Q53" s="67">
        <v>14.1</v>
      </c>
      <c r="R53" s="67">
        <v>14.1</v>
      </c>
      <c r="S53" s="67">
        <v>14.1</v>
      </c>
      <c r="T53" s="67">
        <v>14.1</v>
      </c>
      <c r="U53" s="67">
        <v>14.1</v>
      </c>
      <c r="V53" s="67">
        <v>14.1</v>
      </c>
      <c r="W53" s="67">
        <v>14.1</v>
      </c>
      <c r="X53" s="67">
        <v>14.1</v>
      </c>
      <c r="Y53" s="67">
        <v>14.1</v>
      </c>
      <c r="Z53" s="67">
        <v>14.1</v>
      </c>
      <c r="AA53" s="67">
        <v>14.1</v>
      </c>
      <c r="AB53" s="67">
        <v>20.100000000000001</v>
      </c>
      <c r="AC53" s="67">
        <v>20.100000000000001</v>
      </c>
      <c r="AD53" s="67">
        <v>20.100000000000001</v>
      </c>
      <c r="AE53" s="67">
        <v>20.100000000000001</v>
      </c>
      <c r="AF53" s="67">
        <v>20.100000000000001</v>
      </c>
      <c r="AG53" s="68">
        <v>22.1</v>
      </c>
      <c r="AH53" s="47">
        <f t="shared" si="2"/>
        <v>20.3</v>
      </c>
      <c r="AI53" s="48">
        <f t="shared" si="3"/>
        <v>13.6</v>
      </c>
      <c r="AK53" s="50"/>
    </row>
    <row r="54" spans="1:41" ht="15.75" thickBot="1" x14ac:dyDescent="0.3">
      <c r="A54" s="69" t="s">
        <v>62</v>
      </c>
      <c r="B54" s="60">
        <f t="shared" ref="B54:AG54" si="15">SUM(B51:B53)</f>
        <v>55.6</v>
      </c>
      <c r="C54" s="60">
        <f t="shared" si="15"/>
        <v>55.6</v>
      </c>
      <c r="D54" s="60">
        <f t="shared" si="15"/>
        <v>55.6</v>
      </c>
      <c r="E54" s="60">
        <f t="shared" si="15"/>
        <v>55.6</v>
      </c>
      <c r="F54" s="60">
        <f t="shared" si="15"/>
        <v>55.6</v>
      </c>
      <c r="G54" s="60">
        <f t="shared" ref="G54" si="16">SUM(G51:G53)</f>
        <v>55.6</v>
      </c>
      <c r="H54" s="60">
        <f t="shared" si="15"/>
        <v>75.599999999999994</v>
      </c>
      <c r="I54" s="60">
        <f t="shared" si="15"/>
        <v>185.6</v>
      </c>
      <c r="J54" s="60">
        <f t="shared" ref="J54:K54" si="17">SUM(J51:J53)</f>
        <v>295.60000000000002</v>
      </c>
      <c r="K54" s="60">
        <f t="shared" si="17"/>
        <v>305.60000000000002</v>
      </c>
      <c r="L54" s="60">
        <f t="shared" si="15"/>
        <v>302.3</v>
      </c>
      <c r="M54" s="60">
        <f t="shared" si="15"/>
        <v>442.3</v>
      </c>
      <c r="N54" s="60">
        <f t="shared" si="15"/>
        <v>438.9</v>
      </c>
      <c r="O54" s="60">
        <f t="shared" si="15"/>
        <v>256.2</v>
      </c>
      <c r="P54" s="60">
        <f t="shared" si="15"/>
        <v>156.19999999999999</v>
      </c>
      <c r="Q54" s="60">
        <f t="shared" si="15"/>
        <v>171.1</v>
      </c>
      <c r="R54" s="60">
        <f t="shared" si="15"/>
        <v>146.1</v>
      </c>
      <c r="S54" s="60">
        <f t="shared" ref="S54:T54" si="18">SUM(S51:S53)</f>
        <v>176.1</v>
      </c>
      <c r="T54" s="60">
        <f t="shared" si="18"/>
        <v>126.1</v>
      </c>
      <c r="U54" s="60">
        <f t="shared" ref="U54:V54" si="19">SUM(U51:U53)</f>
        <v>106.1</v>
      </c>
      <c r="V54" s="60">
        <f t="shared" si="19"/>
        <v>176.1</v>
      </c>
      <c r="W54" s="60">
        <f t="shared" ref="W54:X54" si="20">SUM(W51:W53)</f>
        <v>346.1</v>
      </c>
      <c r="X54" s="60">
        <f t="shared" si="20"/>
        <v>436.1</v>
      </c>
      <c r="Y54" s="60">
        <f t="shared" ref="Y54:Z54" si="21">SUM(Y51:Y53)</f>
        <v>436.1</v>
      </c>
      <c r="Z54" s="60">
        <f t="shared" si="21"/>
        <v>436.1</v>
      </c>
      <c r="AA54" s="60">
        <f t="shared" ref="AA54" si="22">SUM(AA51:AA53)</f>
        <v>276.10000000000002</v>
      </c>
      <c r="AB54" s="60">
        <f t="shared" si="15"/>
        <v>192.1</v>
      </c>
      <c r="AC54" s="60">
        <f t="shared" si="15"/>
        <v>142.1</v>
      </c>
      <c r="AD54" s="60">
        <f t="shared" si="15"/>
        <v>77.099999999999994</v>
      </c>
      <c r="AE54" s="60">
        <f t="shared" si="15"/>
        <v>62.1</v>
      </c>
      <c r="AF54" s="60">
        <f t="shared" si="15"/>
        <v>62.1</v>
      </c>
      <c r="AG54" s="61">
        <f t="shared" si="15"/>
        <v>538.1</v>
      </c>
      <c r="AH54" s="47">
        <f t="shared" si="2"/>
        <v>442.3</v>
      </c>
      <c r="AI54" s="48">
        <f t="shared" si="3"/>
        <v>55.6</v>
      </c>
      <c r="AK54" s="50"/>
    </row>
    <row r="55" spans="1:41" x14ac:dyDescent="0.25">
      <c r="A55" s="44" t="s">
        <v>63</v>
      </c>
      <c r="B55" s="45">
        <v>0</v>
      </c>
      <c r="C55" s="45">
        <v>47</v>
      </c>
      <c r="D55" s="45">
        <v>27.9</v>
      </c>
      <c r="E55" s="45">
        <v>27.9</v>
      </c>
      <c r="F55" s="45">
        <v>56</v>
      </c>
      <c r="G55" s="45">
        <v>88</v>
      </c>
      <c r="H55" s="45">
        <v>115</v>
      </c>
      <c r="I55" s="45">
        <v>122.9</v>
      </c>
      <c r="J55" s="45">
        <v>122.9</v>
      </c>
      <c r="K55" s="45">
        <v>130</v>
      </c>
      <c r="L55" s="45">
        <v>138</v>
      </c>
      <c r="M55" s="45">
        <v>138</v>
      </c>
      <c r="N55" s="45">
        <v>138</v>
      </c>
      <c r="O55" s="45">
        <v>138</v>
      </c>
      <c r="P55" s="45">
        <v>121</v>
      </c>
      <c r="Q55" s="45">
        <v>74</v>
      </c>
      <c r="R55" s="45">
        <v>56.7</v>
      </c>
      <c r="S55" s="45">
        <v>45</v>
      </c>
      <c r="T55" s="45">
        <v>45.5</v>
      </c>
      <c r="U55" s="45">
        <v>91.3</v>
      </c>
      <c r="V55" s="45">
        <v>132.9</v>
      </c>
      <c r="W55" s="45">
        <v>144.30000000000001</v>
      </c>
      <c r="X55" s="45">
        <v>144.30000000000001</v>
      </c>
      <c r="Y55" s="45">
        <v>144.30000000000001</v>
      </c>
      <c r="Z55" s="45">
        <v>144.30000000000001</v>
      </c>
      <c r="AA55" s="45">
        <v>144.30000000000001</v>
      </c>
      <c r="AB55" s="45">
        <v>144.30000000000001</v>
      </c>
      <c r="AC55" s="45">
        <v>144.30000000000001</v>
      </c>
      <c r="AD55" s="45">
        <v>47</v>
      </c>
      <c r="AE55" s="45">
        <v>11</v>
      </c>
      <c r="AF55" s="45">
        <v>0</v>
      </c>
      <c r="AG55" s="52">
        <v>144</v>
      </c>
      <c r="AH55" s="47">
        <f t="shared" si="2"/>
        <v>144.30000000000001</v>
      </c>
      <c r="AI55" s="48">
        <f t="shared" si="3"/>
        <v>0</v>
      </c>
      <c r="AK55" s="50"/>
    </row>
    <row r="56" spans="1:41" x14ac:dyDescent="0.25">
      <c r="A56" s="54" t="s">
        <v>64</v>
      </c>
      <c r="B56" s="65">
        <v>26.2</v>
      </c>
      <c r="C56" s="65">
        <v>34.9</v>
      </c>
      <c r="D56" s="65">
        <v>20.5</v>
      </c>
      <c r="E56" s="65">
        <v>22</v>
      </c>
      <c r="F56" s="65">
        <v>22</v>
      </c>
      <c r="G56" s="65">
        <v>18.5</v>
      </c>
      <c r="H56" s="65">
        <v>70</v>
      </c>
      <c r="I56" s="65">
        <v>60</v>
      </c>
      <c r="J56" s="65">
        <v>60</v>
      </c>
      <c r="K56" s="65">
        <v>70</v>
      </c>
      <c r="L56" s="65">
        <v>70</v>
      </c>
      <c r="M56" s="65">
        <v>70</v>
      </c>
      <c r="N56" s="65">
        <v>70</v>
      </c>
      <c r="O56" s="65">
        <v>70</v>
      </c>
      <c r="P56" s="65">
        <v>48.5</v>
      </c>
      <c r="Q56" s="65">
        <v>46.9</v>
      </c>
      <c r="R56" s="65">
        <v>24.3</v>
      </c>
      <c r="S56" s="65">
        <v>0</v>
      </c>
      <c r="T56" s="65">
        <v>34.799999999999997</v>
      </c>
      <c r="U56" s="65">
        <v>34.6</v>
      </c>
      <c r="V56" s="65">
        <v>59.1</v>
      </c>
      <c r="W56" s="65">
        <v>68.7</v>
      </c>
      <c r="X56" s="45">
        <v>68.7</v>
      </c>
      <c r="Y56" s="45">
        <v>68.7</v>
      </c>
      <c r="Z56" s="45">
        <v>68.7</v>
      </c>
      <c r="AA56" s="45">
        <v>68.7</v>
      </c>
      <c r="AB56" s="45">
        <v>68.7</v>
      </c>
      <c r="AC56" s="45">
        <v>68.7</v>
      </c>
      <c r="AD56" s="65">
        <v>50</v>
      </c>
      <c r="AE56" s="65">
        <v>26</v>
      </c>
      <c r="AF56" s="45">
        <v>22</v>
      </c>
      <c r="AG56" s="55">
        <v>70</v>
      </c>
      <c r="AH56" s="47">
        <f t="shared" si="2"/>
        <v>70</v>
      </c>
      <c r="AI56" s="48">
        <f t="shared" si="3"/>
        <v>0</v>
      </c>
      <c r="AK56" s="50"/>
    </row>
    <row r="57" spans="1:41" x14ac:dyDescent="0.25">
      <c r="A57" s="54" t="s">
        <v>65</v>
      </c>
      <c r="B57" s="65">
        <v>22</v>
      </c>
      <c r="C57" s="65">
        <v>22</v>
      </c>
      <c r="D57" s="65">
        <v>32.4</v>
      </c>
      <c r="E57" s="65">
        <v>32.200000000000003</v>
      </c>
      <c r="F57" s="65">
        <v>32.200000000000003</v>
      </c>
      <c r="G57" s="65">
        <v>16</v>
      </c>
      <c r="H57" s="65">
        <v>69</v>
      </c>
      <c r="I57" s="65">
        <v>57.3</v>
      </c>
      <c r="J57" s="65">
        <v>57.3</v>
      </c>
      <c r="K57" s="65">
        <v>66.3</v>
      </c>
      <c r="L57" s="65">
        <v>67</v>
      </c>
      <c r="M57" s="65">
        <v>68.900000000000006</v>
      </c>
      <c r="N57" s="65">
        <v>68.900000000000006</v>
      </c>
      <c r="O57" s="65">
        <v>68.900000000000006</v>
      </c>
      <c r="P57" s="65">
        <v>67.7</v>
      </c>
      <c r="Q57" s="65">
        <v>52.6</v>
      </c>
      <c r="R57" s="65">
        <v>35.200000000000003</v>
      </c>
      <c r="S57" s="65">
        <v>45</v>
      </c>
      <c r="T57" s="65">
        <v>46.6</v>
      </c>
      <c r="U57" s="65">
        <v>46.5</v>
      </c>
      <c r="V57" s="65">
        <v>58.8</v>
      </c>
      <c r="W57" s="65">
        <v>69.599999999999994</v>
      </c>
      <c r="X57" s="45">
        <v>69.599999999999994</v>
      </c>
      <c r="Y57" s="45">
        <v>69.599999999999994</v>
      </c>
      <c r="Z57" s="45">
        <v>69.599999999999994</v>
      </c>
      <c r="AA57" s="45">
        <v>69.599999999999994</v>
      </c>
      <c r="AB57" s="45">
        <v>69.599999999999994</v>
      </c>
      <c r="AC57" s="45">
        <v>69.599999999999994</v>
      </c>
      <c r="AD57" s="65">
        <v>51</v>
      </c>
      <c r="AE57" s="65">
        <v>33</v>
      </c>
      <c r="AF57" s="65">
        <v>33</v>
      </c>
      <c r="AG57" s="55">
        <v>69</v>
      </c>
      <c r="AH57" s="47">
        <f t="shared" si="2"/>
        <v>69.599999999999994</v>
      </c>
      <c r="AI57" s="48">
        <f t="shared" si="3"/>
        <v>16</v>
      </c>
      <c r="AK57" s="50"/>
    </row>
    <row r="58" spans="1:41" x14ac:dyDescent="0.25">
      <c r="A58" s="54" t="s">
        <v>66</v>
      </c>
      <c r="B58" s="65">
        <v>60</v>
      </c>
      <c r="C58" s="65">
        <v>60</v>
      </c>
      <c r="D58" s="65">
        <v>54.4</v>
      </c>
      <c r="E58" s="65">
        <v>55</v>
      </c>
      <c r="F58" s="65">
        <v>55</v>
      </c>
      <c r="G58" s="65">
        <v>55</v>
      </c>
      <c r="H58" s="57">
        <v>55</v>
      </c>
      <c r="I58" s="57">
        <v>55</v>
      </c>
      <c r="J58" s="57">
        <v>55</v>
      </c>
      <c r="K58" s="57">
        <v>55</v>
      </c>
      <c r="L58" s="57">
        <v>56.7</v>
      </c>
      <c r="M58" s="57">
        <v>56.7</v>
      </c>
      <c r="N58" s="57">
        <v>56.7</v>
      </c>
      <c r="O58" s="57">
        <v>56.7</v>
      </c>
      <c r="P58" s="65">
        <v>60</v>
      </c>
      <c r="Q58" s="65">
        <v>58.5</v>
      </c>
      <c r="R58" s="65">
        <v>54.4</v>
      </c>
      <c r="S58" s="65">
        <v>54.4</v>
      </c>
      <c r="T58" s="65">
        <v>54.4</v>
      </c>
      <c r="U58" s="65">
        <v>56.2</v>
      </c>
      <c r="V58" s="65">
        <v>56.2</v>
      </c>
      <c r="W58" s="65">
        <v>55.9</v>
      </c>
      <c r="X58" s="45">
        <v>55.9</v>
      </c>
      <c r="Y58" s="45">
        <v>55.9</v>
      </c>
      <c r="Z58" s="45">
        <v>55.9</v>
      </c>
      <c r="AA58" s="45">
        <v>55.9</v>
      </c>
      <c r="AB58" s="45">
        <v>55.9</v>
      </c>
      <c r="AC58" s="45">
        <v>55.9</v>
      </c>
      <c r="AD58" s="45">
        <v>55.9</v>
      </c>
      <c r="AE58" s="45">
        <v>55.9</v>
      </c>
      <c r="AF58" s="45">
        <v>55.9</v>
      </c>
      <c r="AG58" s="55">
        <v>60</v>
      </c>
      <c r="AH58" s="47">
        <f t="shared" si="2"/>
        <v>60</v>
      </c>
      <c r="AI58" s="48">
        <f t="shared" si="3"/>
        <v>54.4</v>
      </c>
      <c r="AK58" s="50"/>
    </row>
    <row r="59" spans="1:41" x14ac:dyDescent="0.25">
      <c r="A59" s="54" t="s">
        <v>67</v>
      </c>
      <c r="B59" s="65">
        <v>0</v>
      </c>
      <c r="C59" s="65">
        <v>0</v>
      </c>
      <c r="D59" s="65">
        <v>10</v>
      </c>
      <c r="E59" s="65">
        <v>10</v>
      </c>
      <c r="F59" s="65">
        <v>10</v>
      </c>
      <c r="G59" s="65">
        <v>0</v>
      </c>
      <c r="H59" s="57">
        <v>10</v>
      </c>
      <c r="I59" s="57">
        <v>10</v>
      </c>
      <c r="J59" s="57">
        <v>10</v>
      </c>
      <c r="K59" s="57">
        <v>27</v>
      </c>
      <c r="L59" s="57">
        <v>28</v>
      </c>
      <c r="M59" s="57">
        <v>28</v>
      </c>
      <c r="N59" s="57">
        <v>28</v>
      </c>
      <c r="O59" s="57">
        <v>13</v>
      </c>
      <c r="P59" s="65">
        <v>10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23</v>
      </c>
      <c r="W59" s="65">
        <v>28</v>
      </c>
      <c r="X59" s="45">
        <v>28</v>
      </c>
      <c r="Y59" s="45">
        <v>28</v>
      </c>
      <c r="Z59" s="45">
        <v>28</v>
      </c>
      <c r="AA59" s="45">
        <v>28</v>
      </c>
      <c r="AB59" s="45">
        <v>28</v>
      </c>
      <c r="AC59" s="45">
        <v>28</v>
      </c>
      <c r="AD59" s="45">
        <v>15</v>
      </c>
      <c r="AE59" s="45">
        <v>0</v>
      </c>
      <c r="AF59" s="45">
        <v>0</v>
      </c>
      <c r="AG59" s="55">
        <v>30</v>
      </c>
      <c r="AH59" s="47">
        <f t="shared" si="2"/>
        <v>28</v>
      </c>
      <c r="AI59" s="48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0.3</v>
      </c>
      <c r="M60" s="65">
        <v>1.3</v>
      </c>
      <c r="N60" s="65">
        <v>2.1</v>
      </c>
      <c r="O60" s="65">
        <v>5.3</v>
      </c>
      <c r="P60" s="65">
        <v>14.5</v>
      </c>
      <c r="Q60" s="65">
        <v>15.9</v>
      </c>
      <c r="R60" s="65">
        <v>14.6</v>
      </c>
      <c r="S60" s="65">
        <v>11.9</v>
      </c>
      <c r="T60" s="65">
        <v>5.9</v>
      </c>
      <c r="U60" s="65">
        <v>1.7</v>
      </c>
      <c r="V60" s="65">
        <v>0</v>
      </c>
      <c r="W60" s="6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5">
        <v>25</v>
      </c>
      <c r="AH60" s="47">
        <f t="shared" si="2"/>
        <v>15.9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4" t="s">
        <v>70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1</v>
      </c>
      <c r="X62" s="65">
        <v>1</v>
      </c>
      <c r="Y62" s="65">
        <v>1</v>
      </c>
      <c r="Z62" s="65">
        <v>1</v>
      </c>
      <c r="AA62" s="65">
        <v>1</v>
      </c>
      <c r="AB62" s="65">
        <v>1</v>
      </c>
      <c r="AC62" s="65">
        <v>1</v>
      </c>
      <c r="AD62" s="65">
        <v>1</v>
      </c>
      <c r="AE62" s="65">
        <v>1</v>
      </c>
      <c r="AF62" s="65">
        <v>1</v>
      </c>
      <c r="AG62" s="55">
        <v>15</v>
      </c>
      <c r="AH62" s="47">
        <f t="shared" si="2"/>
        <v>1</v>
      </c>
      <c r="AI62" s="48">
        <f t="shared" si="3"/>
        <v>0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12.6</v>
      </c>
      <c r="C63" s="65">
        <v>12.6</v>
      </c>
      <c r="D63" s="65">
        <v>12.6</v>
      </c>
      <c r="E63" s="65">
        <v>12.6</v>
      </c>
      <c r="F63" s="65">
        <v>12.6</v>
      </c>
      <c r="G63" s="65">
        <v>12.6</v>
      </c>
      <c r="H63" s="65">
        <v>13.3</v>
      </c>
      <c r="I63" s="65">
        <v>13.3</v>
      </c>
      <c r="J63" s="65">
        <v>13.3</v>
      </c>
      <c r="K63" s="65">
        <v>13.3</v>
      </c>
      <c r="L63" s="65">
        <v>13.3</v>
      </c>
      <c r="M63" s="65">
        <v>13.3</v>
      </c>
      <c r="N63" s="65">
        <v>13.3</v>
      </c>
      <c r="O63" s="65">
        <v>13.3</v>
      </c>
      <c r="P63" s="65">
        <v>13.3</v>
      </c>
      <c r="Q63" s="65">
        <v>13.3</v>
      </c>
      <c r="R63" s="65">
        <v>10.7</v>
      </c>
      <c r="S63" s="65">
        <v>10.7</v>
      </c>
      <c r="T63" s="65">
        <v>10.7</v>
      </c>
      <c r="U63" s="65">
        <v>10.7</v>
      </c>
      <c r="V63" s="65">
        <v>10.7</v>
      </c>
      <c r="W63" s="65">
        <v>10.7</v>
      </c>
      <c r="X63" s="65">
        <v>10.7</v>
      </c>
      <c r="Y63" s="65">
        <v>10.7</v>
      </c>
      <c r="Z63" s="65">
        <v>10.7</v>
      </c>
      <c r="AA63" s="65">
        <v>10.7</v>
      </c>
      <c r="AB63" s="65">
        <v>10.7</v>
      </c>
      <c r="AC63" s="65">
        <v>10.7</v>
      </c>
      <c r="AD63" s="65">
        <v>10.7</v>
      </c>
      <c r="AE63" s="65">
        <v>10.7</v>
      </c>
      <c r="AF63" s="65">
        <v>10.7</v>
      </c>
      <c r="AG63" s="55">
        <v>14.1</v>
      </c>
      <c r="AH63" s="47">
        <f t="shared" si="2"/>
        <v>13.3</v>
      </c>
      <c r="AI63" s="48">
        <f t="shared" si="3"/>
        <v>10.7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6.8</v>
      </c>
      <c r="C64" s="65">
        <v>6.8</v>
      </c>
      <c r="D64" s="65">
        <v>6.8</v>
      </c>
      <c r="E64" s="65">
        <v>6.8</v>
      </c>
      <c r="F64" s="65">
        <v>6.8</v>
      </c>
      <c r="G64" s="65">
        <v>6.8</v>
      </c>
      <c r="H64" s="65">
        <v>6.8</v>
      </c>
      <c r="I64" s="65">
        <v>6.8</v>
      </c>
      <c r="J64" s="65">
        <v>6.8</v>
      </c>
      <c r="K64" s="65">
        <v>6.8</v>
      </c>
      <c r="L64" s="65">
        <v>6.8</v>
      </c>
      <c r="M64" s="65">
        <v>6.8</v>
      </c>
      <c r="N64" s="65">
        <v>6.8</v>
      </c>
      <c r="O64" s="65">
        <v>6.8</v>
      </c>
      <c r="P64" s="65">
        <v>6.8</v>
      </c>
      <c r="Q64" s="65">
        <v>6.8</v>
      </c>
      <c r="R64" s="65">
        <v>4.9000000000000004</v>
      </c>
      <c r="S64" s="65">
        <v>4.9000000000000004</v>
      </c>
      <c r="T64" s="65">
        <v>4.9000000000000004</v>
      </c>
      <c r="U64" s="65">
        <v>4.9000000000000004</v>
      </c>
      <c r="V64" s="65">
        <v>4.9000000000000004</v>
      </c>
      <c r="W64" s="65">
        <v>4.9000000000000004</v>
      </c>
      <c r="X64" s="65">
        <v>4.9000000000000004</v>
      </c>
      <c r="Y64" s="65">
        <v>4.9000000000000004</v>
      </c>
      <c r="Z64" s="65">
        <v>4.9000000000000004</v>
      </c>
      <c r="AA64" s="65">
        <v>4.9000000000000004</v>
      </c>
      <c r="AB64" s="65">
        <v>4.9000000000000004</v>
      </c>
      <c r="AC64" s="65">
        <v>4.9000000000000004</v>
      </c>
      <c r="AD64" s="65">
        <v>4.9000000000000004</v>
      </c>
      <c r="AE64" s="65">
        <v>4.9000000000000004</v>
      </c>
      <c r="AF64" s="65">
        <v>4.9000000000000004</v>
      </c>
      <c r="AG64" s="55">
        <v>14</v>
      </c>
      <c r="AH64" s="47">
        <f t="shared" si="2"/>
        <v>6.8</v>
      </c>
      <c r="AI64" s="48">
        <f t="shared" si="3"/>
        <v>4.9000000000000004</v>
      </c>
      <c r="AK64" s="50"/>
    </row>
    <row r="65" spans="1:40" x14ac:dyDescent="0.25">
      <c r="A65" s="54" t="s">
        <v>73</v>
      </c>
      <c r="B65" s="65">
        <v>6.3</v>
      </c>
      <c r="C65" s="65">
        <v>6.3</v>
      </c>
      <c r="D65" s="65">
        <v>6.3</v>
      </c>
      <c r="E65" s="65">
        <v>6.3</v>
      </c>
      <c r="F65" s="65">
        <v>6.3</v>
      </c>
      <c r="G65" s="65">
        <v>6.3</v>
      </c>
      <c r="H65" s="65">
        <v>6.2</v>
      </c>
      <c r="I65" s="65">
        <v>6.2</v>
      </c>
      <c r="J65" s="65">
        <v>6.2</v>
      </c>
      <c r="K65" s="65">
        <v>6.2</v>
      </c>
      <c r="L65" s="65">
        <v>6.2</v>
      </c>
      <c r="M65" s="65">
        <v>6.2</v>
      </c>
      <c r="N65" s="65">
        <v>6.2</v>
      </c>
      <c r="O65" s="65">
        <v>6.2</v>
      </c>
      <c r="P65" s="65">
        <v>6.2</v>
      </c>
      <c r="Q65" s="65">
        <v>6.2</v>
      </c>
      <c r="R65" s="65">
        <v>6.2</v>
      </c>
      <c r="S65" s="65">
        <v>6.2</v>
      </c>
      <c r="T65" s="65">
        <v>6.2</v>
      </c>
      <c r="U65" s="65">
        <v>6.2</v>
      </c>
      <c r="V65" s="65">
        <v>6.2</v>
      </c>
      <c r="W65" s="65">
        <v>6.2</v>
      </c>
      <c r="X65" s="65">
        <v>6.2</v>
      </c>
      <c r="Y65" s="65">
        <v>6.2</v>
      </c>
      <c r="Z65" s="65">
        <v>6.2</v>
      </c>
      <c r="AA65" s="65">
        <v>6.2</v>
      </c>
      <c r="AB65" s="65">
        <v>6.2</v>
      </c>
      <c r="AC65" s="65">
        <v>6.2</v>
      </c>
      <c r="AD65" s="65">
        <v>6.2</v>
      </c>
      <c r="AE65" s="65">
        <v>6.2</v>
      </c>
      <c r="AF65" s="65">
        <v>6.2</v>
      </c>
      <c r="AG65" s="55">
        <v>10.050000000000001</v>
      </c>
      <c r="AH65" s="47">
        <f t="shared" si="2"/>
        <v>6.3</v>
      </c>
      <c r="AI65" s="48">
        <f t="shared" si="3"/>
        <v>6.2</v>
      </c>
      <c r="AK65" s="50"/>
    </row>
    <row r="66" spans="1:40" x14ac:dyDescent="0.25">
      <c r="A66" s="54" t="s">
        <v>74</v>
      </c>
      <c r="B66" s="65">
        <v>1.64</v>
      </c>
      <c r="C66" s="65">
        <v>1.64</v>
      </c>
      <c r="D66" s="65">
        <v>1.64</v>
      </c>
      <c r="E66" s="65">
        <v>1.64</v>
      </c>
      <c r="F66" s="65">
        <v>1.64</v>
      </c>
      <c r="G66" s="65">
        <v>1.64</v>
      </c>
      <c r="H66" s="65">
        <v>1.7</v>
      </c>
      <c r="I66" s="65">
        <v>1.7</v>
      </c>
      <c r="J66" s="65">
        <v>1.7</v>
      </c>
      <c r="K66" s="65">
        <v>1.7</v>
      </c>
      <c r="L66" s="65">
        <v>1.7</v>
      </c>
      <c r="M66" s="65">
        <v>1.7</v>
      </c>
      <c r="N66" s="65">
        <v>1.7</v>
      </c>
      <c r="O66" s="65">
        <v>1.7</v>
      </c>
      <c r="P66" s="65">
        <v>1.7</v>
      </c>
      <c r="Q66" s="65">
        <v>1.7</v>
      </c>
      <c r="R66" s="65">
        <v>1.7</v>
      </c>
      <c r="S66" s="65">
        <v>1.7</v>
      </c>
      <c r="T66" s="65">
        <v>1.7</v>
      </c>
      <c r="U66" s="65">
        <v>1.7</v>
      </c>
      <c r="V66" s="65">
        <v>1.7</v>
      </c>
      <c r="W66" s="65">
        <v>1.7</v>
      </c>
      <c r="X66" s="65">
        <v>1.7</v>
      </c>
      <c r="Y66" s="65">
        <v>1.7</v>
      </c>
      <c r="Z66" s="65">
        <v>1.7</v>
      </c>
      <c r="AA66" s="65">
        <v>1.7</v>
      </c>
      <c r="AB66" s="65">
        <v>1.7</v>
      </c>
      <c r="AC66" s="65">
        <v>1.7</v>
      </c>
      <c r="AD66" s="65">
        <v>1.7</v>
      </c>
      <c r="AE66" s="65">
        <v>1.7</v>
      </c>
      <c r="AF66" s="65">
        <v>1.7</v>
      </c>
      <c r="AG66" s="55">
        <v>6.2</v>
      </c>
      <c r="AH66" s="47">
        <f t="shared" si="2"/>
        <v>1.7</v>
      </c>
      <c r="AI66" s="48">
        <f t="shared" si="3"/>
        <v>1.64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4" t="s">
        <v>76</v>
      </c>
      <c r="B68" s="60">
        <f t="shared" ref="B68:AG68" si="23">SUM(B55:B67)</f>
        <v>155.08000000000001</v>
      </c>
      <c r="C68" s="60">
        <f t="shared" si="23"/>
        <v>210.78</v>
      </c>
      <c r="D68" s="60">
        <f t="shared" si="23"/>
        <v>192.07999999999998</v>
      </c>
      <c r="E68" s="60">
        <f t="shared" si="23"/>
        <v>193.98</v>
      </c>
      <c r="F68" s="60">
        <f t="shared" si="23"/>
        <v>222.07999999999998</v>
      </c>
      <c r="G68" s="60">
        <f t="shared" si="23"/>
        <v>224.38</v>
      </c>
      <c r="H68" s="60">
        <f t="shared" si="23"/>
        <v>366.54</v>
      </c>
      <c r="I68" s="60">
        <f t="shared" si="23"/>
        <v>352.74</v>
      </c>
      <c r="J68" s="60">
        <f t="shared" ref="J68:K68" si="24">SUM(J55:J67)</f>
        <v>352.74</v>
      </c>
      <c r="K68" s="60">
        <f t="shared" si="24"/>
        <v>395.84000000000003</v>
      </c>
      <c r="L68" s="60">
        <f t="shared" si="23"/>
        <v>407.54</v>
      </c>
      <c r="M68" s="60">
        <f t="shared" si="23"/>
        <v>410.44</v>
      </c>
      <c r="N68" s="60">
        <f t="shared" si="23"/>
        <v>411.24</v>
      </c>
      <c r="O68" s="60">
        <f t="shared" si="23"/>
        <v>399.44</v>
      </c>
      <c r="P68" s="60">
        <f t="shared" si="23"/>
        <v>369.24</v>
      </c>
      <c r="Q68" s="60">
        <f t="shared" si="23"/>
        <v>295.44</v>
      </c>
      <c r="R68" s="60">
        <f t="shared" si="23"/>
        <v>228.23999999999995</v>
      </c>
      <c r="S68" s="60">
        <f t="shared" ref="S68:T68" si="25">SUM(S55:S67)</f>
        <v>199.33999999999997</v>
      </c>
      <c r="T68" s="60">
        <f t="shared" si="25"/>
        <v>230.23999999999998</v>
      </c>
      <c r="U68" s="60">
        <f t="shared" ref="U68:V68" si="26">SUM(U55:U67)</f>
        <v>273.33999999999997</v>
      </c>
      <c r="V68" s="60">
        <f t="shared" si="26"/>
        <v>373.03999999999996</v>
      </c>
      <c r="W68" s="60">
        <f t="shared" ref="W68:X68" si="27">SUM(W55:W67)</f>
        <v>410.53999999999996</v>
      </c>
      <c r="X68" s="60">
        <f t="shared" si="27"/>
        <v>410.53999999999996</v>
      </c>
      <c r="Y68" s="60">
        <f t="shared" ref="Y68:Z68" si="28">SUM(Y55:Y67)</f>
        <v>410.53999999999996</v>
      </c>
      <c r="Z68" s="60">
        <f t="shared" si="28"/>
        <v>410.53999999999996</v>
      </c>
      <c r="AA68" s="60">
        <f t="shared" ref="AA68" si="29">SUM(AA55:AA67)</f>
        <v>410.53999999999996</v>
      </c>
      <c r="AB68" s="60">
        <f t="shared" si="23"/>
        <v>410.53999999999996</v>
      </c>
      <c r="AC68" s="60">
        <f t="shared" si="23"/>
        <v>410.53999999999996</v>
      </c>
      <c r="AD68" s="60">
        <f t="shared" si="23"/>
        <v>262.94</v>
      </c>
      <c r="AE68" s="60">
        <f t="shared" si="23"/>
        <v>169.93999999999997</v>
      </c>
      <c r="AF68" s="60">
        <f t="shared" si="23"/>
        <v>154.93999999999997</v>
      </c>
      <c r="AG68" s="61">
        <f t="shared" si="23"/>
        <v>489.91</v>
      </c>
      <c r="AH68" s="47">
        <f t="shared" si="2"/>
        <v>411.24</v>
      </c>
      <c r="AI68" s="48">
        <f t="shared" si="3"/>
        <v>154.93999999999997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10.4</v>
      </c>
      <c r="N69" s="45">
        <v>10.6</v>
      </c>
      <c r="O69" s="45"/>
      <c r="P69" s="45"/>
      <c r="Q69" s="45"/>
      <c r="R69" s="45"/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59.5</v>
      </c>
      <c r="Y69" s="45">
        <v>29.5</v>
      </c>
      <c r="Z69" s="45">
        <v>10.7</v>
      </c>
      <c r="AA69" s="45">
        <v>0</v>
      </c>
      <c r="AB69" s="45">
        <v>0</v>
      </c>
      <c r="AC69" s="45">
        <v>0</v>
      </c>
      <c r="AD69" s="45"/>
      <c r="AE69" s="45"/>
      <c r="AF69" s="45"/>
      <c r="AG69" s="52">
        <v>60</v>
      </c>
      <c r="AH69" s="47">
        <f t="shared" si="2"/>
        <v>59.5</v>
      </c>
      <c r="AI69" s="48">
        <f t="shared" si="3"/>
        <v>0</v>
      </c>
      <c r="AK69" s="50"/>
    </row>
    <row r="70" spans="1:40" x14ac:dyDescent="0.25">
      <c r="A70" s="54" t="s">
        <v>78</v>
      </c>
      <c r="B70" s="45"/>
      <c r="C70" s="45"/>
      <c r="D70" s="65"/>
      <c r="E70" s="65"/>
      <c r="F70" s="65"/>
      <c r="G70" s="65"/>
      <c r="H70" s="65"/>
      <c r="I70" s="65"/>
      <c r="J70" s="65"/>
      <c r="K70" s="65"/>
      <c r="L70" s="65"/>
      <c r="M70" s="65">
        <v>4.5999999999999996</v>
      </c>
      <c r="N70" s="65">
        <v>3.8</v>
      </c>
      <c r="O70" s="65"/>
      <c r="P70" s="65"/>
      <c r="Q70" s="65"/>
      <c r="R70" s="65"/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28.1</v>
      </c>
      <c r="Y70" s="65">
        <v>14.4</v>
      </c>
      <c r="Z70" s="65">
        <v>14.3</v>
      </c>
      <c r="AA70" s="65">
        <v>0</v>
      </c>
      <c r="AB70" s="65">
        <v>0</v>
      </c>
      <c r="AC70" s="65">
        <v>0</v>
      </c>
      <c r="AD70" s="65"/>
      <c r="AE70" s="65"/>
      <c r="AF70" s="65"/>
      <c r="AG70" s="55">
        <v>32</v>
      </c>
      <c r="AH70" s="47">
        <f t="shared" si="2"/>
        <v>28.1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45"/>
      <c r="C71" s="45"/>
      <c r="D71" s="67"/>
      <c r="E71" s="67"/>
      <c r="F71" s="67"/>
      <c r="G71" s="67"/>
      <c r="H71" s="67"/>
      <c r="I71" s="67"/>
      <c r="J71" s="67"/>
      <c r="K71" s="67"/>
      <c r="L71" s="67"/>
      <c r="M71" s="67">
        <v>1.7</v>
      </c>
      <c r="N71" s="67">
        <v>1.4</v>
      </c>
      <c r="O71" s="67"/>
      <c r="P71" s="67"/>
      <c r="Q71" s="67"/>
      <c r="R71" s="67"/>
      <c r="S71" s="67">
        <v>0</v>
      </c>
      <c r="T71" s="67">
        <v>0</v>
      </c>
      <c r="U71" s="67">
        <v>0</v>
      </c>
      <c r="V71" s="67">
        <v>0</v>
      </c>
      <c r="W71" s="67">
        <v>0</v>
      </c>
      <c r="X71" s="67">
        <v>8.9</v>
      </c>
      <c r="Y71" s="67">
        <v>5.2</v>
      </c>
      <c r="Z71" s="67">
        <v>5.2</v>
      </c>
      <c r="AA71" s="67">
        <v>0</v>
      </c>
      <c r="AB71" s="67">
        <v>0</v>
      </c>
      <c r="AC71" s="67">
        <v>0</v>
      </c>
      <c r="AD71" s="67"/>
      <c r="AE71" s="67"/>
      <c r="AF71" s="67"/>
      <c r="AG71" s="68">
        <v>14</v>
      </c>
      <c r="AH71" s="47">
        <f t="shared" si="2"/>
        <v>8.9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 t="shared" ref="B72:AF72" si="30">B69+B70+B71</f>
        <v>0</v>
      </c>
      <c r="C72" s="60">
        <f t="shared" si="30"/>
        <v>0</v>
      </c>
      <c r="D72" s="60">
        <f t="shared" si="30"/>
        <v>0</v>
      </c>
      <c r="E72" s="60">
        <f t="shared" si="30"/>
        <v>0</v>
      </c>
      <c r="F72" s="60">
        <f t="shared" si="30"/>
        <v>0</v>
      </c>
      <c r="G72" s="60">
        <f t="shared" si="30"/>
        <v>0</v>
      </c>
      <c r="H72" s="60">
        <f t="shared" si="30"/>
        <v>0</v>
      </c>
      <c r="I72" s="60">
        <f t="shared" si="30"/>
        <v>0</v>
      </c>
      <c r="J72" s="60">
        <f t="shared" ref="J72:K72" si="31">J69+J70+J71</f>
        <v>0</v>
      </c>
      <c r="K72" s="60">
        <f t="shared" si="31"/>
        <v>0</v>
      </c>
      <c r="L72" s="60">
        <f t="shared" si="30"/>
        <v>0</v>
      </c>
      <c r="M72" s="60">
        <f t="shared" si="30"/>
        <v>16.7</v>
      </c>
      <c r="N72" s="60">
        <f t="shared" si="30"/>
        <v>15.799999999999999</v>
      </c>
      <c r="O72" s="60">
        <f t="shared" si="30"/>
        <v>0</v>
      </c>
      <c r="P72" s="60">
        <f t="shared" si="30"/>
        <v>0</v>
      </c>
      <c r="Q72" s="60">
        <f t="shared" si="30"/>
        <v>0</v>
      </c>
      <c r="R72" s="60">
        <f t="shared" si="30"/>
        <v>0</v>
      </c>
      <c r="S72" s="60">
        <f t="shared" ref="S72:T72" si="32">S69+S70+S71</f>
        <v>0</v>
      </c>
      <c r="T72" s="60">
        <f t="shared" si="32"/>
        <v>0</v>
      </c>
      <c r="U72" s="60">
        <f t="shared" ref="U72:V72" si="33">U69+U70+U71</f>
        <v>0</v>
      </c>
      <c r="V72" s="60">
        <f t="shared" si="33"/>
        <v>0</v>
      </c>
      <c r="W72" s="60">
        <f t="shared" ref="W72:X72" si="34">W69+W70+W71</f>
        <v>0</v>
      </c>
      <c r="X72" s="60">
        <f t="shared" si="34"/>
        <v>96.5</v>
      </c>
      <c r="Y72" s="60">
        <f t="shared" ref="Y72:Z72" si="35">Y69+Y70+Y71</f>
        <v>49.1</v>
      </c>
      <c r="Z72" s="60">
        <f t="shared" si="35"/>
        <v>30.2</v>
      </c>
      <c r="AA72" s="60">
        <f t="shared" ref="AA72" si="36">AA69+AA70+AA71</f>
        <v>0</v>
      </c>
      <c r="AB72" s="60">
        <f t="shared" si="30"/>
        <v>0</v>
      </c>
      <c r="AC72" s="60">
        <f t="shared" si="30"/>
        <v>0</v>
      </c>
      <c r="AD72" s="60">
        <f t="shared" si="30"/>
        <v>0</v>
      </c>
      <c r="AE72" s="60">
        <f t="shared" si="30"/>
        <v>0</v>
      </c>
      <c r="AF72" s="60">
        <f t="shared" si="30"/>
        <v>0</v>
      </c>
      <c r="AG72" s="61">
        <f>SUM(AG69:AG71)</f>
        <v>106</v>
      </c>
      <c r="AH72" s="47">
        <f t="shared" si="2"/>
        <v>96.5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11</v>
      </c>
      <c r="C73" s="45">
        <v>11</v>
      </c>
      <c r="D73" s="45">
        <v>6</v>
      </c>
      <c r="E73" s="45">
        <v>5.8</v>
      </c>
      <c r="F73" s="45">
        <v>6</v>
      </c>
      <c r="G73" s="45">
        <v>7.6</v>
      </c>
      <c r="H73" s="45">
        <v>9</v>
      </c>
      <c r="I73" s="45">
        <v>9.9</v>
      </c>
      <c r="J73" s="45">
        <v>9.9</v>
      </c>
      <c r="K73" s="45">
        <v>12.6</v>
      </c>
      <c r="L73" s="45">
        <v>13.3</v>
      </c>
      <c r="M73" s="45">
        <v>12.3</v>
      </c>
      <c r="N73" s="45">
        <v>16</v>
      </c>
      <c r="O73" s="45">
        <v>20</v>
      </c>
      <c r="P73" s="45">
        <v>16.5</v>
      </c>
      <c r="Q73" s="45">
        <v>15.3</v>
      </c>
      <c r="R73" s="45">
        <v>14</v>
      </c>
      <c r="S73" s="45">
        <v>15</v>
      </c>
      <c r="T73" s="45">
        <v>20.399999999999999</v>
      </c>
      <c r="U73" s="45">
        <v>21.8</v>
      </c>
      <c r="V73" s="45">
        <v>17.7</v>
      </c>
      <c r="W73" s="45">
        <v>21.5</v>
      </c>
      <c r="X73" s="45">
        <v>31.2</v>
      </c>
      <c r="Y73" s="45">
        <v>24.8</v>
      </c>
      <c r="Z73" s="45">
        <v>21</v>
      </c>
      <c r="AA73" s="45">
        <v>18</v>
      </c>
      <c r="AB73" s="45">
        <v>20</v>
      </c>
      <c r="AC73" s="45">
        <v>18.399999999999999</v>
      </c>
      <c r="AD73" s="45">
        <v>16</v>
      </c>
      <c r="AE73" s="45">
        <v>25</v>
      </c>
      <c r="AF73" s="45">
        <v>31.7</v>
      </c>
      <c r="AG73" s="52"/>
      <c r="AH73" s="47">
        <f t="shared" si="2"/>
        <v>31.7</v>
      </c>
      <c r="AI73" s="48">
        <f t="shared" si="3"/>
        <v>5.8</v>
      </c>
      <c r="AK73" s="50"/>
    </row>
    <row r="74" spans="1:40" x14ac:dyDescent="0.25">
      <c r="A74" s="54" t="s">
        <v>82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132</v>
      </c>
      <c r="C75" s="65">
        <v>117</v>
      </c>
      <c r="D75" s="65">
        <v>56</v>
      </c>
      <c r="E75" s="65">
        <v>61</v>
      </c>
      <c r="F75" s="65">
        <v>44.5</v>
      </c>
      <c r="G75" s="65">
        <v>136</v>
      </c>
      <c r="H75" s="65">
        <v>96</v>
      </c>
      <c r="I75" s="65">
        <v>112</v>
      </c>
      <c r="J75" s="65">
        <v>112</v>
      </c>
      <c r="K75" s="65">
        <v>183</v>
      </c>
      <c r="L75" s="65">
        <v>211</v>
      </c>
      <c r="M75" s="65">
        <v>43.3</v>
      </c>
      <c r="N75" s="65">
        <v>24</v>
      </c>
      <c r="O75" s="65">
        <v>187.5</v>
      </c>
      <c r="P75" s="65">
        <v>238.2</v>
      </c>
      <c r="Q75" s="65">
        <v>239.3</v>
      </c>
      <c r="R75" s="65">
        <v>341</v>
      </c>
      <c r="S75" s="65">
        <v>270</v>
      </c>
      <c r="T75" s="65">
        <v>314.10000000000002</v>
      </c>
      <c r="U75" s="65">
        <v>310.3</v>
      </c>
      <c r="V75" s="65">
        <v>183.5</v>
      </c>
      <c r="W75" s="65">
        <v>65.8</v>
      </c>
      <c r="X75" s="65">
        <v>21.1</v>
      </c>
      <c r="Y75" s="65">
        <v>16.600000000000001</v>
      </c>
      <c r="Z75" s="65">
        <v>15</v>
      </c>
      <c r="AA75" s="65">
        <v>150</v>
      </c>
      <c r="AB75" s="65">
        <v>188</v>
      </c>
      <c r="AC75" s="65">
        <v>198.7</v>
      </c>
      <c r="AD75" s="65">
        <v>212</v>
      </c>
      <c r="AE75" s="65">
        <v>150</v>
      </c>
      <c r="AF75" s="65">
        <v>147</v>
      </c>
      <c r="AG75" s="75"/>
      <c r="AH75" s="47">
        <f t="shared" si="2"/>
        <v>341</v>
      </c>
      <c r="AI75" s="48">
        <f t="shared" si="3"/>
        <v>15</v>
      </c>
      <c r="AK75" s="50"/>
    </row>
    <row r="76" spans="1:40" x14ac:dyDescent="0.25">
      <c r="A76" s="54" t="s">
        <v>84</v>
      </c>
      <c r="B76" s="65"/>
      <c r="C76" s="65"/>
      <c r="D76" s="65"/>
      <c r="E76" s="76"/>
      <c r="F76" s="76"/>
      <c r="G76" s="76"/>
      <c r="H76" s="76"/>
      <c r="I76" s="76"/>
      <c r="J76" s="45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/>
      <c r="C77" s="45"/>
      <c r="D77" s="65"/>
      <c r="E77" s="45"/>
      <c r="F77" s="45"/>
      <c r="G77" s="45"/>
      <c r="H77" s="45"/>
      <c r="I77" s="45"/>
      <c r="J77" s="76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2" si="37">MAX(B77:AF77)</f>
        <v>0</v>
      </c>
      <c r="AI77" s="48">
        <f t="shared" ref="AI77:AI122" si="38">MIN(B77:AF77)</f>
        <v>0</v>
      </c>
      <c r="AK77" s="50"/>
    </row>
    <row r="78" spans="1:40" x14ac:dyDescent="0.25">
      <c r="A78" s="54" t="s">
        <v>86</v>
      </c>
      <c r="B78" s="45"/>
      <c r="C78" s="77"/>
      <c r="D78" s="65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37"/>
        <v>0</v>
      </c>
      <c r="AI78" s="48">
        <f t="shared" si="38"/>
        <v>0</v>
      </c>
      <c r="AK78" s="50"/>
    </row>
    <row r="79" spans="1:40" ht="15.75" thickBot="1" x14ac:dyDescent="0.3">
      <c r="A79" s="54" t="s">
        <v>87</v>
      </c>
      <c r="B79" s="45"/>
      <c r="C79" s="77"/>
      <c r="D79" s="65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37"/>
        <v>0</v>
      </c>
      <c r="AI79" s="48">
        <f t="shared" si="38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/>
      <c r="C80" s="77"/>
      <c r="D80" s="65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37"/>
        <v>0</v>
      </c>
      <c r="AI80" s="48">
        <f t="shared" si="38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/>
      <c r="C81" s="77"/>
      <c r="D81" s="65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37"/>
        <v>0</v>
      </c>
      <c r="AI81" s="48">
        <f t="shared" si="38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/>
      <c r="C82" s="77"/>
      <c r="D82" s="65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37"/>
        <v>0</v>
      </c>
      <c r="AI82" s="48">
        <f t="shared" si="38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/>
      <c r="C83" s="77"/>
      <c r="D83" s="65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37"/>
        <v>0</v>
      </c>
      <c r="AI83" s="48">
        <f t="shared" si="38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AF84" si="39">SUMIF(B73:B83,"&gt;0")</f>
        <v>143</v>
      </c>
      <c r="C84" s="60">
        <f t="shared" si="39"/>
        <v>128</v>
      </c>
      <c r="D84" s="60">
        <f t="shared" si="39"/>
        <v>62</v>
      </c>
      <c r="E84" s="60">
        <f t="shared" si="39"/>
        <v>66.8</v>
      </c>
      <c r="F84" s="60">
        <f t="shared" si="39"/>
        <v>50.5</v>
      </c>
      <c r="G84" s="60">
        <f t="shared" si="39"/>
        <v>143.6</v>
      </c>
      <c r="H84" s="60">
        <f t="shared" si="39"/>
        <v>105</v>
      </c>
      <c r="I84" s="60">
        <f t="shared" si="39"/>
        <v>121.9</v>
      </c>
      <c r="J84" s="60">
        <f t="shared" si="39"/>
        <v>121.9</v>
      </c>
      <c r="K84" s="60">
        <f t="shared" si="39"/>
        <v>195.6</v>
      </c>
      <c r="L84" s="60">
        <f t="shared" si="39"/>
        <v>224.3</v>
      </c>
      <c r="M84" s="60">
        <f t="shared" si="39"/>
        <v>55.599999999999994</v>
      </c>
      <c r="N84" s="60">
        <f t="shared" si="39"/>
        <v>40</v>
      </c>
      <c r="O84" s="60">
        <f t="shared" si="39"/>
        <v>207.5</v>
      </c>
      <c r="P84" s="60">
        <f t="shared" si="39"/>
        <v>254.7</v>
      </c>
      <c r="Q84" s="60">
        <f t="shared" si="39"/>
        <v>254.60000000000002</v>
      </c>
      <c r="R84" s="60">
        <f t="shared" si="39"/>
        <v>355</v>
      </c>
      <c r="S84" s="60">
        <f t="shared" ref="S84:T84" si="40">SUMIF(S73:S83,"&gt;0")</f>
        <v>285</v>
      </c>
      <c r="T84" s="60">
        <f t="shared" si="40"/>
        <v>334.5</v>
      </c>
      <c r="U84" s="60">
        <f t="shared" ref="U84:V84" si="41">SUMIF(U73:U83,"&gt;0")</f>
        <v>332.1</v>
      </c>
      <c r="V84" s="60">
        <f t="shared" si="41"/>
        <v>201.2</v>
      </c>
      <c r="W84" s="60">
        <f t="shared" ref="W84:X84" si="42">SUMIF(W73:W83,"&gt;0")</f>
        <v>87.3</v>
      </c>
      <c r="X84" s="60">
        <f t="shared" si="42"/>
        <v>52.3</v>
      </c>
      <c r="Y84" s="60">
        <f t="shared" ref="Y84:Z84" si="43">SUMIF(Y73:Y83,"&gt;0")</f>
        <v>41.400000000000006</v>
      </c>
      <c r="Z84" s="60">
        <f t="shared" si="43"/>
        <v>36</v>
      </c>
      <c r="AA84" s="60">
        <f t="shared" ref="AA84" si="44">SUMIF(AA73:AA83,"&gt;0")</f>
        <v>168</v>
      </c>
      <c r="AB84" s="60">
        <f t="shared" si="39"/>
        <v>208</v>
      </c>
      <c r="AC84" s="60">
        <f t="shared" si="39"/>
        <v>217.1</v>
      </c>
      <c r="AD84" s="60">
        <f t="shared" si="39"/>
        <v>228</v>
      </c>
      <c r="AE84" s="60">
        <f t="shared" si="39"/>
        <v>175</v>
      </c>
      <c r="AF84" s="60">
        <f t="shared" si="39"/>
        <v>178.7</v>
      </c>
      <c r="AG84" s="88">
        <f>SUM(AG73:AG83)</f>
        <v>0</v>
      </c>
      <c r="AH84" s="47">
        <f t="shared" si="37"/>
        <v>355</v>
      </c>
      <c r="AI84" s="48">
        <f t="shared" si="38"/>
        <v>36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37"/>
        <v>0</v>
      </c>
      <c r="AI85" s="48">
        <f t="shared" si="38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37"/>
        <v>0</v>
      </c>
      <c r="AI86" s="48">
        <f t="shared" si="38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37"/>
        <v>0</v>
      </c>
      <c r="AI87" s="48">
        <f t="shared" si="38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37"/>
        <v>0</v>
      </c>
      <c r="AI88" s="48">
        <f t="shared" si="38"/>
        <v>0</v>
      </c>
    </row>
    <row r="89" spans="1:40" ht="15.75" thickBot="1" x14ac:dyDescent="0.3">
      <c r="A89" s="74" t="s">
        <v>100</v>
      </c>
      <c r="B89" s="95">
        <f t="shared" ref="B89:AG89" si="45">B50+B54+B72+B68+B84+B88</f>
        <v>1040.18</v>
      </c>
      <c r="C89" s="95">
        <f t="shared" si="45"/>
        <v>1080.8800000000001</v>
      </c>
      <c r="D89" s="95">
        <f t="shared" si="45"/>
        <v>996.18000000000006</v>
      </c>
      <c r="E89" s="95">
        <f t="shared" si="45"/>
        <v>1002.88</v>
      </c>
      <c r="F89" s="95">
        <f t="shared" si="45"/>
        <v>1014.6800000000001</v>
      </c>
      <c r="G89" s="95">
        <f t="shared" si="45"/>
        <v>1110.08</v>
      </c>
      <c r="H89" s="95">
        <f t="shared" si="45"/>
        <v>1233.6400000000001</v>
      </c>
      <c r="I89" s="95">
        <f t="shared" si="45"/>
        <v>1339.8400000000001</v>
      </c>
      <c r="J89" s="95">
        <f t="shared" si="45"/>
        <v>1449.8400000000001</v>
      </c>
      <c r="K89" s="95">
        <f t="shared" si="45"/>
        <v>1576.6399999999999</v>
      </c>
      <c r="L89" s="95">
        <f t="shared" si="45"/>
        <v>1613.7399999999998</v>
      </c>
      <c r="M89" s="95">
        <f t="shared" si="45"/>
        <v>1603.84</v>
      </c>
      <c r="N89" s="95">
        <f t="shared" si="45"/>
        <v>1584.7399999999998</v>
      </c>
      <c r="O89" s="95">
        <f t="shared" si="45"/>
        <v>1541.94</v>
      </c>
      <c r="P89" s="95">
        <f t="shared" si="45"/>
        <v>1458.94</v>
      </c>
      <c r="Q89" s="95">
        <f t="shared" si="45"/>
        <v>1400.2399999999998</v>
      </c>
      <c r="R89" s="95">
        <f t="shared" si="45"/>
        <v>1402.1399999999999</v>
      </c>
      <c r="S89" s="95">
        <f t="shared" ref="S89:T89" si="46">S50+S54+S72+S68+S84+S88</f>
        <v>1333.24</v>
      </c>
      <c r="T89" s="95">
        <f t="shared" si="46"/>
        <v>1363.6399999999999</v>
      </c>
      <c r="U89" s="95">
        <f t="shared" ref="U89:V89" si="47">U50+U54+U72+U68+U84+U88</f>
        <v>1384.3400000000001</v>
      </c>
      <c r="V89" s="95">
        <f t="shared" si="47"/>
        <v>1423.14</v>
      </c>
      <c r="W89" s="95">
        <f t="shared" ref="W89:X89" si="48">W50+W54+W72+W68+W84+W88</f>
        <v>1516.74</v>
      </c>
      <c r="X89" s="95">
        <f t="shared" si="48"/>
        <v>1668.24</v>
      </c>
      <c r="Y89" s="95">
        <f t="shared" ref="Y89:Z89" si="49">Y50+Y54+Y72+Y68+Y84+Y88</f>
        <v>1609.94</v>
      </c>
      <c r="Z89" s="95">
        <f t="shared" si="49"/>
        <v>1585.64</v>
      </c>
      <c r="AA89" s="95">
        <f t="shared" ref="AA89" si="50">AA50+AA54+AA72+AA68+AA84+AA88</f>
        <v>1527.44</v>
      </c>
      <c r="AB89" s="95">
        <f t="shared" si="45"/>
        <v>1475.6399999999999</v>
      </c>
      <c r="AC89" s="95">
        <f t="shared" si="45"/>
        <v>1434.7399999999998</v>
      </c>
      <c r="AD89" s="95">
        <f t="shared" si="45"/>
        <v>1233.04</v>
      </c>
      <c r="AE89" s="95">
        <f t="shared" si="45"/>
        <v>1072.04</v>
      </c>
      <c r="AF89" s="95">
        <f t="shared" si="45"/>
        <v>1060.74</v>
      </c>
      <c r="AG89" s="61">
        <f t="shared" si="45"/>
        <v>2111.5500000000002</v>
      </c>
      <c r="AH89" s="47">
        <f t="shared" si="37"/>
        <v>1668.24</v>
      </c>
      <c r="AI89" s="48">
        <f t="shared" si="38"/>
        <v>996.18000000000006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>
        <v>40</v>
      </c>
      <c r="N90" s="97">
        <v>30</v>
      </c>
      <c r="O90" s="97">
        <v>30</v>
      </c>
      <c r="P90" s="97"/>
      <c r="Q90" s="97"/>
      <c r="R90" s="97"/>
      <c r="S90" s="97"/>
      <c r="T90" s="97"/>
      <c r="U90" s="97"/>
      <c r="V90" s="97"/>
      <c r="W90" s="97"/>
      <c r="X90" s="97">
        <v>110</v>
      </c>
      <c r="Y90" s="97">
        <v>110</v>
      </c>
      <c r="Z90" s="97">
        <v>55</v>
      </c>
      <c r="AA90" s="97">
        <v>0</v>
      </c>
      <c r="AB90" s="97"/>
      <c r="AC90" s="97"/>
      <c r="AD90" s="97"/>
      <c r="AE90" s="97"/>
      <c r="AF90" s="97"/>
      <c r="AG90" s="88"/>
      <c r="AH90" s="47">
        <f t="shared" si="37"/>
        <v>110</v>
      </c>
      <c r="AI90" s="48">
        <f t="shared" si="38"/>
        <v>0</v>
      </c>
    </row>
    <row r="91" spans="1:40" ht="15.75" thickBot="1" x14ac:dyDescent="0.3">
      <c r="A91" s="74" t="s">
        <v>102</v>
      </c>
      <c r="B91" s="95">
        <f t="shared" ref="B91:AF91" si="51">B89+B90</f>
        <v>1040.18</v>
      </c>
      <c r="C91" s="95">
        <f t="shared" si="51"/>
        <v>1080.8800000000001</v>
      </c>
      <c r="D91" s="95">
        <f t="shared" si="51"/>
        <v>996.18000000000006</v>
      </c>
      <c r="E91" s="95">
        <f t="shared" si="51"/>
        <v>1002.88</v>
      </c>
      <c r="F91" s="95">
        <f t="shared" si="51"/>
        <v>1014.6800000000001</v>
      </c>
      <c r="G91" s="95">
        <f t="shared" si="51"/>
        <v>1110.08</v>
      </c>
      <c r="H91" s="95">
        <f t="shared" si="51"/>
        <v>1233.6400000000001</v>
      </c>
      <c r="I91" s="95">
        <f t="shared" si="51"/>
        <v>1339.8400000000001</v>
      </c>
      <c r="J91" s="95">
        <f t="shared" si="51"/>
        <v>1449.8400000000001</v>
      </c>
      <c r="K91" s="95">
        <f t="shared" si="51"/>
        <v>1576.6399999999999</v>
      </c>
      <c r="L91" s="95">
        <f t="shared" si="51"/>
        <v>1613.7399999999998</v>
      </c>
      <c r="M91" s="95">
        <f t="shared" si="51"/>
        <v>1643.84</v>
      </c>
      <c r="N91" s="95">
        <f t="shared" si="51"/>
        <v>1614.7399999999998</v>
      </c>
      <c r="O91" s="95">
        <f t="shared" si="51"/>
        <v>1571.94</v>
      </c>
      <c r="P91" s="95">
        <f t="shared" si="51"/>
        <v>1458.94</v>
      </c>
      <c r="Q91" s="95">
        <f t="shared" si="51"/>
        <v>1400.2399999999998</v>
      </c>
      <c r="R91" s="95">
        <f t="shared" si="51"/>
        <v>1402.1399999999999</v>
      </c>
      <c r="S91" s="95">
        <f t="shared" ref="S91:T91" si="52">S89+S90</f>
        <v>1333.24</v>
      </c>
      <c r="T91" s="95">
        <f t="shared" si="52"/>
        <v>1363.6399999999999</v>
      </c>
      <c r="U91" s="95">
        <f t="shared" ref="U91:V91" si="53">U89+U90</f>
        <v>1384.3400000000001</v>
      </c>
      <c r="V91" s="95">
        <f t="shared" si="53"/>
        <v>1423.14</v>
      </c>
      <c r="W91" s="95">
        <f t="shared" ref="W91:X91" si="54">W89+W90</f>
        <v>1516.74</v>
      </c>
      <c r="X91" s="95">
        <f t="shared" si="54"/>
        <v>1778.24</v>
      </c>
      <c r="Y91" s="95">
        <f t="shared" ref="Y91:Z91" si="55">Y89+Y90</f>
        <v>1719.94</v>
      </c>
      <c r="Z91" s="95">
        <f t="shared" si="55"/>
        <v>1640.64</v>
      </c>
      <c r="AA91" s="95">
        <f t="shared" ref="AA91" si="56">AA89+AA90</f>
        <v>1527.44</v>
      </c>
      <c r="AB91" s="95">
        <f t="shared" si="51"/>
        <v>1475.6399999999999</v>
      </c>
      <c r="AC91" s="95">
        <f t="shared" si="51"/>
        <v>1434.7399999999998</v>
      </c>
      <c r="AD91" s="95">
        <f t="shared" si="51"/>
        <v>1233.04</v>
      </c>
      <c r="AE91" s="95">
        <f t="shared" si="51"/>
        <v>1072.04</v>
      </c>
      <c r="AF91" s="95">
        <f t="shared" si="51"/>
        <v>1060.74</v>
      </c>
      <c r="AG91" s="88">
        <f>AG88+AG84+AG72+AG68+AG50+AG90</f>
        <v>1573.45</v>
      </c>
      <c r="AH91" s="47">
        <f t="shared" si="37"/>
        <v>1778.24</v>
      </c>
      <c r="AI91" s="48">
        <f t="shared" si="38"/>
        <v>996.18000000000006</v>
      </c>
    </row>
    <row r="92" spans="1:40" ht="15.75" thickBot="1" x14ac:dyDescent="0.3">
      <c r="A92" s="74" t="s">
        <v>103</v>
      </c>
      <c r="B92" s="95">
        <f>B91-(-B99)</f>
        <v>1040.18</v>
      </c>
      <c r="C92" s="95">
        <f t="shared" ref="C92:AF92" si="57">C91-(-C99)</f>
        <v>1080.8800000000001</v>
      </c>
      <c r="D92" s="95">
        <f t="shared" si="57"/>
        <v>996.18000000000006</v>
      </c>
      <c r="E92" s="95">
        <f t="shared" si="57"/>
        <v>1002.88</v>
      </c>
      <c r="F92" s="95">
        <f t="shared" si="57"/>
        <v>1014.6800000000001</v>
      </c>
      <c r="G92" s="95">
        <f t="shared" si="57"/>
        <v>1110.08</v>
      </c>
      <c r="H92" s="95">
        <f t="shared" si="57"/>
        <v>1233.6400000000001</v>
      </c>
      <c r="I92" s="95">
        <f t="shared" si="57"/>
        <v>1339.8400000000001</v>
      </c>
      <c r="J92" s="95">
        <f t="shared" si="57"/>
        <v>1449.8400000000001</v>
      </c>
      <c r="K92" s="95">
        <f t="shared" si="57"/>
        <v>1576.6399999999999</v>
      </c>
      <c r="L92" s="95">
        <f t="shared" si="57"/>
        <v>1613.7399999999998</v>
      </c>
      <c r="M92" s="95">
        <f t="shared" si="57"/>
        <v>1643.84</v>
      </c>
      <c r="N92" s="95">
        <f t="shared" si="57"/>
        <v>1614.7399999999998</v>
      </c>
      <c r="O92" s="95">
        <f t="shared" si="57"/>
        <v>1571.94</v>
      </c>
      <c r="P92" s="95">
        <f t="shared" si="57"/>
        <v>1458.94</v>
      </c>
      <c r="Q92" s="95">
        <f t="shared" si="57"/>
        <v>1400.2399999999998</v>
      </c>
      <c r="R92" s="95">
        <f t="shared" si="57"/>
        <v>1402.1399999999999</v>
      </c>
      <c r="S92" s="95">
        <f t="shared" ref="S92:T92" si="58">S91-(-S99)</f>
        <v>1333.24</v>
      </c>
      <c r="T92" s="95">
        <f t="shared" si="58"/>
        <v>1363.6399999999999</v>
      </c>
      <c r="U92" s="95">
        <f t="shared" ref="U92:V92" si="59">U91-(-U99)</f>
        <v>1384.3400000000001</v>
      </c>
      <c r="V92" s="95">
        <f t="shared" si="59"/>
        <v>1423.14</v>
      </c>
      <c r="W92" s="95">
        <f t="shared" ref="W92:X92" si="60">W91-(-W99)</f>
        <v>1516.74</v>
      </c>
      <c r="X92" s="95">
        <f t="shared" si="60"/>
        <v>1778.24</v>
      </c>
      <c r="Y92" s="95">
        <f t="shared" ref="Y92:Z92" si="61">Y91-(-Y99)</f>
        <v>1719.94</v>
      </c>
      <c r="Z92" s="95">
        <f t="shared" si="61"/>
        <v>1640.64</v>
      </c>
      <c r="AA92" s="95">
        <f t="shared" ref="AA92" si="62">AA91-(-AA99)</f>
        <v>1527.44</v>
      </c>
      <c r="AB92" s="95">
        <f t="shared" si="57"/>
        <v>1475.6399999999999</v>
      </c>
      <c r="AC92" s="95">
        <f t="shared" si="57"/>
        <v>1434.7399999999998</v>
      </c>
      <c r="AD92" s="95">
        <f t="shared" si="57"/>
        <v>1233.04</v>
      </c>
      <c r="AE92" s="95">
        <f t="shared" si="57"/>
        <v>1072.04</v>
      </c>
      <c r="AF92" s="95">
        <f t="shared" si="57"/>
        <v>1060.74</v>
      </c>
      <c r="AG92" s="88"/>
      <c r="AH92" s="47">
        <f t="shared" si="37"/>
        <v>1778.24</v>
      </c>
      <c r="AI92" s="48">
        <f t="shared" si="38"/>
        <v>996.18000000000006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37"/>
        <v>0</v>
      </c>
      <c r="AI93" s="48">
        <f t="shared" si="38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37"/>
        <v>0</v>
      </c>
      <c r="AI94" s="48">
        <f t="shared" si="38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37"/>
        <v>0</v>
      </c>
      <c r="AI95" s="48">
        <f t="shared" si="38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37"/>
        <v>0</v>
      </c>
      <c r="AI96" s="48">
        <f t="shared" si="38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37"/>
        <v>0</v>
      </c>
      <c r="AI97" s="48">
        <f t="shared" si="38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37"/>
        <v>0</v>
      </c>
      <c r="AI98" s="48">
        <f t="shared" si="38"/>
        <v>0</v>
      </c>
    </row>
    <row r="99" spans="1:37" ht="15.75" thickBot="1" x14ac:dyDescent="0.3">
      <c r="A99" s="99" t="s">
        <v>107</v>
      </c>
      <c r="B99" s="60">
        <f t="shared" ref="B99:AF99" si="63">IF(B84&lt;0,B75+B73,0)</f>
        <v>0</v>
      </c>
      <c r="C99" s="60">
        <f t="shared" si="63"/>
        <v>0</v>
      </c>
      <c r="D99" s="60">
        <f t="shared" si="63"/>
        <v>0</v>
      </c>
      <c r="E99" s="60">
        <f t="shared" si="63"/>
        <v>0</v>
      </c>
      <c r="F99" s="60">
        <f t="shared" si="63"/>
        <v>0</v>
      </c>
      <c r="G99" s="60">
        <f t="shared" si="63"/>
        <v>0</v>
      </c>
      <c r="H99" s="60">
        <f t="shared" si="63"/>
        <v>0</v>
      </c>
      <c r="I99" s="60">
        <f t="shared" si="63"/>
        <v>0</v>
      </c>
      <c r="J99" s="60">
        <f t="shared" si="63"/>
        <v>0</v>
      </c>
      <c r="K99" s="60">
        <f t="shared" si="63"/>
        <v>0</v>
      </c>
      <c r="L99" s="60">
        <f t="shared" si="63"/>
        <v>0</v>
      </c>
      <c r="M99" s="60">
        <f t="shared" si="63"/>
        <v>0</v>
      </c>
      <c r="N99" s="60">
        <f t="shared" si="63"/>
        <v>0</v>
      </c>
      <c r="O99" s="60">
        <f t="shared" si="63"/>
        <v>0</v>
      </c>
      <c r="P99" s="60">
        <f t="shared" si="63"/>
        <v>0</v>
      </c>
      <c r="Q99" s="60">
        <f t="shared" si="63"/>
        <v>0</v>
      </c>
      <c r="R99" s="60">
        <f t="shared" si="63"/>
        <v>0</v>
      </c>
      <c r="S99" s="60">
        <f t="shared" ref="S99:T99" si="64">IF(S84&lt;0,S75+S73,0)</f>
        <v>0</v>
      </c>
      <c r="T99" s="60">
        <f t="shared" si="64"/>
        <v>0</v>
      </c>
      <c r="U99" s="60">
        <f t="shared" ref="U99:V99" si="65">IF(U84&lt;0,U75+U73,0)</f>
        <v>0</v>
      </c>
      <c r="V99" s="60">
        <f t="shared" si="65"/>
        <v>0</v>
      </c>
      <c r="W99" s="60">
        <f t="shared" ref="W99:X99" si="66">IF(W84&lt;0,W75+W73,0)</f>
        <v>0</v>
      </c>
      <c r="X99" s="60">
        <f t="shared" si="66"/>
        <v>0</v>
      </c>
      <c r="Y99" s="60">
        <f t="shared" ref="Y99:Z99" si="67">IF(Y84&lt;0,Y75+Y73,0)</f>
        <v>0</v>
      </c>
      <c r="Z99" s="60">
        <f t="shared" si="67"/>
        <v>0</v>
      </c>
      <c r="AA99" s="60">
        <f t="shared" ref="AA99" si="68">IF(AA84&lt;0,AA75+AA73,0)</f>
        <v>0</v>
      </c>
      <c r="AB99" s="60">
        <f t="shared" si="63"/>
        <v>0</v>
      </c>
      <c r="AC99" s="60">
        <f t="shared" si="63"/>
        <v>0</v>
      </c>
      <c r="AD99" s="60">
        <f t="shared" si="63"/>
        <v>0</v>
      </c>
      <c r="AE99" s="60">
        <f t="shared" si="63"/>
        <v>0</v>
      </c>
      <c r="AF99" s="60">
        <f t="shared" si="63"/>
        <v>0</v>
      </c>
      <c r="AG99" s="88"/>
      <c r="AH99" s="47">
        <f t="shared" si="37"/>
        <v>0</v>
      </c>
      <c r="AI99" s="48">
        <f t="shared" si="38"/>
        <v>0</v>
      </c>
      <c r="AK99" s="50"/>
    </row>
    <row r="100" spans="1:37" ht="15.75" thickBot="1" x14ac:dyDescent="0.3">
      <c r="A100" s="74" t="s">
        <v>108</v>
      </c>
      <c r="B100" s="60">
        <f t="shared" ref="B100:AF100" si="69">B84-B99</f>
        <v>143</v>
      </c>
      <c r="C100" s="60">
        <f t="shared" si="69"/>
        <v>128</v>
      </c>
      <c r="D100" s="60">
        <f t="shared" si="69"/>
        <v>62</v>
      </c>
      <c r="E100" s="60">
        <f t="shared" si="69"/>
        <v>66.8</v>
      </c>
      <c r="F100" s="60">
        <f t="shared" si="69"/>
        <v>50.5</v>
      </c>
      <c r="G100" s="60">
        <f t="shared" si="69"/>
        <v>143.6</v>
      </c>
      <c r="H100" s="60">
        <f t="shared" si="69"/>
        <v>105</v>
      </c>
      <c r="I100" s="60">
        <f t="shared" si="69"/>
        <v>121.9</v>
      </c>
      <c r="J100" s="60">
        <f t="shared" si="69"/>
        <v>121.9</v>
      </c>
      <c r="K100" s="60">
        <f t="shared" si="69"/>
        <v>195.6</v>
      </c>
      <c r="L100" s="60">
        <f t="shared" si="69"/>
        <v>224.3</v>
      </c>
      <c r="M100" s="60">
        <f t="shared" si="69"/>
        <v>55.599999999999994</v>
      </c>
      <c r="N100" s="60">
        <f t="shared" si="69"/>
        <v>40</v>
      </c>
      <c r="O100" s="60">
        <f t="shared" si="69"/>
        <v>207.5</v>
      </c>
      <c r="P100" s="60">
        <f t="shared" si="69"/>
        <v>254.7</v>
      </c>
      <c r="Q100" s="60">
        <f t="shared" si="69"/>
        <v>254.60000000000002</v>
      </c>
      <c r="R100" s="60">
        <f t="shared" si="69"/>
        <v>355</v>
      </c>
      <c r="S100" s="60">
        <f t="shared" ref="S100:T100" si="70">S84-S99</f>
        <v>285</v>
      </c>
      <c r="T100" s="60">
        <f t="shared" si="70"/>
        <v>334.5</v>
      </c>
      <c r="U100" s="60">
        <f t="shared" ref="U100:V100" si="71">U84-U99</f>
        <v>332.1</v>
      </c>
      <c r="V100" s="60">
        <f t="shared" si="71"/>
        <v>201.2</v>
      </c>
      <c r="W100" s="60">
        <f t="shared" ref="W100:X100" si="72">W84-W99</f>
        <v>87.3</v>
      </c>
      <c r="X100" s="60">
        <f t="shared" si="72"/>
        <v>52.3</v>
      </c>
      <c r="Y100" s="60">
        <f t="shared" ref="Y100:Z100" si="73">Y84-Y99</f>
        <v>41.400000000000006</v>
      </c>
      <c r="Z100" s="60">
        <f t="shared" si="73"/>
        <v>36</v>
      </c>
      <c r="AA100" s="60">
        <f t="shared" ref="AA100" si="74">AA84-AA99</f>
        <v>168</v>
      </c>
      <c r="AB100" s="60">
        <f t="shared" si="69"/>
        <v>208</v>
      </c>
      <c r="AC100" s="60">
        <f t="shared" si="69"/>
        <v>217.1</v>
      </c>
      <c r="AD100" s="60">
        <f t="shared" si="69"/>
        <v>228</v>
      </c>
      <c r="AE100" s="60">
        <f t="shared" si="69"/>
        <v>175</v>
      </c>
      <c r="AF100" s="60">
        <f t="shared" si="69"/>
        <v>178.7</v>
      </c>
      <c r="AG100" s="88"/>
      <c r="AH100" s="47">
        <f t="shared" si="37"/>
        <v>355</v>
      </c>
      <c r="AI100" s="48">
        <f t="shared" si="38"/>
        <v>36</v>
      </c>
    </row>
    <row r="101" spans="1:37" x14ac:dyDescent="0.25">
      <c r="A101" s="100" t="s">
        <v>109</v>
      </c>
      <c r="B101" s="101">
        <v>50.042000000000002</v>
      </c>
      <c r="C101" s="101">
        <v>49.970999999999997</v>
      </c>
      <c r="D101" s="101">
        <v>49.942</v>
      </c>
      <c r="E101" s="101">
        <v>49.994999999999997</v>
      </c>
      <c r="F101" s="101">
        <v>49.957000000000001</v>
      </c>
      <c r="G101" s="101">
        <v>49.984999999999999</v>
      </c>
      <c r="H101" s="101">
        <v>49.984999999999999</v>
      </c>
      <c r="I101" s="101">
        <v>50.07</v>
      </c>
      <c r="J101" s="101">
        <v>50.07</v>
      </c>
      <c r="K101" s="101">
        <v>50.206000000000003</v>
      </c>
      <c r="L101" s="101">
        <v>49.952100000000002</v>
      </c>
      <c r="M101" s="101">
        <v>49.777999999999999</v>
      </c>
      <c r="N101" s="101">
        <v>49.847000000000001</v>
      </c>
      <c r="O101" s="101">
        <v>49.902999999999999</v>
      </c>
      <c r="P101" s="101">
        <v>50.04</v>
      </c>
      <c r="Q101" s="101">
        <v>49.917000000000002</v>
      </c>
      <c r="R101" s="101">
        <v>49.86</v>
      </c>
      <c r="S101" s="101">
        <v>49.86</v>
      </c>
      <c r="T101" s="101">
        <v>50.03</v>
      </c>
      <c r="U101" s="101">
        <v>49.94</v>
      </c>
      <c r="V101" s="101">
        <v>50.08</v>
      </c>
      <c r="W101" s="101">
        <v>50.08</v>
      </c>
      <c r="X101" s="101">
        <v>50.03</v>
      </c>
      <c r="Y101" s="101">
        <v>50.05</v>
      </c>
      <c r="Z101" s="101">
        <v>50.04</v>
      </c>
      <c r="AA101" s="101">
        <v>50.04</v>
      </c>
      <c r="AB101" s="101">
        <v>49.976999999999997</v>
      </c>
      <c r="AC101" s="101">
        <v>49.96</v>
      </c>
      <c r="AD101" s="101">
        <v>50.05</v>
      </c>
      <c r="AE101" s="101">
        <v>50.05</v>
      </c>
      <c r="AF101" s="101">
        <v>49.970999999999997</v>
      </c>
      <c r="AG101" s="102"/>
      <c r="AH101" s="47">
        <f t="shared" si="37"/>
        <v>50.206000000000003</v>
      </c>
      <c r="AI101" s="48">
        <f t="shared" si="38"/>
        <v>49.777999999999999</v>
      </c>
    </row>
    <row r="102" spans="1:37" x14ac:dyDescent="0.25">
      <c r="A102" s="103" t="s">
        <v>110</v>
      </c>
      <c r="B102" s="65">
        <v>130</v>
      </c>
      <c r="C102" s="65">
        <v>130</v>
      </c>
      <c r="D102" s="65">
        <v>130</v>
      </c>
      <c r="E102" s="65">
        <v>131.6</v>
      </c>
      <c r="F102" s="65">
        <v>131</v>
      </c>
      <c r="G102" s="65">
        <v>129.9</v>
      </c>
      <c r="H102" s="65">
        <v>128.30000000000001</v>
      </c>
      <c r="I102" s="65">
        <v>127.5</v>
      </c>
      <c r="J102" s="65">
        <v>127.5</v>
      </c>
      <c r="K102" s="65">
        <v>125.1</v>
      </c>
      <c r="L102" s="65">
        <v>124.7</v>
      </c>
      <c r="M102" s="65">
        <v>126.2</v>
      </c>
      <c r="N102" s="65">
        <v>124.5</v>
      </c>
      <c r="O102" s="65">
        <v>122.7</v>
      </c>
      <c r="P102" s="65">
        <v>125.2</v>
      </c>
      <c r="Q102" s="65">
        <v>125.7</v>
      </c>
      <c r="R102" s="65">
        <v>126.1</v>
      </c>
      <c r="S102" s="65">
        <v>126.1</v>
      </c>
      <c r="T102" s="65">
        <v>124</v>
      </c>
      <c r="U102" s="65">
        <v>124.9</v>
      </c>
      <c r="V102" s="65">
        <v>126.6</v>
      </c>
      <c r="W102" s="65">
        <v>125.5</v>
      </c>
      <c r="X102" s="65">
        <v>127.4</v>
      </c>
      <c r="Y102" s="65">
        <v>126.6</v>
      </c>
      <c r="Z102" s="65">
        <v>126.4</v>
      </c>
      <c r="AA102" s="65">
        <v>126.1</v>
      </c>
      <c r="AB102" s="65">
        <v>127.1</v>
      </c>
      <c r="AC102" s="65">
        <v>127.9</v>
      </c>
      <c r="AD102" s="65">
        <v>128.80000000000001</v>
      </c>
      <c r="AE102" s="65">
        <v>128.80000000000001</v>
      </c>
      <c r="AF102" s="65">
        <v>130.30000000000001</v>
      </c>
      <c r="AG102" s="104"/>
      <c r="AH102" s="47">
        <f t="shared" si="37"/>
        <v>131.6</v>
      </c>
      <c r="AI102" s="48">
        <f t="shared" si="38"/>
        <v>122.7</v>
      </c>
    </row>
    <row r="103" spans="1:37" x14ac:dyDescent="0.25">
      <c r="A103" s="103" t="s">
        <v>111</v>
      </c>
      <c r="B103" s="65">
        <v>134</v>
      </c>
      <c r="C103" s="65">
        <v>134</v>
      </c>
      <c r="D103" s="65">
        <v>134</v>
      </c>
      <c r="E103" s="65">
        <v>135.19999999999999</v>
      </c>
      <c r="F103" s="65">
        <v>134.80000000000001</v>
      </c>
      <c r="G103" s="65">
        <v>133.6</v>
      </c>
      <c r="H103" s="65">
        <v>132.1</v>
      </c>
      <c r="I103" s="65">
        <v>131</v>
      </c>
      <c r="J103" s="65">
        <v>131</v>
      </c>
      <c r="K103" s="65">
        <v>127.6</v>
      </c>
      <c r="L103" s="65">
        <v>127.6</v>
      </c>
      <c r="M103" s="65">
        <v>127.5</v>
      </c>
      <c r="N103" s="65">
        <v>126.7</v>
      </c>
      <c r="O103" s="65">
        <v>125.4</v>
      </c>
      <c r="P103" s="65">
        <v>127.8</v>
      </c>
      <c r="Q103" s="65">
        <v>128.80000000000001</v>
      </c>
      <c r="R103" s="65">
        <v>128.80000000000001</v>
      </c>
      <c r="S103" s="65">
        <v>128.80000000000001</v>
      </c>
      <c r="T103" s="65">
        <v>127.6</v>
      </c>
      <c r="U103" s="65">
        <v>127.8</v>
      </c>
      <c r="V103" s="65">
        <v>128.9</v>
      </c>
      <c r="W103" s="65">
        <v>127.2</v>
      </c>
      <c r="X103" s="65">
        <v>128.80000000000001</v>
      </c>
      <c r="Y103" s="65">
        <v>128.19999999999999</v>
      </c>
      <c r="Z103" s="65">
        <v>128.5</v>
      </c>
      <c r="AA103" s="65">
        <v>128.4</v>
      </c>
      <c r="AB103" s="65">
        <v>129.69999999999999</v>
      </c>
      <c r="AC103" s="65">
        <v>130.5</v>
      </c>
      <c r="AD103" s="65">
        <v>131.4</v>
      </c>
      <c r="AE103" s="65">
        <v>131.4</v>
      </c>
      <c r="AF103" s="65">
        <v>133.6</v>
      </c>
      <c r="AG103" s="104"/>
      <c r="AH103" s="47">
        <f t="shared" si="37"/>
        <v>135.19999999999999</v>
      </c>
      <c r="AI103" s="48">
        <f t="shared" si="38"/>
        <v>125.4</v>
      </c>
    </row>
    <row r="104" spans="1:37" x14ac:dyDescent="0.25">
      <c r="A104" s="103" t="s">
        <v>112</v>
      </c>
      <c r="B104" s="65">
        <v>130</v>
      </c>
      <c r="C104" s="65">
        <v>130</v>
      </c>
      <c r="D104" s="65">
        <v>130</v>
      </c>
      <c r="E104" s="65">
        <v>128.30000000000001</v>
      </c>
      <c r="F104" s="65">
        <v>129.6</v>
      </c>
      <c r="G104" s="65">
        <v>126.5</v>
      </c>
      <c r="H104" s="65">
        <v>125.8</v>
      </c>
      <c r="I104" s="65">
        <v>124.5</v>
      </c>
      <c r="J104" s="65">
        <v>124.5</v>
      </c>
      <c r="K104" s="65">
        <v>129.1</v>
      </c>
      <c r="L104" s="65">
        <v>125.8</v>
      </c>
      <c r="M104" s="65">
        <v>125.7</v>
      </c>
      <c r="N104" s="65">
        <v>129.4</v>
      </c>
      <c r="O104" s="65">
        <v>128.69999999999999</v>
      </c>
      <c r="P104" s="65">
        <v>128.69999999999999</v>
      </c>
      <c r="Q104" s="65">
        <v>129.6</v>
      </c>
      <c r="R104" s="65">
        <v>131.69999999999999</v>
      </c>
      <c r="S104" s="65">
        <v>131.69999999999999</v>
      </c>
      <c r="T104" s="65">
        <v>127.9</v>
      </c>
      <c r="U104" s="65">
        <v>128.5</v>
      </c>
      <c r="V104" s="65">
        <v>131</v>
      </c>
      <c r="W104" s="65">
        <v>126.6</v>
      </c>
      <c r="X104" s="65">
        <v>128.5</v>
      </c>
      <c r="Y104" s="65">
        <v>130.6</v>
      </c>
      <c r="Z104" s="65">
        <v>130.4</v>
      </c>
      <c r="AA104" s="65">
        <v>132.19999999999999</v>
      </c>
      <c r="AB104" s="65">
        <v>129.69999999999999</v>
      </c>
      <c r="AC104" s="65">
        <v>129.80000000000001</v>
      </c>
      <c r="AD104" s="65">
        <v>132.5</v>
      </c>
      <c r="AE104" s="65">
        <v>132.5</v>
      </c>
      <c r="AF104" s="65">
        <v>131.4</v>
      </c>
      <c r="AG104" s="104"/>
      <c r="AH104" s="47">
        <f t="shared" si="37"/>
        <v>132.5</v>
      </c>
      <c r="AI104" s="48">
        <f t="shared" si="38"/>
        <v>124.5</v>
      </c>
    </row>
    <row r="105" spans="1:37" x14ac:dyDescent="0.25">
      <c r="A105" s="105" t="s">
        <v>113</v>
      </c>
      <c r="B105" s="65">
        <v>131</v>
      </c>
      <c r="C105" s="65">
        <v>131</v>
      </c>
      <c r="D105" s="65">
        <v>131</v>
      </c>
      <c r="E105" s="65">
        <v>130.9</v>
      </c>
      <c r="F105" s="65">
        <v>132.30000000000001</v>
      </c>
      <c r="G105" s="65">
        <v>128.80000000000001</v>
      </c>
      <c r="H105" s="65">
        <v>137</v>
      </c>
      <c r="I105" s="65">
        <v>129.30000000000001</v>
      </c>
      <c r="J105" s="65">
        <v>129.30000000000001</v>
      </c>
      <c r="K105" s="65">
        <v>132.19999999999999</v>
      </c>
      <c r="L105" s="65">
        <v>128</v>
      </c>
      <c r="M105" s="65">
        <v>126.5</v>
      </c>
      <c r="N105" s="65">
        <v>130.30000000000001</v>
      </c>
      <c r="O105" s="65">
        <v>130.1</v>
      </c>
      <c r="P105" s="65">
        <v>129.9</v>
      </c>
      <c r="Q105" s="65">
        <v>132.19999999999999</v>
      </c>
      <c r="R105" s="65">
        <v>133.30000000000001</v>
      </c>
      <c r="S105" s="65">
        <v>133.30000000000001</v>
      </c>
      <c r="T105" s="65">
        <v>129.80000000000001</v>
      </c>
      <c r="U105" s="65">
        <v>128.9</v>
      </c>
      <c r="V105" s="65">
        <v>132.5</v>
      </c>
      <c r="W105" s="65">
        <v>127.3</v>
      </c>
      <c r="X105" s="65">
        <v>128.6</v>
      </c>
      <c r="Y105" s="65">
        <v>132.30000000000001</v>
      </c>
      <c r="Z105" s="65">
        <v>131.69999999999999</v>
      </c>
      <c r="AA105" s="65">
        <v>133.69999999999999</v>
      </c>
      <c r="AB105" s="65">
        <v>132.80000000000001</v>
      </c>
      <c r="AC105" s="65">
        <v>133.4</v>
      </c>
      <c r="AD105" s="65">
        <v>133.1</v>
      </c>
      <c r="AE105" s="65">
        <v>133.1</v>
      </c>
      <c r="AF105" s="65">
        <v>133.19999999999999</v>
      </c>
      <c r="AG105" s="104"/>
      <c r="AH105" s="47">
        <f t="shared" si="37"/>
        <v>137</v>
      </c>
      <c r="AI105" s="48">
        <f t="shared" si="38"/>
        <v>126.5</v>
      </c>
    </row>
    <row r="106" spans="1:37" x14ac:dyDescent="0.25">
      <c r="A106" s="105" t="s">
        <v>114</v>
      </c>
      <c r="B106" s="106">
        <v>136</v>
      </c>
      <c r="C106" s="106">
        <v>136</v>
      </c>
      <c r="D106" s="106">
        <v>136</v>
      </c>
      <c r="E106" s="106">
        <v>135.4</v>
      </c>
      <c r="F106" s="106">
        <v>134.6</v>
      </c>
      <c r="G106" s="106">
        <v>135.4</v>
      </c>
      <c r="H106" s="106">
        <v>133.9</v>
      </c>
      <c r="I106" s="106">
        <v>132.19999999999999</v>
      </c>
      <c r="J106" s="106">
        <v>132.19999999999999</v>
      </c>
      <c r="K106" s="106">
        <v>131.69999999999999</v>
      </c>
      <c r="L106" s="106">
        <v>133</v>
      </c>
      <c r="M106" s="106">
        <v>135.1</v>
      </c>
      <c r="N106" s="106">
        <v>132.1</v>
      </c>
      <c r="O106" s="106">
        <v>133</v>
      </c>
      <c r="P106" s="106">
        <v>134.6</v>
      </c>
      <c r="Q106" s="106">
        <v>134.19999999999999</v>
      </c>
      <c r="R106" s="106">
        <v>134.1</v>
      </c>
      <c r="S106" s="106">
        <v>134.1</v>
      </c>
      <c r="T106" s="106">
        <v>132.4</v>
      </c>
      <c r="U106" s="106">
        <v>133.1</v>
      </c>
      <c r="V106" s="106">
        <v>134.6</v>
      </c>
      <c r="W106" s="106">
        <v>135.9</v>
      </c>
      <c r="X106" s="106">
        <v>135.4</v>
      </c>
      <c r="Y106" s="106">
        <v>134.6</v>
      </c>
      <c r="Z106" s="106">
        <v>135.80000000000001</v>
      </c>
      <c r="AA106" s="106">
        <v>135.30000000000001</v>
      </c>
      <c r="AB106" s="106">
        <v>134</v>
      </c>
      <c r="AC106" s="106">
        <v>134</v>
      </c>
      <c r="AD106" s="106">
        <v>135.80000000000001</v>
      </c>
      <c r="AE106" s="106">
        <v>135.80000000000001</v>
      </c>
      <c r="AF106" s="106">
        <v>136.9</v>
      </c>
      <c r="AG106" s="107"/>
      <c r="AH106" s="47">
        <f t="shared" si="37"/>
        <v>136.9</v>
      </c>
      <c r="AI106" s="48">
        <f t="shared" si="38"/>
        <v>131.69999999999999</v>
      </c>
    </row>
    <row r="107" spans="1:37" x14ac:dyDescent="0.25">
      <c r="A107" s="103" t="s">
        <v>115</v>
      </c>
      <c r="B107" s="65"/>
      <c r="C107" s="65"/>
      <c r="D107" s="65"/>
      <c r="E107" s="65">
        <v>135</v>
      </c>
      <c r="F107" s="65">
        <v>131.30000000000001</v>
      </c>
      <c r="G107" s="65">
        <v>131.69999999999999</v>
      </c>
      <c r="H107" s="65">
        <v>130</v>
      </c>
      <c r="I107" s="65">
        <v>127.5</v>
      </c>
      <c r="J107" s="65">
        <v>127.5</v>
      </c>
      <c r="K107" s="65">
        <v>128.1</v>
      </c>
      <c r="L107" s="65">
        <v>132</v>
      </c>
      <c r="M107" s="65">
        <v>133.4</v>
      </c>
      <c r="N107" s="65">
        <v>132.5</v>
      </c>
      <c r="O107" s="65">
        <v>132.4</v>
      </c>
      <c r="P107" s="65">
        <v>132.19999999999999</v>
      </c>
      <c r="Q107" s="65">
        <v>135.69999999999999</v>
      </c>
      <c r="R107" s="65">
        <v>131.69999999999999</v>
      </c>
      <c r="S107" s="65">
        <v>131.69999999999999</v>
      </c>
      <c r="T107" s="65">
        <v>130.69999999999999</v>
      </c>
      <c r="U107" s="65">
        <v>130.9</v>
      </c>
      <c r="V107" s="65">
        <v>127.5</v>
      </c>
      <c r="W107" s="65">
        <v>132.4</v>
      </c>
      <c r="X107" s="65">
        <v>128.30000000000001</v>
      </c>
      <c r="Y107" s="65">
        <v>131.5</v>
      </c>
      <c r="Z107" s="65">
        <v>132.6</v>
      </c>
      <c r="AA107" s="65">
        <v>132.6</v>
      </c>
      <c r="AB107" s="65">
        <v>132</v>
      </c>
      <c r="AC107" s="65">
        <v>132.19999999999999</v>
      </c>
      <c r="AD107" s="65">
        <v>133.1</v>
      </c>
      <c r="AE107" s="65">
        <v>133.1</v>
      </c>
      <c r="AF107" s="65">
        <v>132.19999999999999</v>
      </c>
      <c r="AG107" s="104"/>
      <c r="AH107" s="47">
        <f t="shared" si="37"/>
        <v>135.69999999999999</v>
      </c>
      <c r="AI107" s="48">
        <f t="shared" si="38"/>
        <v>127.5</v>
      </c>
    </row>
    <row r="108" spans="1:37" ht="15.75" thickBot="1" x14ac:dyDescent="0.3">
      <c r="A108" s="103" t="s">
        <v>116</v>
      </c>
      <c r="B108" s="92">
        <v>67</v>
      </c>
      <c r="C108" s="92">
        <v>67</v>
      </c>
      <c r="D108" s="92">
        <v>67</v>
      </c>
      <c r="E108" s="92">
        <v>67.7</v>
      </c>
      <c r="F108" s="92">
        <v>67.5</v>
      </c>
      <c r="G108" s="92">
        <v>66.900000000000006</v>
      </c>
      <c r="H108" s="92">
        <v>66.099999999999994</v>
      </c>
      <c r="I108" s="92">
        <v>65.5</v>
      </c>
      <c r="J108" s="92">
        <v>65.5</v>
      </c>
      <c r="K108" s="92">
        <v>64.400000000000006</v>
      </c>
      <c r="L108" s="92">
        <v>64.099999999999994</v>
      </c>
      <c r="M108" s="92">
        <v>63.8</v>
      </c>
      <c r="N108" s="92">
        <v>63.3</v>
      </c>
      <c r="O108" s="92">
        <v>62.7</v>
      </c>
      <c r="P108" s="92">
        <v>63.9</v>
      </c>
      <c r="Q108" s="92">
        <v>64.2</v>
      </c>
      <c r="R108" s="92">
        <v>65.400000000000006</v>
      </c>
      <c r="S108" s="92">
        <v>65.400000000000006</v>
      </c>
      <c r="T108" s="92">
        <v>63.9</v>
      </c>
      <c r="U108" s="92">
        <v>64.099999999999994</v>
      </c>
      <c r="V108" s="92">
        <v>64.5</v>
      </c>
      <c r="W108" s="92">
        <v>63.7</v>
      </c>
      <c r="X108" s="92">
        <v>64.5</v>
      </c>
      <c r="Y108" s="92">
        <v>64.3</v>
      </c>
      <c r="Z108" s="92">
        <v>64.7</v>
      </c>
      <c r="AA108" s="92">
        <v>64.599999999999994</v>
      </c>
      <c r="AB108" s="92">
        <v>65.2</v>
      </c>
      <c r="AC108" s="92">
        <v>65.7</v>
      </c>
      <c r="AD108" s="92">
        <v>65.8</v>
      </c>
      <c r="AE108" s="92">
        <v>65.8</v>
      </c>
      <c r="AF108" s="92">
        <v>66.900000000000006</v>
      </c>
      <c r="AG108" s="108"/>
      <c r="AH108" s="47">
        <f t="shared" si="37"/>
        <v>67.7</v>
      </c>
      <c r="AI108" s="48">
        <f t="shared" si="38"/>
        <v>62.7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37"/>
        <v>0</v>
      </c>
      <c r="AI109" s="48">
        <f t="shared" si="38"/>
        <v>0</v>
      </c>
    </row>
    <row r="110" spans="1:37" ht="15.75" thickBot="1" x14ac:dyDescent="0.3">
      <c r="A110" s="110" t="s">
        <v>118</v>
      </c>
      <c r="B110" s="111">
        <f t="shared" ref="B110:O110" si="75">SUM(B20,B26,B29:B30,B58,B60:B61,B63,B65,B111:B115,B140,B146,B152,B161,B163,B175,B182,B185:B186,B193,B195,B197,B201:B203,B205:B207,B212,B218:B219,B221:B223,B231,B236)</f>
        <v>109.87</v>
      </c>
      <c r="C110" s="111">
        <f t="shared" si="75"/>
        <v>99.839999999999989</v>
      </c>
      <c r="D110" s="111">
        <f t="shared" si="75"/>
        <v>103.33999999999999</v>
      </c>
      <c r="E110" s="111">
        <f t="shared" si="75"/>
        <v>82.239999999999981</v>
      </c>
      <c r="F110" s="111">
        <f t="shared" si="75"/>
        <v>87.939999999999984</v>
      </c>
      <c r="G110" s="111">
        <f t="shared" si="75"/>
        <v>109.87999999999998</v>
      </c>
      <c r="H110" s="111">
        <f t="shared" si="75"/>
        <v>150.34</v>
      </c>
      <c r="I110" s="111">
        <f t="shared" si="75"/>
        <v>152.03999999999996</v>
      </c>
      <c r="J110" s="111">
        <f t="shared" si="75"/>
        <v>266.04000000000002</v>
      </c>
      <c r="K110" s="111">
        <f t="shared" si="75"/>
        <v>312.24</v>
      </c>
      <c r="L110" s="111">
        <f t="shared" si="75"/>
        <v>327.94</v>
      </c>
      <c r="M110" s="111">
        <f t="shared" si="75"/>
        <v>346.64000000000004</v>
      </c>
      <c r="N110" s="111">
        <f t="shared" si="75"/>
        <v>322.74</v>
      </c>
      <c r="O110" s="111">
        <f t="shared" si="75"/>
        <v>324.64000000000004</v>
      </c>
      <c r="P110" s="111">
        <v>42</v>
      </c>
      <c r="Q110" s="111">
        <f t="shared" ref="Q110:AF110" si="76">SUM(Q20,Q26,Q29:Q30,Q58,Q60:Q61,Q63,Q65,Q111:Q115,Q140,Q146,Q152,Q161,Q163,Q175,Q182,Q185:Q186,Q193,Q195,Q197,Q201:Q203,Q205:Q207,Q212,Q218:Q219,Q221:Q223,Q231,Q236)</f>
        <v>294.74</v>
      </c>
      <c r="R110" s="111">
        <f t="shared" si="76"/>
        <v>249.59</v>
      </c>
      <c r="S110" s="111">
        <f t="shared" ref="S110:T110" si="77">SUM(S20,S26,S29:S30,S58,S60:S61,S63,S65,S111:S115,S140,S146,S152,S161,S163,S175,S182,S185:S186,S193,S195,S197,S201:S203,S205:S207,S212,S218:S219,S221:S223,S231,S236)</f>
        <v>247.89000000000001</v>
      </c>
      <c r="T110" s="111">
        <f t="shared" si="77"/>
        <v>133.54000000000002</v>
      </c>
      <c r="U110" s="111">
        <f t="shared" ref="U110:V110" si="78">SUM(U20,U26,U29:U30,U58,U60:U61,U63,U65,U111:U115,U140,U146,U152,U161,U163,U175,U182,U185:U186,U193,U195,U197,U201:U203,U205:U207,U212,U218:U219,U221:U223,U231,U236)</f>
        <v>148.54</v>
      </c>
      <c r="V110" s="111">
        <f t="shared" si="78"/>
        <v>257.54000000000002</v>
      </c>
      <c r="W110" s="111">
        <f t="shared" ref="W110:X110" si="79">SUM(W20,W26,W29:W30,W58,W60:W61,W63,W65,W111:W115,W140,W146,W152,W161,W163,W175,W182,W185:W186,W193,W195,W197,W201:W203,W205:W207,W212,W218:W219,W221:W223,W231,W236)</f>
        <v>306.83999999999997</v>
      </c>
      <c r="X110" s="111">
        <f t="shared" si="79"/>
        <v>329.04</v>
      </c>
      <c r="Y110" s="111">
        <f t="shared" ref="Y110:Z110" si="80">SUM(Y20,Y26,Y29:Y30,Y58,Y60:Y61,Y63,Y65,Y111:Y115,Y140,Y146,Y152,Y161,Y163,Y175,Y182,Y185:Y186,Y193,Y195,Y197,Y201:Y203,Y205:Y207,Y212,Y218:Y219,Y221:Y223,Y231,Y236)</f>
        <v>301.34000000000003</v>
      </c>
      <c r="Z110" s="111">
        <f t="shared" si="80"/>
        <v>322.74</v>
      </c>
      <c r="AA110" s="111">
        <f t="shared" ref="AA110" si="81">SUM(AA20,AA26,AA29:AA30,AA58,AA60:AA61,AA63,AA65,AA111:AA115,AA140,AA146,AA152,AA161,AA163,AA175,AA182,AA185:AA186,AA193,AA195,AA197,AA201:AA203,AA205:AA207,AA212,AA218:AA219,AA221:AA223,AA231,AA236)</f>
        <v>313.99</v>
      </c>
      <c r="AB110" s="111">
        <f t="shared" si="76"/>
        <v>341.41699999999997</v>
      </c>
      <c r="AC110" s="111">
        <f t="shared" si="76"/>
        <v>331.32499999999999</v>
      </c>
      <c r="AD110" s="111"/>
      <c r="AE110" s="111">
        <f t="shared" si="76"/>
        <v>188.04</v>
      </c>
      <c r="AF110" s="111">
        <f t="shared" si="76"/>
        <v>117.94</v>
      </c>
      <c r="AG110" s="112"/>
      <c r="AH110" s="47">
        <f t="shared" si="37"/>
        <v>346.64000000000004</v>
      </c>
      <c r="AI110" s="48">
        <f t="shared" si="38"/>
        <v>42</v>
      </c>
    </row>
    <row r="111" spans="1:37" x14ac:dyDescent="0.25">
      <c r="A111" s="181" t="s">
        <v>119</v>
      </c>
      <c r="B111" s="113">
        <v>3.3</v>
      </c>
      <c r="C111" s="113">
        <v>1.5</v>
      </c>
      <c r="D111" s="113">
        <v>14.2</v>
      </c>
      <c r="E111" s="113">
        <v>9.6999999999999993</v>
      </c>
      <c r="F111" s="113">
        <v>19.100000000000001</v>
      </c>
      <c r="G111" s="113">
        <v>13</v>
      </c>
      <c r="H111" s="113">
        <v>30.9</v>
      </c>
      <c r="I111" s="113">
        <v>25.6</v>
      </c>
      <c r="J111" s="113">
        <v>28</v>
      </c>
      <c r="K111" s="113">
        <v>23.1</v>
      </c>
      <c r="L111" s="113">
        <v>23.8</v>
      </c>
      <c r="M111" s="113">
        <v>36</v>
      </c>
      <c r="N111" s="113">
        <v>35.200000000000003</v>
      </c>
      <c r="O111" s="113">
        <v>38.4</v>
      </c>
      <c r="P111" s="113">
        <v>40.5</v>
      </c>
      <c r="Q111" s="113">
        <v>28.3</v>
      </c>
      <c r="R111" s="113">
        <v>0</v>
      </c>
      <c r="S111" s="113">
        <v>0</v>
      </c>
      <c r="T111" s="113">
        <v>0</v>
      </c>
      <c r="U111" s="113">
        <v>0</v>
      </c>
      <c r="V111" s="113">
        <v>0</v>
      </c>
      <c r="W111" s="113">
        <v>0</v>
      </c>
      <c r="X111" s="113">
        <v>0</v>
      </c>
      <c r="Y111" s="113">
        <v>0</v>
      </c>
      <c r="Z111" s="113">
        <v>0</v>
      </c>
      <c r="AA111" s="113">
        <v>0</v>
      </c>
      <c r="AB111" s="113">
        <v>47</v>
      </c>
      <c r="AC111" s="113">
        <v>48</v>
      </c>
      <c r="AD111" s="113"/>
      <c r="AE111" s="113"/>
      <c r="AF111" s="113"/>
      <c r="AG111" s="114">
        <v>75</v>
      </c>
      <c r="AH111" s="47">
        <f t="shared" si="37"/>
        <v>48</v>
      </c>
      <c r="AI111" s="48">
        <f t="shared" si="38"/>
        <v>0</v>
      </c>
    </row>
    <row r="112" spans="1:37" x14ac:dyDescent="0.25">
      <c r="A112" s="182" t="s">
        <v>120</v>
      </c>
      <c r="B112" s="115">
        <v>-7.0000000000000007E-2</v>
      </c>
      <c r="C112" s="115">
        <v>-3</v>
      </c>
      <c r="D112" s="115">
        <v>16.3</v>
      </c>
      <c r="E112" s="115">
        <v>10.3</v>
      </c>
      <c r="F112" s="115">
        <v>17.399999999999999</v>
      </c>
      <c r="G112" s="115">
        <v>14</v>
      </c>
      <c r="H112" s="115">
        <v>37.799999999999997</v>
      </c>
      <c r="I112" s="115">
        <v>21.2</v>
      </c>
      <c r="J112" s="115">
        <v>25</v>
      </c>
      <c r="K112" s="115">
        <v>24.9</v>
      </c>
      <c r="L112" s="115">
        <v>25.9</v>
      </c>
      <c r="M112" s="115">
        <v>40.200000000000003</v>
      </c>
      <c r="N112" s="115">
        <v>40.5</v>
      </c>
      <c r="O112" s="115">
        <v>44.9</v>
      </c>
      <c r="P112" s="115">
        <v>46.3</v>
      </c>
      <c r="Q112" s="115">
        <v>30</v>
      </c>
      <c r="R112" s="115">
        <v>18.3</v>
      </c>
      <c r="S112" s="115">
        <v>18.3</v>
      </c>
      <c r="T112" s="115">
        <v>17.8</v>
      </c>
      <c r="U112" s="115">
        <v>31.7</v>
      </c>
      <c r="V112" s="115">
        <v>53.5</v>
      </c>
      <c r="W112" s="115">
        <v>59.7</v>
      </c>
      <c r="X112" s="115">
        <v>48.8</v>
      </c>
      <c r="Y112" s="115">
        <v>48.8</v>
      </c>
      <c r="Z112" s="115">
        <v>53.4</v>
      </c>
      <c r="AA112" s="115">
        <v>60.4</v>
      </c>
      <c r="AB112" s="115">
        <v>64.2</v>
      </c>
      <c r="AC112" s="115">
        <v>68</v>
      </c>
      <c r="AD112" s="115">
        <v>34</v>
      </c>
      <c r="AE112" s="115">
        <v>34</v>
      </c>
      <c r="AF112" s="115">
        <v>13.8</v>
      </c>
      <c r="AG112" s="114">
        <v>240</v>
      </c>
      <c r="AH112" s="47">
        <f t="shared" si="37"/>
        <v>68</v>
      </c>
      <c r="AI112" s="48">
        <f t="shared" si="38"/>
        <v>-3</v>
      </c>
    </row>
    <row r="113" spans="1:37" x14ac:dyDescent="0.25">
      <c r="A113" s="182" t="s">
        <v>121</v>
      </c>
      <c r="B113" s="115">
        <v>-72</v>
      </c>
      <c r="C113" s="115">
        <v>-74</v>
      </c>
      <c r="D113" s="115">
        <v>-81</v>
      </c>
      <c r="E113" s="115">
        <v>-81.2</v>
      </c>
      <c r="F113" s="115">
        <v>-83.6</v>
      </c>
      <c r="G113" s="115">
        <v>-68.36</v>
      </c>
      <c r="H113" s="115">
        <v>-69.2</v>
      </c>
      <c r="I113" s="115">
        <v>-61.2</v>
      </c>
      <c r="J113" s="115">
        <v>-32</v>
      </c>
      <c r="K113" s="115">
        <v>-27.2</v>
      </c>
      <c r="L113" s="115">
        <v>-26.2</v>
      </c>
      <c r="M113" s="115">
        <v>-1.2</v>
      </c>
      <c r="N113" s="115">
        <v>-14.9</v>
      </c>
      <c r="O113" s="115">
        <f>-8-9.1</f>
        <v>-17.100000000000001</v>
      </c>
      <c r="P113" s="115">
        <f>-11-14</f>
        <v>-25</v>
      </c>
      <c r="Q113" s="115">
        <f>-9.5-10.9</f>
        <v>-20.399999999999999</v>
      </c>
      <c r="R113" s="115">
        <f>-5.7-6.9</f>
        <v>-12.600000000000001</v>
      </c>
      <c r="S113" s="115">
        <f>-5.7-6.9</f>
        <v>-12.600000000000001</v>
      </c>
      <c r="T113" s="115">
        <v>-19.899999999999999</v>
      </c>
      <c r="U113" s="115">
        <v>-14.5</v>
      </c>
      <c r="V113" s="115">
        <v>-11</v>
      </c>
      <c r="W113" s="115">
        <v>2.6</v>
      </c>
      <c r="X113" s="115">
        <v>-9.4</v>
      </c>
      <c r="Y113" s="115">
        <v>-4</v>
      </c>
      <c r="Z113" s="115">
        <v>-8</v>
      </c>
      <c r="AA113" s="115">
        <v>-2</v>
      </c>
      <c r="AB113" s="115">
        <v>-7</v>
      </c>
      <c r="AC113" s="115">
        <v>-8.3000000000000007</v>
      </c>
      <c r="AD113" s="115">
        <v>-25</v>
      </c>
      <c r="AE113" s="115">
        <v>-25</v>
      </c>
      <c r="AF113" s="115">
        <v>-54</v>
      </c>
      <c r="AG113" s="114">
        <v>240</v>
      </c>
      <c r="AH113" s="47">
        <f t="shared" si="37"/>
        <v>2.6</v>
      </c>
      <c r="AI113" s="48">
        <f t="shared" si="38"/>
        <v>-83.6</v>
      </c>
    </row>
    <row r="114" spans="1:37" ht="15.75" thickBot="1" x14ac:dyDescent="0.3">
      <c r="A114" s="182" t="s">
        <v>122</v>
      </c>
      <c r="B114" s="115">
        <v>10</v>
      </c>
      <c r="C114" s="115">
        <v>10.7</v>
      </c>
      <c r="D114" s="115">
        <v>10.8</v>
      </c>
      <c r="E114" s="115">
        <v>10.7</v>
      </c>
      <c r="F114" s="115">
        <v>10.1</v>
      </c>
      <c r="G114" s="115">
        <v>9.3000000000000007</v>
      </c>
      <c r="H114" s="115">
        <v>9.3000000000000007</v>
      </c>
      <c r="I114" s="115">
        <v>9.1</v>
      </c>
      <c r="J114" s="115">
        <v>16</v>
      </c>
      <c r="K114" s="115">
        <v>23.4</v>
      </c>
      <c r="L114" s="115">
        <v>36.4</v>
      </c>
      <c r="M114" s="115">
        <v>17.600000000000001</v>
      </c>
      <c r="N114" s="115">
        <v>7.1</v>
      </c>
      <c r="O114" s="115">
        <v>6.4</v>
      </c>
      <c r="P114" s="115">
        <v>7.3</v>
      </c>
      <c r="Q114" s="115">
        <v>7.4</v>
      </c>
      <c r="R114" s="115">
        <v>5.3</v>
      </c>
      <c r="S114" s="115">
        <v>6.3</v>
      </c>
      <c r="T114" s="115">
        <v>5.5</v>
      </c>
      <c r="U114" s="115">
        <v>3.6</v>
      </c>
      <c r="V114" s="115">
        <v>3.5</v>
      </c>
      <c r="W114" s="115">
        <v>3.9</v>
      </c>
      <c r="X114" s="115">
        <v>54.1</v>
      </c>
      <c r="Y114" s="115">
        <v>10.5</v>
      </c>
      <c r="Z114" s="115">
        <v>30.7</v>
      </c>
      <c r="AA114" s="115">
        <v>24.4</v>
      </c>
      <c r="AB114" s="115">
        <v>22.5</v>
      </c>
      <c r="AC114" s="115">
        <v>21.6</v>
      </c>
      <c r="AD114" s="115">
        <v>13</v>
      </c>
      <c r="AE114" s="115">
        <v>13</v>
      </c>
      <c r="AF114" s="115">
        <v>4.0999999999999996</v>
      </c>
      <c r="AG114" s="114">
        <v>60</v>
      </c>
      <c r="AH114" s="47">
        <f t="shared" si="37"/>
        <v>54.1</v>
      </c>
      <c r="AI114" s="48">
        <f t="shared" si="38"/>
        <v>3.5</v>
      </c>
    </row>
    <row r="115" spans="1:37" x14ac:dyDescent="0.25">
      <c r="A115" s="181" t="s">
        <v>267</v>
      </c>
      <c r="B115" s="117">
        <v>36</v>
      </c>
      <c r="C115" s="117">
        <v>32</v>
      </c>
      <c r="D115" s="117">
        <v>16</v>
      </c>
      <c r="E115" s="117">
        <v>5.0999999999999996</v>
      </c>
      <c r="F115" s="117">
        <v>-2.7</v>
      </c>
      <c r="G115" s="117">
        <v>14.3</v>
      </c>
      <c r="H115" s="117">
        <v>13.3</v>
      </c>
      <c r="I115" s="117">
        <v>29.3</v>
      </c>
      <c r="J115" s="117">
        <v>101</v>
      </c>
      <c r="K115" s="117">
        <v>140</v>
      </c>
      <c r="L115" s="117">
        <v>138</v>
      </c>
      <c r="M115" s="117">
        <f>82*1.5</f>
        <v>123</v>
      </c>
      <c r="N115" s="117">
        <f>82*1.5</f>
        <v>123</v>
      </c>
      <c r="O115" s="117">
        <f>78*1.5</f>
        <v>117</v>
      </c>
      <c r="P115" s="117">
        <f>61*1.5</f>
        <v>91.5</v>
      </c>
      <c r="Q115" s="117">
        <f>68*1.5</f>
        <v>102</v>
      </c>
      <c r="R115" s="117">
        <f>66.5*1.5</f>
        <v>99.75</v>
      </c>
      <c r="S115" s="117">
        <f>66.5*1.5</f>
        <v>99.75</v>
      </c>
      <c r="T115" s="117"/>
      <c r="U115" s="117"/>
      <c r="V115" s="117">
        <f>57*1.5</f>
        <v>85.5</v>
      </c>
      <c r="W115" s="117">
        <f>76.6*1.5</f>
        <v>114.89999999999999</v>
      </c>
      <c r="X115" s="117">
        <f>73.2*1.5</f>
        <v>109.80000000000001</v>
      </c>
      <c r="Y115" s="117">
        <f>80.2*1.5</f>
        <v>120.30000000000001</v>
      </c>
      <c r="Z115" s="117">
        <f>80.6*1.5</f>
        <v>120.89999999999999</v>
      </c>
      <c r="AA115" s="117">
        <f>70.3*1.5</f>
        <v>105.44999999999999</v>
      </c>
      <c r="AB115" s="117">
        <f>53.1*1.67</f>
        <v>88.676999999999992</v>
      </c>
      <c r="AC115" s="117">
        <f>45.5*1.67</f>
        <v>75.984999999999999</v>
      </c>
      <c r="AD115" s="117">
        <v>40</v>
      </c>
      <c r="AE115" s="117">
        <v>40</v>
      </c>
      <c r="AF115" s="117">
        <v>28</v>
      </c>
      <c r="AG115" s="118">
        <v>120</v>
      </c>
      <c r="AH115" s="47">
        <f t="shared" si="37"/>
        <v>140</v>
      </c>
      <c r="AI115" s="48">
        <f t="shared" si="38"/>
        <v>-2.7</v>
      </c>
    </row>
    <row r="116" spans="1:37" x14ac:dyDescent="0.25">
      <c r="A116" s="182" t="s">
        <v>266</v>
      </c>
      <c r="B116" s="117">
        <v>55.2</v>
      </c>
      <c r="C116" s="117">
        <v>51.9</v>
      </c>
      <c r="D116" s="117">
        <v>10</v>
      </c>
      <c r="E116" s="117">
        <v>38.200000000000003</v>
      </c>
      <c r="F116" s="117">
        <v>31.3</v>
      </c>
      <c r="G116" s="117">
        <v>47.5</v>
      </c>
      <c r="H116" s="117">
        <v>45.8</v>
      </c>
      <c r="I116" s="117">
        <v>57.7</v>
      </c>
      <c r="J116" s="117">
        <v>95</v>
      </c>
      <c r="K116" s="117">
        <v>103</v>
      </c>
      <c r="L116" s="117">
        <v>103.8</v>
      </c>
      <c r="M116" s="117">
        <v>101.5</v>
      </c>
      <c r="N116" s="117">
        <v>111</v>
      </c>
      <c r="O116" s="117">
        <v>98</v>
      </c>
      <c r="P116" s="117">
        <v>85</v>
      </c>
      <c r="Q116" s="117">
        <v>89.8</v>
      </c>
      <c r="R116" s="117">
        <v>88.3</v>
      </c>
      <c r="S116" s="117">
        <v>88.3</v>
      </c>
      <c r="T116" s="117">
        <v>87.9</v>
      </c>
      <c r="U116" s="117">
        <v>81.8</v>
      </c>
      <c r="V116" s="117">
        <v>80.8</v>
      </c>
      <c r="W116" s="117">
        <v>96.9</v>
      </c>
      <c r="X116" s="117">
        <v>94.1</v>
      </c>
      <c r="Y116" s="117">
        <v>99.4</v>
      </c>
      <c r="Z116" s="117">
        <v>99.4</v>
      </c>
      <c r="AA116" s="117">
        <v>90.5</v>
      </c>
      <c r="AB116" s="117">
        <v>77.7</v>
      </c>
      <c r="AC116" s="117">
        <v>71.7</v>
      </c>
      <c r="AD116" s="117">
        <v>68</v>
      </c>
      <c r="AE116" s="117">
        <v>68</v>
      </c>
      <c r="AF116" s="117">
        <v>57</v>
      </c>
      <c r="AG116" s="118"/>
      <c r="AH116" s="47">
        <f t="shared" si="37"/>
        <v>111</v>
      </c>
      <c r="AI116" s="48">
        <f t="shared" si="38"/>
        <v>10</v>
      </c>
    </row>
    <row r="117" spans="1:37" x14ac:dyDescent="0.25">
      <c r="A117" s="182" t="s">
        <v>263</v>
      </c>
      <c r="B117" s="117">
        <v>33.799999999999997</v>
      </c>
      <c r="C117" s="117">
        <v>36.700000000000003</v>
      </c>
      <c r="D117" s="117">
        <v>15</v>
      </c>
      <c r="E117" s="117">
        <v>21.6</v>
      </c>
      <c r="F117" s="117">
        <v>6.9</v>
      </c>
      <c r="G117" s="117">
        <v>14.5</v>
      </c>
      <c r="H117" s="117">
        <v>-10.7</v>
      </c>
      <c r="I117" s="117">
        <v>-1.6</v>
      </c>
      <c r="J117" s="117">
        <v>-1.6</v>
      </c>
      <c r="K117" s="117">
        <v>7.6</v>
      </c>
      <c r="L117" s="117">
        <v>-3.1</v>
      </c>
      <c r="M117" s="117">
        <v>-22</v>
      </c>
      <c r="N117" s="117">
        <v>-8.5</v>
      </c>
      <c r="O117" s="117">
        <v>-5.0999999999999996</v>
      </c>
      <c r="P117" s="117">
        <v>7.3</v>
      </c>
      <c r="Q117" s="117">
        <v>7.8</v>
      </c>
      <c r="R117" s="117">
        <v>17.5</v>
      </c>
      <c r="S117" s="117">
        <v>17.5</v>
      </c>
      <c r="T117" s="117">
        <v>20</v>
      </c>
      <c r="U117" s="117">
        <v>-2.5</v>
      </c>
      <c r="V117" s="117">
        <v>-32.4</v>
      </c>
      <c r="W117" s="117">
        <v>-37.299999999999997</v>
      </c>
      <c r="X117" s="117">
        <v>-47.1</v>
      </c>
      <c r="Y117" s="117">
        <v>-45</v>
      </c>
      <c r="Z117" s="117">
        <v>-42.9</v>
      </c>
      <c r="AA117" s="117">
        <v>-48.4</v>
      </c>
      <c r="AB117" s="117">
        <v>-58.2</v>
      </c>
      <c r="AC117" s="117">
        <v>-61.8</v>
      </c>
      <c r="AD117" s="117">
        <v>-18</v>
      </c>
      <c r="AE117" s="117">
        <v>-18</v>
      </c>
      <c r="AF117" s="117">
        <v>-10</v>
      </c>
      <c r="AG117" s="118"/>
      <c r="AH117" s="47">
        <f t="shared" si="37"/>
        <v>36.700000000000003</v>
      </c>
      <c r="AI117" s="48">
        <f t="shared" si="38"/>
        <v>-61.8</v>
      </c>
    </row>
    <row r="118" spans="1:37" ht="15.75" thickBot="1" x14ac:dyDescent="0.3">
      <c r="A118" s="182" t="s">
        <v>260</v>
      </c>
      <c r="B118" s="117">
        <v>57</v>
      </c>
      <c r="C118" s="117">
        <v>52</v>
      </c>
      <c r="D118" s="117">
        <v>29.2</v>
      </c>
      <c r="E118" s="117">
        <v>32.4</v>
      </c>
      <c r="F118" s="117">
        <v>25</v>
      </c>
      <c r="G118" s="117">
        <v>41.9</v>
      </c>
      <c r="H118" s="117">
        <v>42</v>
      </c>
      <c r="I118" s="117">
        <v>52</v>
      </c>
      <c r="J118" s="117">
        <v>52</v>
      </c>
      <c r="K118" s="117">
        <v>102</v>
      </c>
      <c r="L118" s="117">
        <v>100.8</v>
      </c>
      <c r="M118" s="117">
        <v>88.8</v>
      </c>
      <c r="N118" s="117">
        <v>88.4</v>
      </c>
      <c r="O118" s="117">
        <v>101</v>
      </c>
      <c r="P118" s="117">
        <v>81</v>
      </c>
      <c r="Q118" s="117">
        <v>96.8</v>
      </c>
      <c r="R118" s="117">
        <v>102.3</v>
      </c>
      <c r="S118" s="117">
        <v>102.3</v>
      </c>
      <c r="T118" s="117">
        <v>97.9</v>
      </c>
      <c r="U118" s="117">
        <v>85.6</v>
      </c>
      <c r="V118" s="117">
        <v>71</v>
      </c>
      <c r="W118" s="117">
        <v>74.2</v>
      </c>
      <c r="X118" s="117">
        <v>68.400000000000006</v>
      </c>
      <c r="Y118" s="117">
        <v>73.8</v>
      </c>
      <c r="Z118" s="117">
        <v>78.2</v>
      </c>
      <c r="AA118" s="117">
        <v>72.099999999999994</v>
      </c>
      <c r="AB118" s="117">
        <v>60.7</v>
      </c>
      <c r="AC118" s="117">
        <v>53.2</v>
      </c>
      <c r="AD118" s="117">
        <v>50</v>
      </c>
      <c r="AE118" s="117">
        <v>50</v>
      </c>
      <c r="AF118" s="117">
        <v>52</v>
      </c>
      <c r="AG118" s="114"/>
      <c r="AH118" s="47">
        <f t="shared" si="37"/>
        <v>102.3</v>
      </c>
      <c r="AI118" s="48">
        <f t="shared" si="38"/>
        <v>25</v>
      </c>
    </row>
    <row r="119" spans="1:37" x14ac:dyDescent="0.25">
      <c r="A119" s="181" t="s">
        <v>264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06"/>
      <c r="AG119" s="114"/>
      <c r="AH119" s="47">
        <f t="shared" si="37"/>
        <v>0</v>
      </c>
      <c r="AI119" s="48">
        <f t="shared" si="38"/>
        <v>0</v>
      </c>
    </row>
    <row r="120" spans="1:37" x14ac:dyDescent="0.25">
      <c r="A120" s="182" t="s">
        <v>126</v>
      </c>
      <c r="B120" s="106">
        <v>11.7</v>
      </c>
      <c r="C120" s="106">
        <v>12.6</v>
      </c>
      <c r="D120" s="106">
        <v>13.6</v>
      </c>
      <c r="E120" s="106">
        <v>13</v>
      </c>
      <c r="F120" s="106">
        <v>12</v>
      </c>
      <c r="G120" s="106">
        <v>7.7</v>
      </c>
      <c r="H120" s="106">
        <v>2.2999999999999998</v>
      </c>
      <c r="I120" s="106">
        <v>-2.2000000000000002</v>
      </c>
      <c r="J120" s="106">
        <v>-2.2000000000000002</v>
      </c>
      <c r="K120" s="106">
        <v>-15.3</v>
      </c>
      <c r="L120" s="106">
        <v>-22</v>
      </c>
      <c r="M120" s="106">
        <v>-22.9</v>
      </c>
      <c r="N120" s="106">
        <v>-18.399999999999999</v>
      </c>
      <c r="O120" s="106">
        <v>-17</v>
      </c>
      <c r="P120" s="106">
        <v>-15.6</v>
      </c>
      <c r="Q120" s="106">
        <v>-9.8000000000000007</v>
      </c>
      <c r="R120" s="106">
        <v>-13.6</v>
      </c>
      <c r="S120" s="106">
        <v>-13.6</v>
      </c>
      <c r="T120" s="106">
        <v>-12.5</v>
      </c>
      <c r="U120" s="106">
        <v>-18</v>
      </c>
      <c r="V120" s="106">
        <v>-19.7</v>
      </c>
      <c r="W120" s="106">
        <v>-40</v>
      </c>
      <c r="X120" s="106">
        <v>-47</v>
      </c>
      <c r="Y120" s="106">
        <v>-31.6</v>
      </c>
      <c r="Z120" s="106">
        <v>-24.1</v>
      </c>
      <c r="AA120" s="106">
        <v>-20.9</v>
      </c>
      <c r="AB120" s="106">
        <v>-11.6</v>
      </c>
      <c r="AC120" s="106">
        <v>-9.6</v>
      </c>
      <c r="AD120" s="106">
        <v>-2.1</v>
      </c>
      <c r="AE120" s="106">
        <v>-2.1</v>
      </c>
      <c r="AF120" s="106">
        <v>5.9</v>
      </c>
      <c r="AG120" s="114"/>
      <c r="AH120" s="47">
        <f t="shared" si="37"/>
        <v>13.6</v>
      </c>
      <c r="AI120" s="48">
        <f t="shared" si="38"/>
        <v>-47</v>
      </c>
    </row>
    <row r="121" spans="1:37" x14ac:dyDescent="0.25">
      <c r="A121" s="182" t="s">
        <v>268</v>
      </c>
      <c r="B121" s="106">
        <v>39.9</v>
      </c>
      <c r="C121" s="106">
        <v>37.4</v>
      </c>
      <c r="D121" s="106">
        <v>55.5</v>
      </c>
      <c r="E121" s="106">
        <v>51.2</v>
      </c>
      <c r="F121" s="106">
        <v>62.1</v>
      </c>
      <c r="G121" s="106">
        <v>48.9</v>
      </c>
      <c r="H121" s="106">
        <v>58.4</v>
      </c>
      <c r="I121" s="106">
        <v>49</v>
      </c>
      <c r="J121" s="106">
        <v>49</v>
      </c>
      <c r="K121" s="106">
        <v>18.3</v>
      </c>
      <c r="L121" s="106">
        <v>15.1</v>
      </c>
      <c r="M121" s="106">
        <v>15.7</v>
      </c>
      <c r="N121" s="106">
        <v>18</v>
      </c>
      <c r="O121" s="106">
        <v>30.9</v>
      </c>
      <c r="P121" s="106">
        <v>40.700000000000003</v>
      </c>
      <c r="Q121" s="106">
        <v>28.6</v>
      </c>
      <c r="R121" s="106">
        <v>18.899999999999999</v>
      </c>
      <c r="S121" s="106">
        <v>18.899999999999999</v>
      </c>
      <c r="T121" s="106">
        <v>20.399999999999999</v>
      </c>
      <c r="U121" s="106">
        <v>26.6</v>
      </c>
      <c r="V121" s="106">
        <v>36</v>
      </c>
      <c r="W121" s="106">
        <v>24.9</v>
      </c>
      <c r="X121" s="106">
        <v>23.8</v>
      </c>
      <c r="Y121" s="106">
        <v>15.2</v>
      </c>
      <c r="Z121" s="106">
        <v>16.7</v>
      </c>
      <c r="AA121" s="106">
        <v>18.3</v>
      </c>
      <c r="AB121" s="106">
        <v>30.8</v>
      </c>
      <c r="AC121" s="106">
        <v>32.200000000000003</v>
      </c>
      <c r="AD121" s="106">
        <v>30</v>
      </c>
      <c r="AE121" s="106">
        <v>30</v>
      </c>
      <c r="AF121" s="106">
        <v>38</v>
      </c>
      <c r="AG121" s="114"/>
      <c r="AH121" s="47">
        <f t="shared" si="37"/>
        <v>62.1</v>
      </c>
      <c r="AI121" s="48">
        <f t="shared" si="38"/>
        <v>15.1</v>
      </c>
    </row>
    <row r="122" spans="1:37" x14ac:dyDescent="0.25">
      <c r="A122" s="182" t="s">
        <v>265</v>
      </c>
      <c r="B122" s="106">
        <v>58.8</v>
      </c>
      <c r="C122" s="106">
        <v>59</v>
      </c>
      <c r="D122" s="106">
        <v>62.2</v>
      </c>
      <c r="E122" s="106">
        <v>32.1</v>
      </c>
      <c r="F122" s="106">
        <v>32.1</v>
      </c>
      <c r="G122" s="106">
        <v>41.8</v>
      </c>
      <c r="H122" s="106">
        <v>45.2</v>
      </c>
      <c r="I122" s="106">
        <v>51.5</v>
      </c>
      <c r="J122" s="106">
        <v>51.5</v>
      </c>
      <c r="K122" s="106">
        <v>72.900000000000006</v>
      </c>
      <c r="L122" s="106">
        <v>84.2</v>
      </c>
      <c r="M122" s="106">
        <v>102.8</v>
      </c>
      <c r="N122" s="106">
        <v>94.6</v>
      </c>
      <c r="O122" s="106">
        <v>95</v>
      </c>
      <c r="P122" s="106">
        <v>89</v>
      </c>
      <c r="Q122" s="106">
        <v>84.3</v>
      </c>
      <c r="R122" s="106">
        <v>80.2</v>
      </c>
      <c r="S122" s="106">
        <v>80.2</v>
      </c>
      <c r="T122" s="106">
        <v>87.4</v>
      </c>
      <c r="U122" s="106">
        <v>89.7</v>
      </c>
      <c r="V122" s="106">
        <v>88.5</v>
      </c>
      <c r="W122" s="106">
        <v>118.6</v>
      </c>
      <c r="X122" s="106">
        <v>109.58</v>
      </c>
      <c r="Y122" s="106">
        <v>98.5</v>
      </c>
      <c r="Z122" s="106">
        <v>96.5</v>
      </c>
      <c r="AA122" s="106">
        <v>98.3</v>
      </c>
      <c r="AB122" s="106">
        <v>93.1</v>
      </c>
      <c r="AC122" s="106">
        <v>91.2</v>
      </c>
      <c r="AD122" s="106">
        <v>77</v>
      </c>
      <c r="AE122" s="106">
        <v>77</v>
      </c>
      <c r="AF122" s="106">
        <v>72</v>
      </c>
      <c r="AG122" s="114"/>
      <c r="AH122" s="47">
        <f t="shared" si="37"/>
        <v>118.6</v>
      </c>
      <c r="AI122" s="48">
        <f t="shared" si="38"/>
        <v>32.1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76" t="s">
        <v>258</v>
      </c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83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82">SUM(B124:B228)</f>
        <v>0</v>
      </c>
      <c r="C229" s="137">
        <f t="shared" si="82"/>
        <v>0</v>
      </c>
      <c r="D229" s="137">
        <f t="shared" si="82"/>
        <v>0</v>
      </c>
      <c r="E229" s="137">
        <f t="shared" si="82"/>
        <v>0</v>
      </c>
      <c r="F229" s="137">
        <f t="shared" si="82"/>
        <v>0</v>
      </c>
      <c r="G229" s="137">
        <f t="shared" si="82"/>
        <v>0</v>
      </c>
      <c r="H229" s="137">
        <f t="shared" si="82"/>
        <v>0</v>
      </c>
      <c r="I229" s="137">
        <f t="shared" si="82"/>
        <v>0</v>
      </c>
      <c r="J229" s="137">
        <f t="shared" si="82"/>
        <v>0</v>
      </c>
      <c r="K229" s="137">
        <f t="shared" si="82"/>
        <v>0</v>
      </c>
      <c r="L229" s="137">
        <f t="shared" si="82"/>
        <v>0</v>
      </c>
      <c r="M229" s="137">
        <f t="shared" si="82"/>
        <v>0</v>
      </c>
      <c r="N229" s="137">
        <f t="shared" si="82"/>
        <v>0</v>
      </c>
      <c r="O229" s="137">
        <f t="shared" si="82"/>
        <v>0</v>
      </c>
      <c r="P229" s="137">
        <f t="shared" si="82"/>
        <v>0</v>
      </c>
      <c r="Q229" s="137">
        <f t="shared" si="82"/>
        <v>0</v>
      </c>
      <c r="R229" s="137">
        <f t="shared" si="82"/>
        <v>0</v>
      </c>
      <c r="S229" s="137">
        <f t="shared" si="82"/>
        <v>0</v>
      </c>
      <c r="T229" s="137">
        <f t="shared" si="82"/>
        <v>0</v>
      </c>
      <c r="U229" s="137">
        <f t="shared" si="82"/>
        <v>0</v>
      </c>
      <c r="V229" s="137">
        <f t="shared" si="82"/>
        <v>0</v>
      </c>
      <c r="W229" s="137">
        <f t="shared" si="82"/>
        <v>0</v>
      </c>
      <c r="X229" s="137">
        <f t="shared" si="82"/>
        <v>0</v>
      </c>
      <c r="Y229" s="137">
        <f t="shared" si="82"/>
        <v>0</v>
      </c>
      <c r="Z229" s="137">
        <f t="shared" si="82"/>
        <v>0</v>
      </c>
      <c r="AA229" s="137">
        <f t="shared" si="82"/>
        <v>0</v>
      </c>
      <c r="AB229" s="137">
        <f t="shared" si="82"/>
        <v>0</v>
      </c>
      <c r="AC229" s="137">
        <f t="shared" si="82"/>
        <v>0</v>
      </c>
      <c r="AD229" s="137">
        <f t="shared" si="82"/>
        <v>0</v>
      </c>
      <c r="AE229" s="137">
        <f t="shared" si="82"/>
        <v>0</v>
      </c>
      <c r="AF229" s="138">
        <f t="shared" si="82"/>
        <v>0</v>
      </c>
      <c r="AG229" s="139">
        <f t="shared" si="82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83">AF231</f>
        <v>0.3</v>
      </c>
      <c r="C231" s="141">
        <v>0.3</v>
      </c>
      <c r="D231" s="141">
        <f t="shared" ref="D231:S236" si="84">C231</f>
        <v>0.3</v>
      </c>
      <c r="E231" s="141">
        <f t="shared" si="84"/>
        <v>0.3</v>
      </c>
      <c r="F231" s="141">
        <f t="shared" si="84"/>
        <v>0.3</v>
      </c>
      <c r="G231" s="141">
        <f t="shared" si="84"/>
        <v>0.3</v>
      </c>
      <c r="H231" s="141">
        <f t="shared" si="84"/>
        <v>0.3</v>
      </c>
      <c r="I231" s="141">
        <f t="shared" si="84"/>
        <v>0.3</v>
      </c>
      <c r="J231" s="141">
        <f t="shared" si="84"/>
        <v>0.3</v>
      </c>
      <c r="K231" s="141">
        <f t="shared" si="84"/>
        <v>0.3</v>
      </c>
      <c r="L231" s="141">
        <f t="shared" si="84"/>
        <v>0.3</v>
      </c>
      <c r="M231" s="141">
        <f t="shared" si="84"/>
        <v>0.3</v>
      </c>
      <c r="N231" s="141">
        <f t="shared" si="84"/>
        <v>0.3</v>
      </c>
      <c r="O231" s="141">
        <f t="shared" si="84"/>
        <v>0.3</v>
      </c>
      <c r="P231" s="141">
        <f t="shared" si="84"/>
        <v>0.3</v>
      </c>
      <c r="Q231" s="141">
        <f t="shared" si="84"/>
        <v>0.3</v>
      </c>
      <c r="R231" s="141">
        <f t="shared" si="84"/>
        <v>0.3</v>
      </c>
      <c r="S231" s="141">
        <f t="shared" si="84"/>
        <v>0.3</v>
      </c>
      <c r="T231" s="141">
        <f t="shared" ref="T231:AF236" si="85">S231</f>
        <v>0.3</v>
      </c>
      <c r="U231" s="141">
        <f t="shared" si="85"/>
        <v>0.3</v>
      </c>
      <c r="V231" s="141">
        <f t="shared" si="85"/>
        <v>0.3</v>
      </c>
      <c r="W231" s="141">
        <f t="shared" si="85"/>
        <v>0.3</v>
      </c>
      <c r="X231" s="141">
        <f t="shared" si="85"/>
        <v>0.3</v>
      </c>
      <c r="Y231" s="141">
        <f t="shared" si="85"/>
        <v>0.3</v>
      </c>
      <c r="Z231" s="141">
        <f t="shared" si="85"/>
        <v>0.3</v>
      </c>
      <c r="AA231" s="141">
        <f t="shared" si="85"/>
        <v>0.3</v>
      </c>
      <c r="AB231" s="141">
        <f t="shared" si="85"/>
        <v>0.3</v>
      </c>
      <c r="AC231" s="141">
        <f t="shared" si="85"/>
        <v>0.3</v>
      </c>
      <c r="AD231" s="141">
        <f t="shared" si="85"/>
        <v>0.3</v>
      </c>
      <c r="AE231" s="141">
        <f t="shared" si="85"/>
        <v>0.3</v>
      </c>
      <c r="AF231" s="141">
        <f t="shared" si="85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83"/>
        <v>0.4</v>
      </c>
      <c r="C232" s="129">
        <v>0.4</v>
      </c>
      <c r="D232" s="129">
        <f t="shared" si="84"/>
        <v>0.4</v>
      </c>
      <c r="E232" s="129">
        <f t="shared" si="84"/>
        <v>0.4</v>
      </c>
      <c r="F232" s="129">
        <f t="shared" si="84"/>
        <v>0.4</v>
      </c>
      <c r="G232" s="129">
        <f t="shared" si="84"/>
        <v>0.4</v>
      </c>
      <c r="H232" s="129">
        <f t="shared" si="84"/>
        <v>0.4</v>
      </c>
      <c r="I232" s="129">
        <f t="shared" si="84"/>
        <v>0.4</v>
      </c>
      <c r="J232" s="129">
        <f t="shared" si="84"/>
        <v>0.4</v>
      </c>
      <c r="K232" s="129">
        <f t="shared" si="84"/>
        <v>0.4</v>
      </c>
      <c r="L232" s="129">
        <f t="shared" si="84"/>
        <v>0.4</v>
      </c>
      <c r="M232" s="129">
        <f t="shared" si="84"/>
        <v>0.4</v>
      </c>
      <c r="N232" s="129">
        <f t="shared" si="84"/>
        <v>0.4</v>
      </c>
      <c r="O232" s="129">
        <f t="shared" si="84"/>
        <v>0.4</v>
      </c>
      <c r="P232" s="129">
        <f t="shared" si="84"/>
        <v>0.4</v>
      </c>
      <c r="Q232" s="129">
        <f t="shared" si="84"/>
        <v>0.4</v>
      </c>
      <c r="R232" s="129">
        <f t="shared" si="84"/>
        <v>0.4</v>
      </c>
      <c r="S232" s="129">
        <f t="shared" si="84"/>
        <v>0.4</v>
      </c>
      <c r="T232" s="129">
        <f t="shared" si="85"/>
        <v>0.4</v>
      </c>
      <c r="U232" s="129">
        <f t="shared" si="85"/>
        <v>0.4</v>
      </c>
      <c r="V232" s="129">
        <f t="shared" si="85"/>
        <v>0.4</v>
      </c>
      <c r="W232" s="129">
        <f t="shared" si="85"/>
        <v>0.4</v>
      </c>
      <c r="X232" s="129">
        <f t="shared" si="85"/>
        <v>0.4</v>
      </c>
      <c r="Y232" s="129">
        <f t="shared" si="85"/>
        <v>0.4</v>
      </c>
      <c r="Z232" s="129">
        <f t="shared" si="85"/>
        <v>0.4</v>
      </c>
      <c r="AA232" s="129">
        <f t="shared" si="85"/>
        <v>0.4</v>
      </c>
      <c r="AB232" s="129">
        <f t="shared" si="85"/>
        <v>0.4</v>
      </c>
      <c r="AC232" s="129">
        <f t="shared" si="85"/>
        <v>0.4</v>
      </c>
      <c r="AD232" s="129">
        <f t="shared" si="85"/>
        <v>0.4</v>
      </c>
      <c r="AE232" s="129">
        <f t="shared" si="85"/>
        <v>0.4</v>
      </c>
      <c r="AF232" s="129">
        <f t="shared" si="85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83"/>
        <v>1.5</v>
      </c>
      <c r="C233" s="129">
        <v>1.5</v>
      </c>
      <c r="D233" s="129">
        <f t="shared" si="84"/>
        <v>1.5</v>
      </c>
      <c r="E233" s="129">
        <f t="shared" si="84"/>
        <v>1.5</v>
      </c>
      <c r="F233" s="129">
        <f t="shared" si="84"/>
        <v>1.5</v>
      </c>
      <c r="G233" s="129">
        <f t="shared" si="84"/>
        <v>1.5</v>
      </c>
      <c r="H233" s="129">
        <f t="shared" si="84"/>
        <v>1.5</v>
      </c>
      <c r="I233" s="129">
        <f t="shared" si="84"/>
        <v>1.5</v>
      </c>
      <c r="J233" s="129">
        <f t="shared" si="84"/>
        <v>1.5</v>
      </c>
      <c r="K233" s="129">
        <f t="shared" si="84"/>
        <v>1.5</v>
      </c>
      <c r="L233" s="129">
        <f t="shared" si="84"/>
        <v>1.5</v>
      </c>
      <c r="M233" s="129">
        <f t="shared" si="84"/>
        <v>1.5</v>
      </c>
      <c r="N233" s="129">
        <f t="shared" si="84"/>
        <v>1.5</v>
      </c>
      <c r="O233" s="129">
        <f t="shared" si="84"/>
        <v>1.5</v>
      </c>
      <c r="P233" s="129">
        <f t="shared" si="84"/>
        <v>1.5</v>
      </c>
      <c r="Q233" s="129">
        <f t="shared" si="84"/>
        <v>1.5</v>
      </c>
      <c r="R233" s="129">
        <f t="shared" si="84"/>
        <v>1.5</v>
      </c>
      <c r="S233" s="129">
        <f t="shared" si="84"/>
        <v>1.5</v>
      </c>
      <c r="T233" s="129">
        <f t="shared" si="85"/>
        <v>1.5</v>
      </c>
      <c r="U233" s="129">
        <f t="shared" si="85"/>
        <v>1.5</v>
      </c>
      <c r="V233" s="129">
        <f t="shared" si="85"/>
        <v>1.5</v>
      </c>
      <c r="W233" s="129">
        <f t="shared" si="85"/>
        <v>1.5</v>
      </c>
      <c r="X233" s="129">
        <f t="shared" si="85"/>
        <v>1.5</v>
      </c>
      <c r="Y233" s="129">
        <f t="shared" si="85"/>
        <v>1.5</v>
      </c>
      <c r="Z233" s="129">
        <f t="shared" si="85"/>
        <v>1.5</v>
      </c>
      <c r="AA233" s="129">
        <f t="shared" si="85"/>
        <v>1.5</v>
      </c>
      <c r="AB233" s="129">
        <f t="shared" si="85"/>
        <v>1.5</v>
      </c>
      <c r="AC233" s="129">
        <f t="shared" si="85"/>
        <v>1.5</v>
      </c>
      <c r="AD233" s="129">
        <f t="shared" si="85"/>
        <v>1.5</v>
      </c>
      <c r="AE233" s="129">
        <f t="shared" si="85"/>
        <v>1.5</v>
      </c>
      <c r="AF233" s="129">
        <f t="shared" si="85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83"/>
        <v>0.3</v>
      </c>
      <c r="C234" s="129">
        <v>0.3</v>
      </c>
      <c r="D234" s="129">
        <f t="shared" si="84"/>
        <v>0.3</v>
      </c>
      <c r="E234" s="129">
        <f t="shared" si="84"/>
        <v>0.3</v>
      </c>
      <c r="F234" s="129">
        <f t="shared" si="84"/>
        <v>0.3</v>
      </c>
      <c r="G234" s="129">
        <f t="shared" si="84"/>
        <v>0.3</v>
      </c>
      <c r="H234" s="129">
        <f t="shared" si="84"/>
        <v>0.3</v>
      </c>
      <c r="I234" s="129">
        <f t="shared" si="84"/>
        <v>0.3</v>
      </c>
      <c r="J234" s="129">
        <f t="shared" si="84"/>
        <v>0.3</v>
      </c>
      <c r="K234" s="129">
        <f t="shared" si="84"/>
        <v>0.3</v>
      </c>
      <c r="L234" s="129">
        <f t="shared" si="84"/>
        <v>0.3</v>
      </c>
      <c r="M234" s="129">
        <f t="shared" si="84"/>
        <v>0.3</v>
      </c>
      <c r="N234" s="129">
        <f t="shared" si="84"/>
        <v>0.3</v>
      </c>
      <c r="O234" s="129">
        <f t="shared" si="84"/>
        <v>0.3</v>
      </c>
      <c r="P234" s="129">
        <f t="shared" si="84"/>
        <v>0.3</v>
      </c>
      <c r="Q234" s="129">
        <f t="shared" si="84"/>
        <v>0.3</v>
      </c>
      <c r="R234" s="129">
        <f t="shared" si="84"/>
        <v>0.3</v>
      </c>
      <c r="S234" s="129">
        <f t="shared" si="84"/>
        <v>0.3</v>
      </c>
      <c r="T234" s="129">
        <f t="shared" si="85"/>
        <v>0.3</v>
      </c>
      <c r="U234" s="129">
        <f t="shared" si="85"/>
        <v>0.3</v>
      </c>
      <c r="V234" s="129">
        <f t="shared" si="85"/>
        <v>0.3</v>
      </c>
      <c r="W234" s="129">
        <f t="shared" si="85"/>
        <v>0.3</v>
      </c>
      <c r="X234" s="129">
        <f t="shared" si="85"/>
        <v>0.3</v>
      </c>
      <c r="Y234" s="129">
        <f t="shared" si="85"/>
        <v>0.3</v>
      </c>
      <c r="Z234" s="129">
        <f t="shared" si="85"/>
        <v>0.3</v>
      </c>
      <c r="AA234" s="129">
        <f t="shared" si="85"/>
        <v>0.3</v>
      </c>
      <c r="AB234" s="129">
        <f t="shared" si="85"/>
        <v>0.3</v>
      </c>
      <c r="AC234" s="129">
        <f t="shared" si="85"/>
        <v>0.3</v>
      </c>
      <c r="AD234" s="129">
        <f t="shared" si="85"/>
        <v>0.3</v>
      </c>
      <c r="AE234" s="129">
        <f t="shared" si="85"/>
        <v>0.3</v>
      </c>
      <c r="AF234" s="129">
        <f t="shared" si="85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83"/>
        <v>0.4</v>
      </c>
      <c r="C235" s="129">
        <v>0.4</v>
      </c>
      <c r="D235" s="129">
        <f t="shared" si="84"/>
        <v>0.4</v>
      </c>
      <c r="E235" s="129">
        <f t="shared" si="84"/>
        <v>0.4</v>
      </c>
      <c r="F235" s="129">
        <f t="shared" si="84"/>
        <v>0.4</v>
      </c>
      <c r="G235" s="129">
        <f t="shared" si="84"/>
        <v>0.4</v>
      </c>
      <c r="H235" s="129">
        <f t="shared" si="84"/>
        <v>0.4</v>
      </c>
      <c r="I235" s="129">
        <f t="shared" si="84"/>
        <v>0.4</v>
      </c>
      <c r="J235" s="129">
        <f t="shared" si="84"/>
        <v>0.4</v>
      </c>
      <c r="K235" s="129">
        <f t="shared" si="84"/>
        <v>0.4</v>
      </c>
      <c r="L235" s="129">
        <f t="shared" si="84"/>
        <v>0.4</v>
      </c>
      <c r="M235" s="129">
        <f t="shared" si="84"/>
        <v>0.4</v>
      </c>
      <c r="N235" s="129">
        <f t="shared" si="84"/>
        <v>0.4</v>
      </c>
      <c r="O235" s="129">
        <f t="shared" si="84"/>
        <v>0.4</v>
      </c>
      <c r="P235" s="129">
        <f t="shared" si="84"/>
        <v>0.4</v>
      </c>
      <c r="Q235" s="129">
        <f t="shared" si="84"/>
        <v>0.4</v>
      </c>
      <c r="R235" s="129">
        <f t="shared" si="84"/>
        <v>0.4</v>
      </c>
      <c r="S235" s="129">
        <f t="shared" si="84"/>
        <v>0.4</v>
      </c>
      <c r="T235" s="129">
        <f t="shared" si="85"/>
        <v>0.4</v>
      </c>
      <c r="U235" s="129">
        <f t="shared" si="85"/>
        <v>0.4</v>
      </c>
      <c r="V235" s="129">
        <f t="shared" si="85"/>
        <v>0.4</v>
      </c>
      <c r="W235" s="129">
        <f t="shared" si="85"/>
        <v>0.4</v>
      </c>
      <c r="X235" s="129">
        <f t="shared" si="85"/>
        <v>0.4</v>
      </c>
      <c r="Y235" s="129">
        <f t="shared" si="85"/>
        <v>0.4</v>
      </c>
      <c r="Z235" s="129">
        <f t="shared" si="85"/>
        <v>0.4</v>
      </c>
      <c r="AA235" s="129">
        <f t="shared" si="85"/>
        <v>0.4</v>
      </c>
      <c r="AB235" s="129">
        <f t="shared" si="85"/>
        <v>0.4</v>
      </c>
      <c r="AC235" s="129">
        <f t="shared" si="85"/>
        <v>0.4</v>
      </c>
      <c r="AD235" s="129">
        <f t="shared" si="85"/>
        <v>0.4</v>
      </c>
      <c r="AE235" s="129">
        <f t="shared" si="85"/>
        <v>0.4</v>
      </c>
      <c r="AF235" s="129">
        <f t="shared" si="85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83"/>
        <v>0.64</v>
      </c>
      <c r="C236" s="133">
        <v>0.64</v>
      </c>
      <c r="D236" s="133">
        <f t="shared" si="84"/>
        <v>0.64</v>
      </c>
      <c r="E236" s="133">
        <f t="shared" si="84"/>
        <v>0.64</v>
      </c>
      <c r="F236" s="133">
        <f t="shared" si="84"/>
        <v>0.64</v>
      </c>
      <c r="G236" s="133">
        <f t="shared" si="84"/>
        <v>0.64</v>
      </c>
      <c r="H236" s="133">
        <f t="shared" si="84"/>
        <v>0.64</v>
      </c>
      <c r="I236" s="133">
        <f t="shared" si="84"/>
        <v>0.64</v>
      </c>
      <c r="J236" s="133">
        <f t="shared" si="84"/>
        <v>0.64</v>
      </c>
      <c r="K236" s="133">
        <f t="shared" si="84"/>
        <v>0.64</v>
      </c>
      <c r="L236" s="133">
        <f t="shared" si="84"/>
        <v>0.64</v>
      </c>
      <c r="M236" s="133">
        <f t="shared" si="84"/>
        <v>0.64</v>
      </c>
      <c r="N236" s="133">
        <f t="shared" si="84"/>
        <v>0.64</v>
      </c>
      <c r="O236" s="133">
        <f t="shared" si="84"/>
        <v>0.64</v>
      </c>
      <c r="P236" s="133">
        <f t="shared" si="84"/>
        <v>0.64</v>
      </c>
      <c r="Q236" s="133">
        <f t="shared" si="84"/>
        <v>0.64</v>
      </c>
      <c r="R236" s="133">
        <f t="shared" si="84"/>
        <v>0.64</v>
      </c>
      <c r="S236" s="133">
        <f t="shared" si="84"/>
        <v>0.64</v>
      </c>
      <c r="T236" s="133">
        <f t="shared" si="85"/>
        <v>0.64</v>
      </c>
      <c r="U236" s="133">
        <f t="shared" si="85"/>
        <v>0.64</v>
      </c>
      <c r="V236" s="133">
        <f t="shared" si="85"/>
        <v>0.64</v>
      </c>
      <c r="W236" s="133">
        <f t="shared" si="85"/>
        <v>0.64</v>
      </c>
      <c r="X236" s="133">
        <f t="shared" si="85"/>
        <v>0.64</v>
      </c>
      <c r="Y236" s="133">
        <f t="shared" si="85"/>
        <v>0.64</v>
      </c>
      <c r="Z236" s="133">
        <f t="shared" si="85"/>
        <v>0.64</v>
      </c>
      <c r="AA236" s="133">
        <f t="shared" si="85"/>
        <v>0.64</v>
      </c>
      <c r="AB236" s="133">
        <f t="shared" si="85"/>
        <v>0.64</v>
      </c>
      <c r="AC236" s="133">
        <f t="shared" si="85"/>
        <v>0.64</v>
      </c>
      <c r="AD236" s="133">
        <f t="shared" si="85"/>
        <v>0.64</v>
      </c>
      <c r="AE236" s="133">
        <f t="shared" si="85"/>
        <v>0.64</v>
      </c>
      <c r="AF236" s="133">
        <f t="shared" si="85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86">SUM(B231:B236)</f>
        <v>3.54</v>
      </c>
      <c r="C237" s="137">
        <f t="shared" si="86"/>
        <v>3.54</v>
      </c>
      <c r="D237" s="137">
        <f t="shared" si="86"/>
        <v>3.54</v>
      </c>
      <c r="E237" s="137">
        <f t="shared" si="86"/>
        <v>3.54</v>
      </c>
      <c r="F237" s="137">
        <f t="shared" si="86"/>
        <v>3.54</v>
      </c>
      <c r="G237" s="137">
        <f t="shared" si="86"/>
        <v>3.54</v>
      </c>
      <c r="H237" s="137">
        <f t="shared" si="86"/>
        <v>3.54</v>
      </c>
      <c r="I237" s="137">
        <f t="shared" si="86"/>
        <v>3.54</v>
      </c>
      <c r="J237" s="137">
        <f t="shared" si="86"/>
        <v>3.54</v>
      </c>
      <c r="K237" s="137">
        <f t="shared" si="86"/>
        <v>3.54</v>
      </c>
      <c r="L237" s="137">
        <f t="shared" si="86"/>
        <v>3.54</v>
      </c>
      <c r="M237" s="137">
        <f t="shared" si="86"/>
        <v>3.54</v>
      </c>
      <c r="N237" s="137">
        <f t="shared" si="86"/>
        <v>3.54</v>
      </c>
      <c r="O237" s="137">
        <f t="shared" si="86"/>
        <v>3.54</v>
      </c>
      <c r="P237" s="137">
        <f t="shared" si="86"/>
        <v>3.54</v>
      </c>
      <c r="Q237" s="137">
        <f t="shared" si="86"/>
        <v>3.54</v>
      </c>
      <c r="R237" s="137">
        <f t="shared" si="86"/>
        <v>3.54</v>
      </c>
      <c r="S237" s="137">
        <f t="shared" si="86"/>
        <v>3.54</v>
      </c>
      <c r="T237" s="137">
        <f t="shared" si="86"/>
        <v>3.54</v>
      </c>
      <c r="U237" s="137">
        <f t="shared" si="86"/>
        <v>3.54</v>
      </c>
      <c r="V237" s="137">
        <f t="shared" si="86"/>
        <v>3.54</v>
      </c>
      <c r="W237" s="137">
        <f t="shared" si="86"/>
        <v>3.54</v>
      </c>
      <c r="X237" s="137">
        <f t="shared" si="86"/>
        <v>3.54</v>
      </c>
      <c r="Y237" s="137">
        <f t="shared" si="86"/>
        <v>3.54</v>
      </c>
      <c r="Z237" s="137">
        <f t="shared" si="86"/>
        <v>3.54</v>
      </c>
      <c r="AA237" s="137">
        <f t="shared" si="86"/>
        <v>3.54</v>
      </c>
      <c r="AB237" s="137">
        <f t="shared" si="86"/>
        <v>3.54</v>
      </c>
      <c r="AC237" s="137">
        <f t="shared" si="86"/>
        <v>3.54</v>
      </c>
      <c r="AD237" s="137">
        <f t="shared" si="86"/>
        <v>3.54</v>
      </c>
      <c r="AE237" s="137">
        <f t="shared" si="86"/>
        <v>3.54</v>
      </c>
      <c r="AF237" s="137">
        <f t="shared" si="86"/>
        <v>3.54</v>
      </c>
      <c r="AG237" s="146">
        <f t="shared" si="86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1643.84</v>
      </c>
      <c r="C246" s="162">
        <f>INDEX(G9:N9,1,MATCH(MAX(G91:N91),G91:N91,0))</f>
        <v>0.33333333333333331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8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2080/09/8)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2080/09/8)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87">B91</f>
        <v>1040.18</v>
      </c>
      <c r="U251" s="171">
        <f t="shared" si="87"/>
        <v>1080.8800000000001</v>
      </c>
      <c r="V251" s="171">
        <f t="shared" si="87"/>
        <v>996.18000000000006</v>
      </c>
      <c r="W251" s="171">
        <f t="shared" si="87"/>
        <v>1002.88</v>
      </c>
      <c r="X251" s="171">
        <f t="shared" si="87"/>
        <v>1014.6800000000001</v>
      </c>
      <c r="Y251" s="171">
        <f t="shared" si="87"/>
        <v>1110.08</v>
      </c>
      <c r="Z251" s="171">
        <f t="shared" si="87"/>
        <v>1233.6400000000001</v>
      </c>
      <c r="AA251" s="171">
        <f t="shared" si="87"/>
        <v>1339.8400000000001</v>
      </c>
      <c r="AB251" s="171">
        <f t="shared" si="87"/>
        <v>1449.8400000000001</v>
      </c>
      <c r="AC251" s="171">
        <f t="shared" si="87"/>
        <v>1576.6399999999999</v>
      </c>
      <c r="AD251" s="171">
        <f t="shared" si="87"/>
        <v>1613.7399999999998</v>
      </c>
      <c r="AE251" s="171">
        <f t="shared" si="87"/>
        <v>1643.84</v>
      </c>
      <c r="AF251" s="171">
        <f t="shared" si="87"/>
        <v>1614.7399999999998</v>
      </c>
      <c r="AG251" s="171">
        <f t="shared" si="87"/>
        <v>1571.94</v>
      </c>
      <c r="AH251" s="171">
        <f t="shared" si="87"/>
        <v>1458.94</v>
      </c>
      <c r="AI251" s="171">
        <f t="shared" si="87"/>
        <v>1400.2399999999998</v>
      </c>
      <c r="AJ251" s="171">
        <f t="shared" si="87"/>
        <v>1402.1399999999999</v>
      </c>
      <c r="AK251" s="171">
        <f t="shared" si="87"/>
        <v>1333.24</v>
      </c>
      <c r="AL251" s="171">
        <f t="shared" si="87"/>
        <v>1363.6399999999999</v>
      </c>
      <c r="AM251" s="171">
        <f t="shared" si="87"/>
        <v>1384.3400000000001</v>
      </c>
      <c r="AN251" s="171">
        <f t="shared" si="87"/>
        <v>1423.14</v>
      </c>
      <c r="AO251" s="171">
        <f t="shared" si="87"/>
        <v>1516.74</v>
      </c>
      <c r="AP251" s="171">
        <f t="shared" si="87"/>
        <v>1778.24</v>
      </c>
      <c r="AQ251" s="171">
        <f t="shared" si="87"/>
        <v>1719.94</v>
      </c>
      <c r="AR251" s="171">
        <f t="shared" si="87"/>
        <v>1640.64</v>
      </c>
      <c r="AS251" s="171">
        <f t="shared" si="87"/>
        <v>1527.44</v>
      </c>
      <c r="AT251" s="171">
        <f t="shared" si="87"/>
        <v>1475.6399999999999</v>
      </c>
      <c r="AU251" s="171">
        <f t="shared" si="87"/>
        <v>1434.7399999999998</v>
      </c>
      <c r="AV251" s="171">
        <f t="shared" si="87"/>
        <v>1233.04</v>
      </c>
      <c r="AW251" s="171">
        <f t="shared" si="87"/>
        <v>1072.04</v>
      </c>
      <c r="AX251" s="171">
        <f t="shared" si="87"/>
        <v>1060.74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88">C236</f>
        <v>0.64</v>
      </c>
      <c r="C272" s="174">
        <f t="shared" si="88"/>
        <v>0.64</v>
      </c>
      <c r="D272" s="174">
        <f t="shared" si="88"/>
        <v>0.64</v>
      </c>
      <c r="E272" s="174">
        <f t="shared" si="88"/>
        <v>0.64</v>
      </c>
      <c r="F272" s="174">
        <f t="shared" si="88"/>
        <v>0.64</v>
      </c>
      <c r="G272" s="174">
        <f t="shared" si="88"/>
        <v>0.64</v>
      </c>
      <c r="H272" s="174">
        <f t="shared" si="88"/>
        <v>0.64</v>
      </c>
      <c r="I272" s="174">
        <f t="shared" si="88"/>
        <v>0.64</v>
      </c>
      <c r="J272" s="174">
        <f t="shared" si="88"/>
        <v>0.64</v>
      </c>
      <c r="K272" s="174">
        <f t="shared" si="88"/>
        <v>0.64</v>
      </c>
      <c r="L272" s="174">
        <f t="shared" si="88"/>
        <v>0.64</v>
      </c>
      <c r="M272" s="174">
        <f t="shared" si="88"/>
        <v>0.64</v>
      </c>
      <c r="N272" s="174">
        <f t="shared" si="88"/>
        <v>0.64</v>
      </c>
      <c r="O272" s="174">
        <f t="shared" si="88"/>
        <v>0.64</v>
      </c>
      <c r="P272" s="174">
        <f t="shared" si="88"/>
        <v>0.64</v>
      </c>
      <c r="Q272" s="174">
        <f t="shared" si="88"/>
        <v>0.64</v>
      </c>
      <c r="R272" s="174">
        <f t="shared" si="88"/>
        <v>0.64</v>
      </c>
      <c r="S272" s="174">
        <f t="shared" si="88"/>
        <v>0.64</v>
      </c>
      <c r="T272" s="174">
        <f t="shared" si="88"/>
        <v>0.64</v>
      </c>
      <c r="U272" s="174">
        <f t="shared" si="88"/>
        <v>0.64</v>
      </c>
      <c r="V272" s="174">
        <f t="shared" si="88"/>
        <v>0.64</v>
      </c>
      <c r="W272" s="174">
        <f t="shared" si="88"/>
        <v>0.64</v>
      </c>
      <c r="X272" s="174">
        <f t="shared" si="88"/>
        <v>0.64</v>
      </c>
      <c r="Y272" s="174">
        <f t="shared" si="88"/>
        <v>0.64</v>
      </c>
      <c r="Z272" s="174">
        <f t="shared" si="88"/>
        <v>0.64</v>
      </c>
      <c r="AA272" s="174">
        <f t="shared" si="88"/>
        <v>0.64</v>
      </c>
      <c r="AB272" s="174">
        <f t="shared" si="88"/>
        <v>0.64</v>
      </c>
      <c r="AC272" s="174">
        <f t="shared" si="88"/>
        <v>0.64</v>
      </c>
      <c r="AD272" s="174">
        <f t="shared" si="88"/>
        <v>0.64</v>
      </c>
      <c r="AE272" s="174">
        <f t="shared" si="88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89">IF(B240&lt;100,"",B240-520)</f>
        <v/>
      </c>
      <c r="C273" s="175" t="str">
        <f t="shared" si="89"/>
        <v/>
      </c>
      <c r="D273" s="175" t="str">
        <f t="shared" si="89"/>
        <v/>
      </c>
      <c r="E273" s="175" t="str">
        <f t="shared" si="89"/>
        <v/>
      </c>
      <c r="F273" s="175" t="str">
        <f t="shared" si="89"/>
        <v/>
      </c>
      <c r="G273" s="175" t="str">
        <f t="shared" si="89"/>
        <v/>
      </c>
      <c r="H273" s="175" t="str">
        <f t="shared" si="89"/>
        <v/>
      </c>
      <c r="I273" s="175" t="str">
        <f t="shared" si="89"/>
        <v/>
      </c>
      <c r="J273" s="175" t="str">
        <f t="shared" si="89"/>
        <v/>
      </c>
      <c r="K273" s="175" t="str">
        <f t="shared" si="89"/>
        <v/>
      </c>
      <c r="L273" s="175" t="str">
        <f t="shared" si="89"/>
        <v/>
      </c>
      <c r="M273" s="175" t="str">
        <f t="shared" si="89"/>
        <v/>
      </c>
      <c r="N273" s="175" t="str">
        <f t="shared" si="89"/>
        <v/>
      </c>
      <c r="O273" s="175" t="str">
        <f t="shared" si="89"/>
        <v/>
      </c>
      <c r="P273" s="175" t="str">
        <f t="shared" si="89"/>
        <v/>
      </c>
      <c r="Q273" s="175" t="str">
        <f t="shared" si="89"/>
        <v/>
      </c>
      <c r="R273" s="175" t="str">
        <f t="shared" si="89"/>
        <v/>
      </c>
      <c r="S273" s="175" t="str">
        <f t="shared" si="89"/>
        <v/>
      </c>
      <c r="T273" s="175" t="str">
        <f t="shared" si="89"/>
        <v/>
      </c>
      <c r="U273" s="175" t="str">
        <f t="shared" si="89"/>
        <v/>
      </c>
      <c r="V273" s="175" t="str">
        <f t="shared" si="89"/>
        <v/>
      </c>
      <c r="W273" s="175" t="str">
        <f t="shared" si="89"/>
        <v/>
      </c>
      <c r="X273" s="175" t="str">
        <f t="shared" si="89"/>
        <v/>
      </c>
      <c r="Y273" s="175" t="str">
        <f t="shared" si="89"/>
        <v/>
      </c>
      <c r="Z273" s="175" t="str">
        <f t="shared" si="89"/>
        <v/>
      </c>
      <c r="AA273" s="175" t="str">
        <f t="shared" si="89"/>
        <v/>
      </c>
      <c r="AB273" s="175" t="str">
        <f t="shared" si="89"/>
        <v/>
      </c>
      <c r="AC273" s="175" t="str">
        <f t="shared" si="89"/>
        <v/>
      </c>
      <c r="AD273" s="175" t="str">
        <f t="shared" si="89"/>
        <v/>
      </c>
      <c r="AE273" s="175" t="str">
        <f t="shared" si="89"/>
        <v/>
      </c>
      <c r="AF273" s="175" t="str">
        <f t="shared" si="89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90">IF(B241&lt;100,"",B241-620)</f>
        <v/>
      </c>
      <c r="C274" s="175" t="str">
        <f t="shared" si="90"/>
        <v/>
      </c>
      <c r="D274" s="175" t="str">
        <f t="shared" si="90"/>
        <v/>
      </c>
      <c r="E274" s="175" t="str">
        <f t="shared" si="90"/>
        <v/>
      </c>
      <c r="F274" s="175" t="str">
        <f t="shared" si="90"/>
        <v/>
      </c>
      <c r="G274" s="175" t="str">
        <f t="shared" si="90"/>
        <v/>
      </c>
      <c r="H274" s="175" t="str">
        <f t="shared" si="90"/>
        <v/>
      </c>
      <c r="I274" s="175" t="str">
        <f t="shared" si="90"/>
        <v/>
      </c>
      <c r="J274" s="175" t="str">
        <f t="shared" si="90"/>
        <v/>
      </c>
      <c r="K274" s="175" t="str">
        <f t="shared" si="90"/>
        <v/>
      </c>
      <c r="L274" s="175" t="str">
        <f t="shared" si="90"/>
        <v/>
      </c>
      <c r="M274" s="175" t="str">
        <f t="shared" si="90"/>
        <v/>
      </c>
      <c r="N274" s="175" t="str">
        <f t="shared" si="90"/>
        <v/>
      </c>
      <c r="O274" s="175" t="str">
        <f t="shared" si="90"/>
        <v/>
      </c>
      <c r="P274" s="175" t="str">
        <f t="shared" si="90"/>
        <v/>
      </c>
      <c r="Q274" s="175" t="str">
        <f t="shared" si="90"/>
        <v/>
      </c>
      <c r="R274" s="175" t="str">
        <f t="shared" si="90"/>
        <v/>
      </c>
      <c r="S274" s="175" t="str">
        <f t="shared" si="90"/>
        <v/>
      </c>
      <c r="T274" s="175" t="str">
        <f t="shared" si="90"/>
        <v/>
      </c>
      <c r="U274" s="175" t="str">
        <f t="shared" si="90"/>
        <v/>
      </c>
      <c r="V274" s="175" t="str">
        <f t="shared" si="90"/>
        <v/>
      </c>
      <c r="W274" s="175" t="str">
        <f t="shared" si="90"/>
        <v/>
      </c>
      <c r="X274" s="175" t="str">
        <f t="shared" si="90"/>
        <v/>
      </c>
      <c r="Y274" s="175" t="str">
        <f t="shared" si="90"/>
        <v/>
      </c>
      <c r="Z274" s="175" t="str">
        <f t="shared" si="90"/>
        <v/>
      </c>
      <c r="AA274" s="175" t="str">
        <f t="shared" si="90"/>
        <v/>
      </c>
      <c r="AB274" s="175" t="str">
        <f t="shared" si="90"/>
        <v/>
      </c>
      <c r="AC274" s="175" t="str">
        <f t="shared" si="90"/>
        <v/>
      </c>
      <c r="AD274" s="175" t="str">
        <f t="shared" si="90"/>
        <v/>
      </c>
      <c r="AE274" s="175" t="str">
        <f t="shared" si="90"/>
        <v/>
      </c>
      <c r="AF274" s="175" t="str">
        <f t="shared" si="90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91">IF(B242&lt;100,"",B242-330)</f>
        <v/>
      </c>
      <c r="C275" s="175" t="str">
        <f t="shared" si="91"/>
        <v/>
      </c>
      <c r="D275" s="175" t="str">
        <f t="shared" si="91"/>
        <v/>
      </c>
      <c r="E275" s="175" t="str">
        <f t="shared" si="91"/>
        <v/>
      </c>
      <c r="F275" s="175" t="str">
        <f t="shared" si="91"/>
        <v/>
      </c>
      <c r="G275" s="175" t="str">
        <f t="shared" si="91"/>
        <v/>
      </c>
      <c r="H275" s="175" t="str">
        <f t="shared" si="91"/>
        <v/>
      </c>
      <c r="I275" s="175" t="str">
        <f t="shared" si="91"/>
        <v/>
      </c>
      <c r="J275" s="175" t="str">
        <f t="shared" si="91"/>
        <v/>
      </c>
      <c r="K275" s="175" t="str">
        <f t="shared" si="91"/>
        <v/>
      </c>
      <c r="L275" s="175" t="str">
        <f t="shared" si="91"/>
        <v/>
      </c>
      <c r="M275" s="175" t="str">
        <f t="shared" si="91"/>
        <v/>
      </c>
      <c r="N275" s="175" t="str">
        <f t="shared" si="91"/>
        <v/>
      </c>
      <c r="O275" s="175" t="str">
        <f t="shared" si="91"/>
        <v/>
      </c>
      <c r="P275" s="175" t="str">
        <f t="shared" si="91"/>
        <v/>
      </c>
      <c r="Q275" s="175" t="str">
        <f t="shared" si="91"/>
        <v/>
      </c>
      <c r="R275" s="175" t="str">
        <f t="shared" si="91"/>
        <v/>
      </c>
      <c r="S275" s="175" t="str">
        <f t="shared" si="91"/>
        <v/>
      </c>
      <c r="T275" s="175" t="str">
        <f t="shared" si="91"/>
        <v/>
      </c>
      <c r="U275" s="175" t="str">
        <f t="shared" si="91"/>
        <v/>
      </c>
      <c r="V275" s="175" t="str">
        <f t="shared" si="91"/>
        <v/>
      </c>
      <c r="W275" s="175" t="str">
        <f t="shared" si="91"/>
        <v/>
      </c>
      <c r="X275" s="175" t="str">
        <f t="shared" si="91"/>
        <v/>
      </c>
      <c r="Y275" s="175" t="str">
        <f t="shared" si="91"/>
        <v/>
      </c>
      <c r="Z275" s="175" t="str">
        <f t="shared" si="91"/>
        <v/>
      </c>
      <c r="AA275" s="175" t="str">
        <f t="shared" si="91"/>
        <v/>
      </c>
      <c r="AB275" s="175" t="str">
        <f t="shared" si="91"/>
        <v/>
      </c>
      <c r="AC275" s="175" t="str">
        <f t="shared" si="91"/>
        <v/>
      </c>
      <c r="AD275" s="175" t="str">
        <f t="shared" si="91"/>
        <v/>
      </c>
      <c r="AE275" s="175" t="str">
        <f t="shared" si="91"/>
        <v/>
      </c>
      <c r="AF275" s="175" t="str">
        <f t="shared" si="91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92">IF(B243&lt;100,"",B243-1500)</f>
        <v/>
      </c>
      <c r="C276" s="175" t="str">
        <f t="shared" si="92"/>
        <v/>
      </c>
      <c r="D276" s="175" t="str">
        <f t="shared" si="92"/>
        <v/>
      </c>
      <c r="E276" s="175" t="str">
        <f t="shared" si="92"/>
        <v/>
      </c>
      <c r="F276" s="175" t="str">
        <f t="shared" si="92"/>
        <v/>
      </c>
      <c r="G276" s="175" t="str">
        <f t="shared" si="92"/>
        <v/>
      </c>
      <c r="H276" s="175" t="str">
        <f t="shared" si="92"/>
        <v/>
      </c>
      <c r="I276" s="175" t="str">
        <f t="shared" si="92"/>
        <v/>
      </c>
      <c r="J276" s="175" t="str">
        <f t="shared" si="92"/>
        <v/>
      </c>
      <c r="K276" s="175" t="str">
        <f t="shared" si="92"/>
        <v/>
      </c>
      <c r="L276" s="175" t="str">
        <f t="shared" si="92"/>
        <v/>
      </c>
      <c r="M276" s="175" t="str">
        <f t="shared" si="92"/>
        <v/>
      </c>
      <c r="N276" s="175" t="str">
        <f t="shared" si="92"/>
        <v/>
      </c>
      <c r="O276" s="175" t="str">
        <f t="shared" si="92"/>
        <v/>
      </c>
      <c r="P276" s="175" t="str">
        <f t="shared" si="92"/>
        <v/>
      </c>
      <c r="Q276" s="175" t="str">
        <f t="shared" si="92"/>
        <v/>
      </c>
      <c r="R276" s="175" t="str">
        <f t="shared" si="92"/>
        <v/>
      </c>
      <c r="S276" s="175" t="str">
        <f t="shared" si="92"/>
        <v/>
      </c>
      <c r="T276" s="175" t="str">
        <f t="shared" si="92"/>
        <v/>
      </c>
      <c r="U276" s="175" t="str">
        <f t="shared" si="92"/>
        <v/>
      </c>
      <c r="V276" s="175" t="str">
        <f t="shared" si="92"/>
        <v/>
      </c>
      <c r="W276" s="175" t="str">
        <f t="shared" si="92"/>
        <v/>
      </c>
      <c r="X276" s="175" t="str">
        <f t="shared" si="92"/>
        <v/>
      </c>
      <c r="Y276" s="175" t="str">
        <f t="shared" si="92"/>
        <v/>
      </c>
      <c r="Z276" s="175" t="str">
        <f t="shared" si="92"/>
        <v/>
      </c>
      <c r="AA276" s="175" t="str">
        <f t="shared" si="92"/>
        <v/>
      </c>
      <c r="AB276" s="175" t="str">
        <f t="shared" si="92"/>
        <v/>
      </c>
      <c r="AC276" s="175" t="str">
        <f t="shared" si="92"/>
        <v/>
      </c>
      <c r="AD276" s="175" t="str">
        <f t="shared" si="92"/>
        <v/>
      </c>
      <c r="AE276" s="175" t="str">
        <f t="shared" si="92"/>
        <v/>
      </c>
      <c r="AF276" s="175" t="str">
        <f t="shared" si="92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8:B24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8">
    <cfRule type="expression" dxfId="2891" priority="5">
      <formula>$AH11=0</formula>
    </cfRule>
  </conditionalFormatting>
  <conditionalFormatting sqref="B8 M8 S8 AB8">
    <cfRule type="expression" dxfId="2890" priority="120">
      <formula>AND(C$9&gt;=8/24,C$9&lt;14/24)</formula>
    </cfRule>
    <cfRule type="expression" dxfId="2889" priority="119">
      <formula>AND(C$9&gt;=14/24,C$9&lt;20/24)</formula>
    </cfRule>
    <cfRule type="expression" dxfId="2888" priority="121">
      <formula>C$9&lt;8/24</formula>
    </cfRule>
  </conditionalFormatting>
  <conditionalFormatting sqref="B54:C54 B73:AF91">
    <cfRule type="expression" dxfId="2887" priority="45">
      <formula>AND(B$9&gt;=8/24,B$9&lt;14/24)</formula>
    </cfRule>
    <cfRule type="expression" dxfId="2886" priority="46">
      <formula>B$9&lt;8/24</formula>
    </cfRule>
    <cfRule type="expression" dxfId="2885" priority="43">
      <formula>B$9&gt;=20/24</formula>
    </cfRule>
    <cfRule type="expression" dxfId="2884" priority="44">
      <formula>AND(B$9&gt;=14/24,B$9&lt;20/24)</formula>
    </cfRule>
  </conditionalFormatting>
  <conditionalFormatting sqref="B54:C66">
    <cfRule type="expression" dxfId="2883" priority="38">
      <formula>B54&gt;$AG54</formula>
    </cfRule>
  </conditionalFormatting>
  <conditionalFormatting sqref="B55:G59">
    <cfRule type="expression" dxfId="2882" priority="68">
      <formula>B$9&lt;8/24</formula>
    </cfRule>
    <cfRule type="expression" dxfId="2881" priority="67">
      <formula>AND(B$9&gt;=8/24,B$9&lt;14/24)</formula>
    </cfRule>
    <cfRule type="expression" dxfId="2880" priority="66">
      <formula>AND(B$9&gt;=14/24,B$9&lt;20/24)</formula>
    </cfRule>
    <cfRule type="expression" dxfId="2879" priority="65">
      <formula>B$9&gt;=20/24</formula>
    </cfRule>
  </conditionalFormatting>
  <conditionalFormatting sqref="B60:W60">
    <cfRule type="expression" dxfId="2878" priority="56">
      <formula>B$9&gt;=20/24</formula>
    </cfRule>
    <cfRule type="expression" dxfId="2877" priority="59">
      <formula>B$9&lt;8/24</formula>
    </cfRule>
    <cfRule type="expression" dxfId="2876" priority="58">
      <formula>AND(B$9&gt;=8/24,B$9&lt;14/24)</formula>
    </cfRule>
    <cfRule type="expression" dxfId="2875" priority="57">
      <formula>AND(B$9&gt;=14/24,B$9&lt;20/24)</formula>
    </cfRule>
  </conditionalFormatting>
  <conditionalFormatting sqref="B9:AF45">
    <cfRule type="expression" dxfId="2874" priority="28">
      <formula>B$9&gt;=20/24</formula>
    </cfRule>
    <cfRule type="expression" dxfId="2873" priority="29">
      <formula>AND(B$9&gt;=14/24,B$9&lt;20/24)</formula>
    </cfRule>
    <cfRule type="expression" dxfId="2872" priority="30">
      <formula>AND(B$9&gt;=8/24,B$9&lt;14/24)</formula>
    </cfRule>
    <cfRule type="expression" dxfId="2871" priority="31">
      <formula>B$9&lt;8/24</formula>
    </cfRule>
  </conditionalFormatting>
  <conditionalFormatting sqref="B11:AF46">
    <cfRule type="expression" dxfId="2870" priority="27">
      <formula>B11&gt;$AG11</formula>
    </cfRule>
  </conditionalFormatting>
  <conditionalFormatting sqref="B46:AF46">
    <cfRule type="expression" dxfId="2869" priority="23">
      <formula>B$9&gt;=20/24</formula>
    </cfRule>
    <cfRule type="expression" dxfId="2868" priority="24">
      <formula>AND(B$9&gt;=14/24,B$9&lt;20/24)</formula>
    </cfRule>
    <cfRule type="expression" dxfId="2867" priority="25">
      <formula>AND(B$9&gt;=8/24,B$9&lt;14/24)</formula>
    </cfRule>
    <cfRule type="expression" dxfId="2866" priority="26">
      <formula>B$9&lt;8/24</formula>
    </cfRule>
  </conditionalFormatting>
  <conditionalFormatting sqref="B47:AF47">
    <cfRule type="expression" dxfId="2865" priority="37">
      <formula>B47&gt;$AG47</formula>
    </cfRule>
  </conditionalFormatting>
  <conditionalFormatting sqref="B47:AF49">
    <cfRule type="expression" dxfId="2864" priority="35">
      <formula>AND(B$9&gt;=8/24,B$9&lt;14/24)</formula>
    </cfRule>
    <cfRule type="expression" dxfId="2863" priority="33">
      <formula>B$9&gt;=20/24</formula>
    </cfRule>
    <cfRule type="expression" dxfId="2862" priority="34">
      <formula>AND(B$9&gt;=14/24,B$9&lt;20/24)</formula>
    </cfRule>
    <cfRule type="expression" dxfId="2861" priority="36">
      <formula>B$9&lt;8/24</formula>
    </cfRule>
  </conditionalFormatting>
  <conditionalFormatting sqref="B48:AF53">
    <cfRule type="expression" dxfId="2860" priority="32">
      <formula>B48&gt;$AG48</formula>
    </cfRule>
  </conditionalFormatting>
  <conditionalFormatting sqref="B51:AF53">
    <cfRule type="expression" dxfId="2859" priority="52">
      <formula>B$9&gt;=20/24</formula>
    </cfRule>
    <cfRule type="expression" dxfId="2858" priority="53">
      <formula>AND(B$9&gt;=14/24,B$9&lt;20/24)</formula>
    </cfRule>
    <cfRule type="expression" dxfId="2857" priority="54">
      <formula>AND(B$9&gt;=8/24,B$9&lt;14/24)</formula>
    </cfRule>
    <cfRule type="expression" dxfId="2856" priority="55">
      <formula>B$9&lt;8/24</formula>
    </cfRule>
  </conditionalFormatting>
  <conditionalFormatting sqref="B61:AF66">
    <cfRule type="expression" dxfId="2855" priority="39">
      <formula>B$9&gt;=20/24</formula>
    </cfRule>
    <cfRule type="expression" dxfId="2854" priority="40">
      <formula>AND(B$9&gt;=14/24,B$9&lt;20/24)</formula>
    </cfRule>
    <cfRule type="expression" dxfId="2853" priority="42">
      <formula>B$9&lt;8/24</formula>
    </cfRule>
    <cfRule type="expression" dxfId="2852" priority="41">
      <formula>AND(B$9&gt;=8/24,B$9&lt;14/24)</formula>
    </cfRule>
  </conditionalFormatting>
  <conditionalFormatting sqref="B69:AF71">
    <cfRule type="expression" dxfId="2851" priority="62">
      <formula>AND(B$9&gt;=14/24,B$9&lt;20/24)</formula>
    </cfRule>
    <cfRule type="expression" dxfId="2850" priority="63">
      <formula>AND(B$9&gt;=8/24,B$9&lt;14/24)</formula>
    </cfRule>
    <cfRule type="expression" dxfId="2849" priority="64">
      <formula>B$9&lt;8/24</formula>
    </cfRule>
    <cfRule type="expression" dxfId="2848" priority="60">
      <formula>B69&gt;$AG69</formula>
    </cfRule>
    <cfRule type="expression" dxfId="2847" priority="61">
      <formula>B$9&gt;=20/24</formula>
    </cfRule>
  </conditionalFormatting>
  <conditionalFormatting sqref="B93:AF109">
    <cfRule type="expression" dxfId="2846" priority="6">
      <formula>B$9&gt;=20/24</formula>
    </cfRule>
    <cfRule type="expression" dxfId="2845" priority="7">
      <formula>AND(B$9&gt;=14/24,B$9&lt;20/24)</formula>
    </cfRule>
    <cfRule type="expression" dxfId="2844" priority="8">
      <formula>AND(B$9&gt;=8/24,B$9&lt;14/24)</formula>
    </cfRule>
    <cfRule type="expression" dxfId="2843" priority="9">
      <formula>B$9&lt;8/24</formula>
    </cfRule>
  </conditionalFormatting>
  <conditionalFormatting sqref="B111:AF122">
    <cfRule type="expression" dxfId="2842" priority="20">
      <formula>AND(B$9&gt;=14/24,B$9&lt;20/24)</formula>
    </cfRule>
    <cfRule type="expression" dxfId="2841" priority="19">
      <formula>B$9&gt;=20/24</formula>
    </cfRule>
    <cfRule type="expression" dxfId="2840" priority="22">
      <formula>B$9&lt;8/24</formula>
    </cfRule>
    <cfRule type="expression" dxfId="2839" priority="21">
      <formula>AND(B$9&gt;=8/24,B$9&lt;14/24)</formula>
    </cfRule>
  </conditionalFormatting>
  <conditionalFormatting sqref="B229:AF229 B231:B237 D231:AF237 U250:AF250">
    <cfRule type="expression" dxfId="2838" priority="115">
      <formula>B$9&lt;8/24</formula>
    </cfRule>
    <cfRule type="expression" dxfId="2837" priority="114">
      <formula>AND(B$9&gt;=8/24,B$9&lt;14/24)</formula>
    </cfRule>
    <cfRule type="expression" dxfId="2836" priority="112">
      <formula>B$9&gt;=20/24</formula>
    </cfRule>
    <cfRule type="expression" dxfId="2835" priority="113">
      <formula>AND(B$9&gt;=14/24,B$9&lt;20/24)</formula>
    </cfRule>
  </conditionalFormatting>
  <conditionalFormatting sqref="B67:AG68 B72:AG72">
    <cfRule type="expression" dxfId="2834" priority="47">
      <formula>B67&gt;$AG67</formula>
    </cfRule>
  </conditionalFormatting>
  <conditionalFormatting sqref="B72:AG72">
    <cfRule type="expression" dxfId="2833" priority="49">
      <formula>AND(B$9&gt;=14/24,B$9&lt;20/24)</formula>
    </cfRule>
    <cfRule type="expression" dxfId="2832" priority="50">
      <formula>AND(B$9&gt;=8/24,B$9&lt;14/24)</formula>
    </cfRule>
    <cfRule type="expression" dxfId="2831" priority="51">
      <formula>B$9&lt;8/24</formula>
    </cfRule>
    <cfRule type="expression" dxfId="2830" priority="48">
      <formula>B$9&gt;=20/24</formula>
    </cfRule>
  </conditionalFormatting>
  <conditionalFormatting sqref="D55:AF66">
    <cfRule type="expression" dxfId="2829" priority="10">
      <formula>D55&gt;$AG55</formula>
    </cfRule>
  </conditionalFormatting>
  <conditionalFormatting sqref="D54:AG54">
    <cfRule type="expression" dxfId="2828" priority="84">
      <formula>D$9&lt;8/24</formula>
    </cfRule>
    <cfRule type="expression" dxfId="2827" priority="80">
      <formula>D54&gt;$AG54</formula>
    </cfRule>
    <cfRule type="expression" dxfId="2826" priority="83">
      <formula>AND(D$9&gt;=8/24,D$9&lt;14/24)</formula>
    </cfRule>
    <cfRule type="expression" dxfId="2825" priority="82">
      <formula>AND(D$9&gt;=14/24,D$9&lt;20/24)</formula>
    </cfRule>
    <cfRule type="expression" dxfId="2824" priority="81">
      <formula>D$9&gt;=20/24</formula>
    </cfRule>
  </conditionalFormatting>
  <conditionalFormatting sqref="H55:O57 O57:P57">
    <cfRule type="expression" dxfId="2823" priority="93">
      <formula>H$9&gt;=20/24</formula>
    </cfRule>
    <cfRule type="expression" dxfId="2822" priority="94">
      <formula>AND(H$9&gt;=14/24,H$9&lt;20/24)</formula>
    </cfRule>
    <cfRule type="expression" dxfId="2821" priority="95">
      <formula>AND(H$9&gt;=8/24,H$9&lt;14/24)</formula>
    </cfRule>
    <cfRule type="expression" dxfId="2820" priority="96">
      <formula>H$9&lt;8/24</formula>
    </cfRule>
  </conditionalFormatting>
  <conditionalFormatting sqref="M58:W59">
    <cfRule type="expression" dxfId="2819" priority="2">
      <formula>AND(M$9&gt;=14/24,M$9&lt;20/24)</formula>
    </cfRule>
    <cfRule type="expression" dxfId="2818" priority="1">
      <formula>M$9&gt;=20/24</formula>
    </cfRule>
    <cfRule type="expression" dxfId="2817" priority="4">
      <formula>M$9&lt;8/24</formula>
    </cfRule>
    <cfRule type="expression" dxfId="2816" priority="3">
      <formula>AND(M$9&gt;=8/24,M$9&lt;14/24)</formula>
    </cfRule>
  </conditionalFormatting>
  <conditionalFormatting sqref="N55:W59">
    <cfRule type="expression" dxfId="2815" priority="97">
      <formula>N$9&gt;=20/24</formula>
    </cfRule>
    <cfRule type="expression" dxfId="2814" priority="98">
      <formula>AND(N$9&gt;=14/24,N$9&lt;20/24)</formula>
    </cfRule>
    <cfRule type="expression" dxfId="2813" priority="99">
      <formula>AND(N$9&gt;=8/24,N$9&lt;14/24)</formula>
    </cfRule>
    <cfRule type="expression" dxfId="2812" priority="100">
      <formula>N$9&lt;8/24</formula>
    </cfRule>
  </conditionalFormatting>
  <conditionalFormatting sqref="O3:P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811" priority="118">
      <formula>C$9&gt;=20/24</formula>
    </cfRule>
  </conditionalFormatting>
  <conditionalFormatting sqref="S8">
    <cfRule type="expression" dxfId="2810" priority="106">
      <formula>AND(U$9&gt;=14/24,U$9&lt;20/24)</formula>
    </cfRule>
    <cfRule type="expression" dxfId="2809" priority="107">
      <formula>AND(U$9&gt;=8/24,U$9&lt;14/24)</formula>
    </cfRule>
    <cfRule type="expression" dxfId="2808" priority="108">
      <formula>U$9&lt;8/24</formula>
    </cfRule>
    <cfRule type="expression" dxfId="2807" priority="105">
      <formula>U$9&gt;=20/24</formula>
    </cfRule>
  </conditionalFormatting>
  <conditionalFormatting sqref="T250">
    <cfRule type="expression" dxfId="2806" priority="130">
      <formula>AX$9&gt;=20/24</formula>
    </cfRule>
    <cfRule type="expression" dxfId="2805" priority="131">
      <formula>AND(AX$9&gt;=14/24,AX$9&lt;20/24)</formula>
    </cfRule>
    <cfRule type="expression" dxfId="2804" priority="132">
      <formula>AND(AX$9&gt;=8/24,AX$9&lt;14/24)</formula>
    </cfRule>
    <cfRule type="expression" dxfId="2803" priority="133">
      <formula>AX$9&lt;8/24</formula>
    </cfRule>
  </conditionalFormatting>
  <conditionalFormatting sqref="V3 AB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X55:AF60">
    <cfRule type="expression" dxfId="2802" priority="16">
      <formula>AND(X$9&gt;=14/24,X$9&lt;20/24)</formula>
    </cfRule>
    <cfRule type="expression" dxfId="2801" priority="15">
      <formula>X$9&gt;=20/24</formula>
    </cfRule>
    <cfRule type="expression" dxfId="2800" priority="18">
      <formula>X$9&lt;8/24</formula>
    </cfRule>
    <cfRule type="expression" dxfId="2799" priority="17">
      <formula>AND(X$9&gt;=8/24,X$9&lt;14/24)</formula>
    </cfRule>
  </conditionalFormatting>
  <conditionalFormatting sqref="AB8">
    <cfRule type="expression" dxfId="2798" priority="102">
      <formula>AND(AD$9&gt;=14/24,AD$9&lt;20/24)</formula>
    </cfRule>
    <cfRule type="expression" dxfId="2797" priority="103">
      <formula>AND(AD$9&gt;=8/24,AD$9&lt;14/24)</formula>
    </cfRule>
    <cfRule type="expression" dxfId="2796" priority="104">
      <formula>AD$9&lt;8/24</formula>
    </cfRule>
    <cfRule type="expression" dxfId="2795" priority="101">
      <formula>AD$9&gt;=20/24</formula>
    </cfRule>
  </conditionalFormatting>
  <conditionalFormatting sqref="AE61:AF66">
    <cfRule type="expression" dxfId="2794" priority="14">
      <formula>AE$9&lt;8/24</formula>
    </cfRule>
    <cfRule type="expression" dxfId="2793" priority="13">
      <formula>AND(AE$9&gt;=8/24,AE$9&lt;14/24)</formula>
    </cfRule>
    <cfRule type="expression" dxfId="2792" priority="12">
      <formula>AND(AE$9&gt;=14/24,AE$9&lt;20/24)</formula>
    </cfRule>
    <cfRule type="expression" dxfId="2791" priority="11">
      <formula>AE$9&gt;=20/24</formula>
    </cfRule>
  </conditionalFormatting>
  <conditionalFormatting sqref="AG50">
    <cfRule type="expression" dxfId="2790" priority="88">
      <formula>AG50&gt;$AG50</formula>
    </cfRule>
  </conditionalFormatting>
  <conditionalFormatting sqref="AG89">
    <cfRule type="expression" dxfId="2789" priority="89">
      <formula>AG$9&gt;=20/24</formula>
    </cfRule>
    <cfRule type="expression" dxfId="2788" priority="90">
      <formula>AND(AG$9&gt;=14/24,AG$9&lt;20/24)</formula>
    </cfRule>
    <cfRule type="expression" dxfId="2787" priority="91">
      <formula>AND(AG$9&gt;=8/24,AG$9&lt;14/24)</formula>
    </cfRule>
    <cfRule type="expression" dxfId="2786" priority="92">
      <formula>AG$9&lt;8/24</formula>
    </cfRule>
  </conditionalFormatting>
  <conditionalFormatting sqref="AG250">
    <cfRule type="expression" dxfId="2785" priority="122">
      <formula>B$9&gt;=20/24</formula>
    </cfRule>
    <cfRule type="expression" dxfId="2784" priority="123">
      <formula>AND(B$9&gt;=14/24,B$9&lt;20/24)</formula>
    </cfRule>
    <cfRule type="expression" dxfId="2783" priority="124">
      <formula>AND(B$9&gt;=8/24,B$9&lt;14/24)</formula>
    </cfRule>
    <cfRule type="expression" dxfId="2782" priority="125">
      <formula>B$9&lt;8/24</formula>
    </cfRule>
  </conditionalFormatting>
  <conditionalFormatting sqref="AH250:AX250">
    <cfRule type="expression" dxfId="2781" priority="126">
      <formula>AG$9&gt;=20/24</formula>
    </cfRule>
    <cfRule type="expression" dxfId="2780" priority="127">
      <formula>AND(AG$9&gt;=14/24,AG$9&lt;20/24)</formula>
    </cfRule>
    <cfRule type="expression" dxfId="2779" priority="128">
      <formula>AND(AG$9&gt;=8/24,AG$9&lt;14/24)</formula>
    </cfRule>
    <cfRule type="expression" dxfId="2778" priority="129">
      <formula>AG$9&lt;8/24</formula>
    </cfRule>
  </conditionalFormatting>
  <conditionalFormatting sqref="AL4:AL6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777" priority="138">
      <formula>AJ$9&lt;8/24</formula>
    </cfRule>
    <cfRule type="expression" dxfId="2776" priority="135">
      <formula>AJ$9&gt;=20/24</formula>
    </cfRule>
    <cfRule type="expression" dxfId="2775" priority="136">
      <formula>AND(AJ$9&gt;=14/24,AJ$9&lt;20/24)</formula>
    </cfRule>
    <cfRule type="expression" dxfId="2774" priority="137">
      <formula>AND(AJ$9&gt;=8/24,AJ$9&lt;14/24)</formula>
    </cfRule>
  </conditionalFormatting>
  <conditionalFormatting sqref="AL80:AN80 AL86:AN86">
    <cfRule type="expression" dxfId="2773" priority="78">
      <formula>AND(AL$9&gt;=8/24,AL$9&lt;14/24)</formula>
    </cfRule>
    <cfRule type="expression" dxfId="2772" priority="79">
      <formula>AL$9&lt;8/24</formula>
    </cfRule>
    <cfRule type="expression" dxfId="2771" priority="76">
      <formula>AL$9&gt;=20/24</formula>
    </cfRule>
    <cfRule type="expression" dxfId="2770" priority="77">
      <formula>AND(AL$9&gt;=14/24,AL$9&lt;20/24)</formula>
    </cfRule>
  </conditionalFormatting>
  <conditionalFormatting sqref="AN81:AN84">
    <cfRule type="expression" dxfId="2769" priority="73">
      <formula>AND(AN$9&gt;=14/24,AN$9&lt;20/24)</formula>
    </cfRule>
    <cfRule type="expression" dxfId="2768" priority="74">
      <formula>AND(AN$9&gt;=8/24,AN$9&lt;14/24)</formula>
    </cfRule>
    <cfRule type="expression" dxfId="2767" priority="75">
      <formula>AN$9&lt;8/24</formula>
    </cfRule>
    <cfRule type="expression" dxfId="2766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2BC3-6A31-4670-A26D-22A3F7934124}">
  <sheetPr codeName="Sheet10"/>
  <dimension ref="A1:CJ283"/>
  <sheetViews>
    <sheetView workbookViewId="0">
      <pane xSplit="1" ySplit="10" topLeftCell="F46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F7" sqref="F7:G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2080/09/9</v>
      </c>
      <c r="C4" s="246"/>
      <c r="D4" s="246"/>
      <c r="E4" s="247" t="str">
        <f ca="1">"2080/"&amp;"09/"&amp;INT(MID(CELL("filename",G6),FIND("]",CELL("filename",G6))+1,200))</f>
        <v>2080/09/9</v>
      </c>
      <c r="F4" s="247"/>
      <c r="G4" s="247"/>
      <c r="H4" s="247" t="str">
        <f ca="1">TEXT(E4,"dddd")</f>
        <v>Monday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119</v>
      </c>
      <c r="C5" s="30">
        <f t="shared" si="0"/>
        <v>135</v>
      </c>
      <c r="D5" s="30">
        <f t="shared" si="0"/>
        <v>149.1</v>
      </c>
      <c r="E5" s="30">
        <f t="shared" si="0"/>
        <v>127.19999999999999</v>
      </c>
      <c r="F5" s="30">
        <f t="shared" si="0"/>
        <v>155.4</v>
      </c>
      <c r="G5" s="30">
        <f t="shared" si="0"/>
        <v>118.4</v>
      </c>
      <c r="H5" s="30">
        <f t="shared" si="0"/>
        <v>207</v>
      </c>
      <c r="I5" s="30">
        <f t="shared" si="0"/>
        <v>209.8</v>
      </c>
      <c r="J5" s="30">
        <f t="shared" si="0"/>
        <v>168.3</v>
      </c>
      <c r="K5" s="30">
        <f t="shared" si="0"/>
        <v>107.8</v>
      </c>
      <c r="L5" s="30">
        <f t="shared" si="0"/>
        <v>63</v>
      </c>
      <c r="M5" s="30">
        <f t="shared" si="0"/>
        <v>59</v>
      </c>
      <c r="N5" s="30">
        <f t="shared" si="0"/>
        <v>240</v>
      </c>
      <c r="O5" s="30">
        <f t="shared" si="0"/>
        <v>248.1</v>
      </c>
      <c r="P5" s="30">
        <f t="shared" si="0"/>
        <v>283</v>
      </c>
      <c r="Q5" s="30">
        <f t="shared" si="0"/>
        <v>306</v>
      </c>
      <c r="R5" s="30">
        <f t="shared" si="0"/>
        <v>294</v>
      </c>
      <c r="S5" s="30">
        <f t="shared" si="0"/>
        <v>352</v>
      </c>
      <c r="T5" s="30">
        <f t="shared" si="0"/>
        <v>358.5</v>
      </c>
      <c r="U5" s="30">
        <f t="shared" si="0"/>
        <v>261</v>
      </c>
      <c r="V5" s="30">
        <f t="shared" si="0"/>
        <v>59.6</v>
      </c>
      <c r="W5" s="30">
        <f t="shared" si="0"/>
        <v>73</v>
      </c>
      <c r="X5" s="30">
        <f t="shared" si="0"/>
        <v>0</v>
      </c>
      <c r="Y5" s="30">
        <f t="shared" si="0"/>
        <v>141.19999999999999</v>
      </c>
      <c r="Z5" s="30">
        <f t="shared" si="0"/>
        <v>131.6</v>
      </c>
      <c r="AA5" s="30">
        <f t="shared" si="0"/>
        <v>246</v>
      </c>
      <c r="AB5" s="30">
        <f t="shared" si="0"/>
        <v>225</v>
      </c>
      <c r="AC5" s="30">
        <f t="shared" si="0"/>
        <v>175</v>
      </c>
      <c r="AD5" s="30">
        <f t="shared" si="0"/>
        <v>180</v>
      </c>
      <c r="AE5" s="30">
        <f t="shared" si="0"/>
        <v>151</v>
      </c>
      <c r="AF5" s="30">
        <f>B84</f>
        <v>207.6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1622MW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Load=1008</v>
      </c>
      <c r="B7" s="35">
        <f>B92</f>
        <v>1068.44</v>
      </c>
      <c r="C7" s="35">
        <f t="shared" ref="C7:AF7" si="1">C92</f>
        <v>1019.84</v>
      </c>
      <c r="D7" s="35">
        <f t="shared" si="1"/>
        <v>1019.84</v>
      </c>
      <c r="E7" s="35">
        <f t="shared" si="1"/>
        <v>1008.2400000000001</v>
      </c>
      <c r="F7" s="35">
        <f t="shared" si="1"/>
        <v>1027.24</v>
      </c>
      <c r="G7" s="35">
        <f t="shared" si="1"/>
        <v>1104.3400000000001</v>
      </c>
      <c r="H7" s="35">
        <f t="shared" si="1"/>
        <v>1190.94</v>
      </c>
      <c r="I7" s="35">
        <f t="shared" si="1"/>
        <v>1285.04</v>
      </c>
      <c r="J7" s="35">
        <f t="shared" si="1"/>
        <v>1410.1399999999999</v>
      </c>
      <c r="K7" s="35">
        <f t="shared" si="1"/>
        <v>1510.04</v>
      </c>
      <c r="L7" s="35">
        <f t="shared" si="1"/>
        <v>1603.24</v>
      </c>
      <c r="M7" s="35">
        <f t="shared" si="1"/>
        <v>1621.54</v>
      </c>
      <c r="N7" s="35">
        <f t="shared" si="1"/>
        <v>1580.3400000000001</v>
      </c>
      <c r="O7" s="35">
        <f t="shared" si="1"/>
        <v>1562.54</v>
      </c>
      <c r="P7" s="35">
        <f t="shared" si="1"/>
        <v>1370.74</v>
      </c>
      <c r="Q7" s="35">
        <f t="shared" si="1"/>
        <v>1275.24</v>
      </c>
      <c r="R7" s="35">
        <f t="shared" si="1"/>
        <v>1256.3400000000001</v>
      </c>
      <c r="S7" s="35">
        <f t="shared" si="1"/>
        <v>1274.6399999999999</v>
      </c>
      <c r="T7" s="35">
        <f t="shared" si="1"/>
        <v>1270.04</v>
      </c>
      <c r="U7" s="35">
        <f t="shared" si="1"/>
        <v>1300.94</v>
      </c>
      <c r="V7" s="35">
        <f t="shared" si="1"/>
        <v>1391.4399999999998</v>
      </c>
      <c r="W7" s="35">
        <f t="shared" si="1"/>
        <v>1615.5399999999997</v>
      </c>
      <c r="X7" s="35">
        <f t="shared" si="1"/>
        <v>1753.44</v>
      </c>
      <c r="Y7" s="35">
        <f t="shared" si="1"/>
        <v>1589.64</v>
      </c>
      <c r="Z7" s="35">
        <f t="shared" si="1"/>
        <v>1596.34</v>
      </c>
      <c r="AA7" s="35">
        <f t="shared" si="1"/>
        <v>1601.2399999999998</v>
      </c>
      <c r="AB7" s="35">
        <f t="shared" si="1"/>
        <v>1473.94</v>
      </c>
      <c r="AC7" s="35">
        <f t="shared" si="1"/>
        <v>1378.44</v>
      </c>
      <c r="AD7" s="35">
        <f t="shared" si="1"/>
        <v>1295.44</v>
      </c>
      <c r="AE7" s="35">
        <f t="shared" si="1"/>
        <v>1164.04</v>
      </c>
      <c r="AF7" s="35">
        <f t="shared" si="1"/>
        <v>1047.04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39.200000000000003</v>
      </c>
      <c r="C11" s="45">
        <v>39.200000000000003</v>
      </c>
      <c r="D11" s="45">
        <v>39.200000000000003</v>
      </c>
      <c r="E11" s="45">
        <v>39.200000000000003</v>
      </c>
      <c r="F11" s="45">
        <v>39.200000000000003</v>
      </c>
      <c r="G11" s="45">
        <v>39.200000000000003</v>
      </c>
      <c r="H11" s="45">
        <v>39.200000000000003</v>
      </c>
      <c r="I11" s="45">
        <v>39.200000000000003</v>
      </c>
      <c r="J11" s="45">
        <v>36</v>
      </c>
      <c r="K11" s="45">
        <v>36</v>
      </c>
      <c r="L11" s="45">
        <v>38.700000000000003</v>
      </c>
      <c r="M11" s="45">
        <v>39.9</v>
      </c>
      <c r="N11" s="45">
        <v>39.9</v>
      </c>
      <c r="O11" s="45">
        <v>39.299999999999997</v>
      </c>
      <c r="P11" s="45">
        <v>38</v>
      </c>
      <c r="Q11" s="45">
        <v>39.799999999999997</v>
      </c>
      <c r="R11" s="45">
        <v>39.799999999999997</v>
      </c>
      <c r="S11" s="45">
        <v>39.200000000000003</v>
      </c>
      <c r="T11" s="45">
        <v>39.200000000000003</v>
      </c>
      <c r="U11" s="45">
        <v>39.200000000000003</v>
      </c>
      <c r="V11" s="45">
        <v>38.700000000000003</v>
      </c>
      <c r="W11" s="45">
        <v>38.6</v>
      </c>
      <c r="X11" s="45">
        <v>38.6</v>
      </c>
      <c r="Y11" s="45">
        <v>38.6</v>
      </c>
      <c r="Z11" s="45">
        <v>38.6</v>
      </c>
      <c r="AA11" s="45">
        <v>38.6</v>
      </c>
      <c r="AB11" s="45">
        <v>38.6</v>
      </c>
      <c r="AC11" s="45">
        <v>38.6</v>
      </c>
      <c r="AD11" s="45">
        <v>38.6</v>
      </c>
      <c r="AE11" s="45">
        <v>38.6</v>
      </c>
      <c r="AF11" s="45">
        <v>38.6</v>
      </c>
      <c r="AG11" s="46">
        <v>86</v>
      </c>
      <c r="AH11" s="47">
        <f t="shared" ref="AH11:AH76" si="2">MAX(B11:AF11)</f>
        <v>39.9</v>
      </c>
      <c r="AI11" s="48">
        <f t="shared" ref="AI11:AI76" si="3">MIN(B11:AF11)</f>
        <v>36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</v>
      </c>
      <c r="C12" s="45">
        <v>18</v>
      </c>
      <c r="D12" s="45">
        <v>18</v>
      </c>
      <c r="E12" s="45">
        <v>18</v>
      </c>
      <c r="F12" s="45">
        <v>18</v>
      </c>
      <c r="G12" s="45">
        <v>18</v>
      </c>
      <c r="H12" s="45">
        <v>18</v>
      </c>
      <c r="I12" s="45">
        <v>18</v>
      </c>
      <c r="J12" s="45">
        <v>18</v>
      </c>
      <c r="K12" s="45">
        <v>18</v>
      </c>
      <c r="L12" s="45">
        <v>18</v>
      </c>
      <c r="M12" s="45">
        <v>18</v>
      </c>
      <c r="N12" s="45">
        <v>18</v>
      </c>
      <c r="O12" s="45">
        <v>18</v>
      </c>
      <c r="P12" s="45">
        <v>18</v>
      </c>
      <c r="Q12" s="45">
        <v>18</v>
      </c>
      <c r="R12" s="45">
        <v>18</v>
      </c>
      <c r="S12" s="45">
        <v>18</v>
      </c>
      <c r="T12" s="45">
        <v>18</v>
      </c>
      <c r="U12" s="45">
        <v>18</v>
      </c>
      <c r="V12" s="45">
        <v>18</v>
      </c>
      <c r="W12" s="45">
        <v>18</v>
      </c>
      <c r="X12" s="45">
        <v>18</v>
      </c>
      <c r="Y12" s="45">
        <v>18</v>
      </c>
      <c r="Z12" s="45">
        <v>18</v>
      </c>
      <c r="AA12" s="45">
        <v>18</v>
      </c>
      <c r="AB12" s="45">
        <v>18</v>
      </c>
      <c r="AC12" s="45">
        <v>18</v>
      </c>
      <c r="AD12" s="45">
        <v>18</v>
      </c>
      <c r="AE12" s="45">
        <v>18</v>
      </c>
      <c r="AF12" s="45">
        <v>18</v>
      </c>
      <c r="AG12" s="49">
        <v>54</v>
      </c>
      <c r="AH12" s="47">
        <f t="shared" si="2"/>
        <v>18</v>
      </c>
      <c r="AI12" s="48">
        <f t="shared" si="3"/>
        <v>18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22.9</v>
      </c>
      <c r="C13" s="45">
        <v>22.9</v>
      </c>
      <c r="D13" s="45">
        <v>22.9</v>
      </c>
      <c r="E13" s="45">
        <v>22.9</v>
      </c>
      <c r="F13" s="45">
        <v>22.9</v>
      </c>
      <c r="G13" s="45">
        <v>22.9</v>
      </c>
      <c r="H13" s="45">
        <v>22.9</v>
      </c>
      <c r="I13" s="45">
        <v>22.9</v>
      </c>
      <c r="J13" s="45">
        <v>22.9</v>
      </c>
      <c r="K13" s="45">
        <v>22.9</v>
      </c>
      <c r="L13" s="45">
        <v>22.9</v>
      </c>
      <c r="M13" s="45">
        <v>21</v>
      </c>
      <c r="N13" s="45">
        <v>21</v>
      </c>
      <c r="O13" s="45">
        <v>21</v>
      </c>
      <c r="P13" s="45">
        <v>21</v>
      </c>
      <c r="Q13" s="45">
        <v>21</v>
      </c>
      <c r="R13" s="45">
        <v>21</v>
      </c>
      <c r="S13" s="45">
        <v>21</v>
      </c>
      <c r="T13" s="45">
        <v>21</v>
      </c>
      <c r="U13" s="45">
        <v>21</v>
      </c>
      <c r="V13" s="45">
        <v>21</v>
      </c>
      <c r="W13" s="45">
        <v>19.7</v>
      </c>
      <c r="X13" s="45">
        <v>19.7</v>
      </c>
      <c r="Y13" s="45">
        <v>19.7</v>
      </c>
      <c r="Z13" s="45">
        <v>19.7</v>
      </c>
      <c r="AA13" s="45">
        <v>19.7</v>
      </c>
      <c r="AB13" s="45">
        <v>19.7</v>
      </c>
      <c r="AC13" s="45">
        <v>19.7</v>
      </c>
      <c r="AD13" s="45">
        <v>19.7</v>
      </c>
      <c r="AE13" s="45">
        <v>19.7</v>
      </c>
      <c r="AF13" s="45">
        <v>19.7</v>
      </c>
      <c r="AG13" s="46">
        <v>52.4</v>
      </c>
      <c r="AH13" s="47">
        <f t="shared" si="2"/>
        <v>22.9</v>
      </c>
      <c r="AI13" s="48">
        <f t="shared" si="3"/>
        <v>19.7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1">
        <v>43.2</v>
      </c>
      <c r="C14" s="51">
        <v>43.2</v>
      </c>
      <c r="D14" s="51">
        <v>43.2</v>
      </c>
      <c r="E14" s="51">
        <v>43.2</v>
      </c>
      <c r="F14" s="51">
        <v>43.2</v>
      </c>
      <c r="G14" s="51">
        <v>43.2</v>
      </c>
      <c r="H14" s="51">
        <v>43.2</v>
      </c>
      <c r="I14" s="51">
        <v>43.2</v>
      </c>
      <c r="J14" s="51">
        <v>43.2</v>
      </c>
      <c r="K14" s="51">
        <v>43.2</v>
      </c>
      <c r="L14" s="51">
        <v>43.2</v>
      </c>
      <c r="M14" s="51">
        <v>43</v>
      </c>
      <c r="N14" s="51">
        <v>43</v>
      </c>
      <c r="O14" s="51">
        <v>43</v>
      </c>
      <c r="P14" s="51">
        <v>43</v>
      </c>
      <c r="Q14" s="51">
        <v>43</v>
      </c>
      <c r="R14" s="51">
        <v>43</v>
      </c>
      <c r="S14" s="51">
        <v>43</v>
      </c>
      <c r="T14" s="51">
        <v>43</v>
      </c>
      <c r="U14" s="51">
        <v>43</v>
      </c>
      <c r="V14" s="51">
        <v>43</v>
      </c>
      <c r="W14" s="51">
        <v>43.5</v>
      </c>
      <c r="X14" s="51">
        <v>43.5</v>
      </c>
      <c r="Y14" s="51">
        <v>43.5</v>
      </c>
      <c r="Z14" s="51">
        <v>43.5</v>
      </c>
      <c r="AA14" s="51">
        <v>43.5</v>
      </c>
      <c r="AB14" s="51">
        <v>43.5</v>
      </c>
      <c r="AC14" s="51">
        <v>43.5</v>
      </c>
      <c r="AD14" s="51">
        <v>43.5</v>
      </c>
      <c r="AE14" s="51">
        <v>43.5</v>
      </c>
      <c r="AF14" s="51">
        <v>43.5</v>
      </c>
      <c r="AG14" s="49">
        <v>50</v>
      </c>
      <c r="AH14" s="47">
        <f t="shared" si="2"/>
        <v>43.5</v>
      </c>
      <c r="AI14" s="48">
        <f t="shared" si="3"/>
        <v>43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22.9</v>
      </c>
      <c r="C15" s="45">
        <v>22.9</v>
      </c>
      <c r="D15" s="45">
        <v>22.9</v>
      </c>
      <c r="E15" s="45">
        <v>22.9</v>
      </c>
      <c r="F15" s="45">
        <v>22.9</v>
      </c>
      <c r="G15" s="45">
        <v>22.9</v>
      </c>
      <c r="H15" s="45">
        <v>22.9</v>
      </c>
      <c r="I15" s="45">
        <v>22.9</v>
      </c>
      <c r="J15" s="45">
        <v>22.9</v>
      </c>
      <c r="K15" s="45">
        <v>22.9</v>
      </c>
      <c r="L15" s="45">
        <v>22.9</v>
      </c>
      <c r="M15" s="45">
        <v>21.7</v>
      </c>
      <c r="N15" s="45">
        <v>21.7</v>
      </c>
      <c r="O15" s="45">
        <v>21.7</v>
      </c>
      <c r="P15" s="45">
        <v>21.7</v>
      </c>
      <c r="Q15" s="45">
        <v>21.7</v>
      </c>
      <c r="R15" s="45">
        <v>21.7</v>
      </c>
      <c r="S15" s="45">
        <v>21.7</v>
      </c>
      <c r="T15" s="45">
        <v>21.7</v>
      </c>
      <c r="U15" s="45">
        <v>21.7</v>
      </c>
      <c r="V15" s="45">
        <v>21.7</v>
      </c>
      <c r="W15" s="45">
        <v>23.7</v>
      </c>
      <c r="X15" s="45">
        <v>23.7</v>
      </c>
      <c r="Y15" s="45">
        <v>23.7</v>
      </c>
      <c r="Z15" s="45">
        <v>23.7</v>
      </c>
      <c r="AA15" s="45">
        <v>23.7</v>
      </c>
      <c r="AB15" s="45">
        <v>0</v>
      </c>
      <c r="AC15" s="45">
        <v>0</v>
      </c>
      <c r="AD15" s="45">
        <v>0</v>
      </c>
      <c r="AE15" s="45">
        <v>22.6</v>
      </c>
      <c r="AF15" s="45">
        <v>22.6</v>
      </c>
      <c r="AG15" s="49">
        <v>45</v>
      </c>
      <c r="AH15" s="47">
        <f t="shared" si="2"/>
        <v>23.7</v>
      </c>
      <c r="AI15" s="48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</v>
      </c>
      <c r="C16" s="45">
        <v>17</v>
      </c>
      <c r="D16" s="45">
        <v>17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49">
        <v>44</v>
      </c>
      <c r="AH16" s="47">
        <f>MAX(B16:AG16)</f>
        <v>44</v>
      </c>
      <c r="AI16" s="48">
        <f>MIN(B16:AG16)</f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12.5</v>
      </c>
      <c r="C17" s="45">
        <v>12.5</v>
      </c>
      <c r="D17" s="45">
        <v>12.5</v>
      </c>
      <c r="E17" s="45">
        <v>12.5</v>
      </c>
      <c r="F17" s="45">
        <v>12.5</v>
      </c>
      <c r="G17" s="45">
        <v>12.5</v>
      </c>
      <c r="H17" s="45">
        <v>12.5</v>
      </c>
      <c r="I17" s="45">
        <v>12.5</v>
      </c>
      <c r="J17" s="45">
        <v>12.5</v>
      </c>
      <c r="K17" s="45">
        <v>12.5</v>
      </c>
      <c r="L17" s="45">
        <v>12.5</v>
      </c>
      <c r="M17" s="45">
        <v>12.5</v>
      </c>
      <c r="N17" s="45">
        <v>12.5</v>
      </c>
      <c r="O17" s="45">
        <v>12.5</v>
      </c>
      <c r="P17" s="45">
        <v>12.5</v>
      </c>
      <c r="Q17" s="45">
        <v>12.5</v>
      </c>
      <c r="R17" s="45">
        <v>12.5</v>
      </c>
      <c r="S17" s="45">
        <v>12.5</v>
      </c>
      <c r="T17" s="45">
        <v>12.5</v>
      </c>
      <c r="U17" s="45">
        <v>12.5</v>
      </c>
      <c r="V17" s="45">
        <v>12.5</v>
      </c>
      <c r="W17" s="45">
        <v>12</v>
      </c>
      <c r="X17" s="45">
        <v>12</v>
      </c>
      <c r="Y17" s="45">
        <v>12</v>
      </c>
      <c r="Z17" s="45">
        <v>12</v>
      </c>
      <c r="AA17" s="45">
        <v>12</v>
      </c>
      <c r="AB17" s="45">
        <v>12</v>
      </c>
      <c r="AC17" s="45">
        <v>12</v>
      </c>
      <c r="AD17" s="45">
        <v>12</v>
      </c>
      <c r="AE17" s="45">
        <v>12</v>
      </c>
      <c r="AF17" s="45">
        <v>12</v>
      </c>
      <c r="AG17" s="49">
        <v>42</v>
      </c>
      <c r="AH17" s="47">
        <f t="shared" si="2"/>
        <v>12.5</v>
      </c>
      <c r="AI17" s="48">
        <f t="shared" si="3"/>
        <v>12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13.7</v>
      </c>
      <c r="C18" s="45">
        <v>13.7</v>
      </c>
      <c r="D18" s="45">
        <v>13.7</v>
      </c>
      <c r="E18" s="45">
        <v>13.7</v>
      </c>
      <c r="F18" s="45">
        <v>13.7</v>
      </c>
      <c r="G18" s="45">
        <v>13.7</v>
      </c>
      <c r="H18" s="45">
        <v>13.7</v>
      </c>
      <c r="I18" s="45">
        <v>13.7</v>
      </c>
      <c r="J18" s="45">
        <v>13.7</v>
      </c>
      <c r="K18" s="45">
        <v>13.7</v>
      </c>
      <c r="L18" s="45">
        <v>13.7</v>
      </c>
      <c r="M18" s="45">
        <v>13.7</v>
      </c>
      <c r="N18" s="45">
        <v>13.7</v>
      </c>
      <c r="O18" s="45">
        <v>13.7</v>
      </c>
      <c r="P18" s="45">
        <v>13.7</v>
      </c>
      <c r="Q18" s="45">
        <v>13.7</v>
      </c>
      <c r="R18" s="45">
        <v>13.7</v>
      </c>
      <c r="S18" s="45">
        <v>13.7</v>
      </c>
      <c r="T18" s="45">
        <v>13.7</v>
      </c>
      <c r="U18" s="45">
        <v>13.7</v>
      </c>
      <c r="V18" s="45">
        <v>13.7</v>
      </c>
      <c r="W18" s="45">
        <v>13.7</v>
      </c>
      <c r="X18" s="45">
        <v>13.7</v>
      </c>
      <c r="Y18" s="45">
        <v>13.7</v>
      </c>
      <c r="Z18" s="45">
        <v>13.7</v>
      </c>
      <c r="AA18" s="45">
        <v>13.7</v>
      </c>
      <c r="AB18" s="45">
        <v>13.7</v>
      </c>
      <c r="AC18" s="45">
        <v>13.7</v>
      </c>
      <c r="AD18" s="45">
        <v>13.7</v>
      </c>
      <c r="AE18" s="45">
        <v>13.7</v>
      </c>
      <c r="AF18" s="45">
        <v>13.7</v>
      </c>
      <c r="AG18" s="49">
        <v>38.46</v>
      </c>
      <c r="AH18" s="47">
        <f t="shared" si="2"/>
        <v>13.7</v>
      </c>
      <c r="AI18" s="48">
        <f t="shared" si="3"/>
        <v>13.7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17.5</v>
      </c>
      <c r="C19" s="45">
        <v>17.5</v>
      </c>
      <c r="D19" s="45">
        <v>17.5</v>
      </c>
      <c r="E19" s="45">
        <v>17.5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17.5</v>
      </c>
      <c r="AC19" s="45">
        <v>17.5</v>
      </c>
      <c r="AD19" s="45">
        <v>17.5</v>
      </c>
      <c r="AE19" s="45">
        <v>17.5</v>
      </c>
      <c r="AF19" s="45">
        <v>17.5</v>
      </c>
      <c r="AG19" s="49">
        <v>36</v>
      </c>
      <c r="AH19" s="47">
        <f t="shared" si="2"/>
        <v>17.5</v>
      </c>
      <c r="AI19" s="48">
        <f t="shared" si="3"/>
        <v>17.5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11.8</v>
      </c>
      <c r="C20" s="45">
        <v>11.8</v>
      </c>
      <c r="D20" s="45">
        <v>11.8</v>
      </c>
      <c r="E20" s="45">
        <v>11.8</v>
      </c>
      <c r="F20" s="45">
        <v>11.8</v>
      </c>
      <c r="G20" s="45">
        <v>11.8</v>
      </c>
      <c r="H20" s="45">
        <v>11.8</v>
      </c>
      <c r="I20" s="45">
        <v>11.8</v>
      </c>
      <c r="J20" s="45">
        <v>11.8</v>
      </c>
      <c r="K20" s="45">
        <v>11.8</v>
      </c>
      <c r="L20" s="45">
        <v>11.8</v>
      </c>
      <c r="M20" s="45">
        <v>11.8</v>
      </c>
      <c r="N20" s="45">
        <v>11.8</v>
      </c>
      <c r="O20" s="45">
        <v>11.8</v>
      </c>
      <c r="P20" s="45">
        <v>11.8</v>
      </c>
      <c r="Q20" s="45">
        <v>11.8</v>
      </c>
      <c r="R20" s="45">
        <v>11.8</v>
      </c>
      <c r="S20" s="45">
        <v>11.8</v>
      </c>
      <c r="T20" s="45">
        <v>11.8</v>
      </c>
      <c r="U20" s="45">
        <v>11.8</v>
      </c>
      <c r="V20" s="45">
        <v>11.8</v>
      </c>
      <c r="W20" s="45">
        <v>11.7</v>
      </c>
      <c r="X20" s="45">
        <v>11.7</v>
      </c>
      <c r="Y20" s="45">
        <v>11.7</v>
      </c>
      <c r="Z20" s="45">
        <v>11.7</v>
      </c>
      <c r="AA20" s="45">
        <v>11.7</v>
      </c>
      <c r="AB20" s="45">
        <v>11.7</v>
      </c>
      <c r="AC20" s="45">
        <v>11.7</v>
      </c>
      <c r="AD20" s="45">
        <v>11.7</v>
      </c>
      <c r="AE20" s="45">
        <v>11.7</v>
      </c>
      <c r="AF20" s="45">
        <v>11.7</v>
      </c>
      <c r="AG20" s="52">
        <v>30</v>
      </c>
      <c r="AH20" s="47">
        <f t="shared" si="2"/>
        <v>11.8</v>
      </c>
      <c r="AI20" s="48">
        <f t="shared" si="3"/>
        <v>11.7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12</v>
      </c>
      <c r="C21" s="45">
        <v>12</v>
      </c>
      <c r="D21" s="45">
        <v>12</v>
      </c>
      <c r="E21" s="45">
        <v>12</v>
      </c>
      <c r="F21" s="45">
        <v>12</v>
      </c>
      <c r="G21" s="45">
        <v>12</v>
      </c>
      <c r="H21" s="45">
        <v>12</v>
      </c>
      <c r="I21" s="45">
        <v>12</v>
      </c>
      <c r="J21" s="45">
        <v>12</v>
      </c>
      <c r="K21" s="45">
        <v>12</v>
      </c>
      <c r="L21" s="45">
        <v>12</v>
      </c>
      <c r="M21" s="45">
        <v>12</v>
      </c>
      <c r="N21" s="45">
        <v>12</v>
      </c>
      <c r="O21" s="45">
        <v>12</v>
      </c>
      <c r="P21" s="45">
        <v>12</v>
      </c>
      <c r="Q21" s="45">
        <v>12</v>
      </c>
      <c r="R21" s="45">
        <v>12</v>
      </c>
      <c r="S21" s="45">
        <v>12</v>
      </c>
      <c r="T21" s="45">
        <v>12</v>
      </c>
      <c r="U21" s="45">
        <v>12</v>
      </c>
      <c r="V21" s="45">
        <v>12</v>
      </c>
      <c r="W21" s="45">
        <v>25</v>
      </c>
      <c r="X21" s="45">
        <v>25</v>
      </c>
      <c r="Y21" s="45">
        <v>25</v>
      </c>
      <c r="Z21" s="45">
        <v>25</v>
      </c>
      <c r="AA21" s="45">
        <v>25</v>
      </c>
      <c r="AB21" s="45">
        <v>25</v>
      </c>
      <c r="AC21" s="45">
        <v>25</v>
      </c>
      <c r="AD21" s="45">
        <v>25</v>
      </c>
      <c r="AE21" s="45">
        <v>25</v>
      </c>
      <c r="AF21" s="45">
        <v>25</v>
      </c>
      <c r="AG21" s="49">
        <v>24.2</v>
      </c>
      <c r="AH21" s="47">
        <f t="shared" si="2"/>
        <v>25</v>
      </c>
      <c r="AI21" s="48">
        <f t="shared" si="3"/>
        <v>12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13.3</v>
      </c>
      <c r="C22" s="45">
        <v>13.3</v>
      </c>
      <c r="D22" s="45">
        <v>13.3</v>
      </c>
      <c r="E22" s="45">
        <v>13.3</v>
      </c>
      <c r="F22" s="45">
        <v>13.3</v>
      </c>
      <c r="G22" s="45">
        <v>13.3</v>
      </c>
      <c r="H22" s="45">
        <v>13.3</v>
      </c>
      <c r="I22" s="45">
        <v>13.3</v>
      </c>
      <c r="J22" s="45">
        <v>13.3</v>
      </c>
      <c r="K22" s="45">
        <v>13.3</v>
      </c>
      <c r="L22" s="45">
        <v>13.3</v>
      </c>
      <c r="M22" s="45">
        <v>13.3</v>
      </c>
      <c r="N22" s="45">
        <v>13.3</v>
      </c>
      <c r="O22" s="45">
        <v>13.3</v>
      </c>
      <c r="P22" s="45">
        <v>13.3</v>
      </c>
      <c r="Q22" s="45">
        <v>13.3</v>
      </c>
      <c r="R22" s="45">
        <v>13.3</v>
      </c>
      <c r="S22" s="45">
        <v>13.3</v>
      </c>
      <c r="T22" s="45">
        <v>13.3</v>
      </c>
      <c r="U22" s="45">
        <v>13.3</v>
      </c>
      <c r="V22" s="45">
        <v>13.3</v>
      </c>
      <c r="W22" s="45">
        <v>11.4</v>
      </c>
      <c r="X22" s="45">
        <v>11.4</v>
      </c>
      <c r="Y22" s="45">
        <v>11.4</v>
      </c>
      <c r="Z22" s="45">
        <v>11.4</v>
      </c>
      <c r="AA22" s="45">
        <v>11.4</v>
      </c>
      <c r="AB22" s="45">
        <v>11.4</v>
      </c>
      <c r="AC22" s="45">
        <v>11.4</v>
      </c>
      <c r="AD22" s="45">
        <v>11.4</v>
      </c>
      <c r="AE22" s="45">
        <v>11.4</v>
      </c>
      <c r="AF22" s="45">
        <v>11.4</v>
      </c>
      <c r="AG22" s="49">
        <v>28</v>
      </c>
      <c r="AH22" s="47">
        <f t="shared" si="2"/>
        <v>13.3</v>
      </c>
      <c r="AI22" s="48">
        <f t="shared" si="3"/>
        <v>11.4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10.3</v>
      </c>
      <c r="C23" s="45">
        <v>10.3</v>
      </c>
      <c r="D23" s="45">
        <v>10.3</v>
      </c>
      <c r="E23" s="45">
        <v>10.3</v>
      </c>
      <c r="F23" s="45">
        <v>10.3</v>
      </c>
      <c r="G23" s="45">
        <v>10.3</v>
      </c>
      <c r="H23" s="45">
        <v>10.3</v>
      </c>
      <c r="I23" s="45">
        <v>10.3</v>
      </c>
      <c r="J23" s="45">
        <v>10.3</v>
      </c>
      <c r="K23" s="45">
        <v>10.3</v>
      </c>
      <c r="L23" s="45">
        <v>10.3</v>
      </c>
      <c r="M23" s="45">
        <v>10.3</v>
      </c>
      <c r="N23" s="45">
        <v>10.3</v>
      </c>
      <c r="O23" s="45">
        <v>10.3</v>
      </c>
      <c r="P23" s="45">
        <v>10.3</v>
      </c>
      <c r="Q23" s="45">
        <v>10.3</v>
      </c>
      <c r="R23" s="45">
        <v>10.3</v>
      </c>
      <c r="S23" s="45">
        <v>10.3</v>
      </c>
      <c r="T23" s="45">
        <v>10.3</v>
      </c>
      <c r="U23" s="45">
        <v>10.3</v>
      </c>
      <c r="V23" s="45">
        <v>10.3</v>
      </c>
      <c r="W23" s="45">
        <v>11</v>
      </c>
      <c r="X23" s="45">
        <v>11</v>
      </c>
      <c r="Y23" s="45">
        <v>11</v>
      </c>
      <c r="Z23" s="45">
        <v>11</v>
      </c>
      <c r="AA23" s="45">
        <v>11</v>
      </c>
      <c r="AB23" s="45">
        <v>11</v>
      </c>
      <c r="AC23" s="45">
        <v>11</v>
      </c>
      <c r="AD23" s="45">
        <v>11</v>
      </c>
      <c r="AE23" s="45">
        <v>11</v>
      </c>
      <c r="AF23" s="45">
        <v>11</v>
      </c>
      <c r="AG23" s="52">
        <v>30</v>
      </c>
      <c r="AH23" s="47">
        <f t="shared" si="2"/>
        <v>11</v>
      </c>
      <c r="AI23" s="48">
        <f t="shared" si="3"/>
        <v>10.3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13.1</v>
      </c>
      <c r="C24" s="45">
        <v>13.1</v>
      </c>
      <c r="D24" s="45">
        <v>13.1</v>
      </c>
      <c r="E24" s="45">
        <v>13.1</v>
      </c>
      <c r="F24" s="45">
        <v>13.1</v>
      </c>
      <c r="G24" s="45">
        <v>13.1</v>
      </c>
      <c r="H24" s="45">
        <v>13.1</v>
      </c>
      <c r="I24" s="45">
        <v>13.1</v>
      </c>
      <c r="J24" s="45">
        <v>13.1</v>
      </c>
      <c r="K24" s="45">
        <v>13.1</v>
      </c>
      <c r="L24" s="45">
        <v>13.1</v>
      </c>
      <c r="M24" s="45">
        <v>13.1</v>
      </c>
      <c r="N24" s="45">
        <v>13.1</v>
      </c>
      <c r="O24" s="45">
        <v>13.1</v>
      </c>
      <c r="P24" s="45">
        <v>13.1</v>
      </c>
      <c r="Q24" s="45">
        <v>13.1</v>
      </c>
      <c r="R24" s="45">
        <v>13.1</v>
      </c>
      <c r="S24" s="45">
        <v>13.1</v>
      </c>
      <c r="T24" s="45">
        <v>13.1</v>
      </c>
      <c r="U24" s="45">
        <v>13.1</v>
      </c>
      <c r="V24" s="45">
        <v>13.1</v>
      </c>
      <c r="W24" s="45">
        <v>11.4</v>
      </c>
      <c r="X24" s="45">
        <v>11.4</v>
      </c>
      <c r="Y24" s="45">
        <v>11.4</v>
      </c>
      <c r="Z24" s="45">
        <v>11.4</v>
      </c>
      <c r="AA24" s="45">
        <v>11.4</v>
      </c>
      <c r="AB24" s="45">
        <v>11.4</v>
      </c>
      <c r="AC24" s="45">
        <v>11.4</v>
      </c>
      <c r="AD24" s="45">
        <v>11.4</v>
      </c>
      <c r="AE24" s="45">
        <v>11.4</v>
      </c>
      <c r="AF24" s="45">
        <v>11.4</v>
      </c>
      <c r="AG24" s="49">
        <v>25</v>
      </c>
      <c r="AH24" s="47">
        <f t="shared" si="2"/>
        <v>13.1</v>
      </c>
      <c r="AI24" s="48">
        <f t="shared" si="3"/>
        <v>11.4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9.5</v>
      </c>
      <c r="C26" s="45">
        <v>9.5</v>
      </c>
      <c r="D26" s="45">
        <v>9.5</v>
      </c>
      <c r="E26" s="45">
        <v>9.5</v>
      </c>
      <c r="F26" s="45">
        <v>9.5</v>
      </c>
      <c r="G26" s="45">
        <v>9.5</v>
      </c>
      <c r="H26" s="45">
        <v>9.5</v>
      </c>
      <c r="I26" s="45">
        <v>9.5</v>
      </c>
      <c r="J26" s="45">
        <v>9.5</v>
      </c>
      <c r="K26" s="45">
        <v>9.5</v>
      </c>
      <c r="L26" s="45">
        <v>9.5</v>
      </c>
      <c r="M26" s="45">
        <v>9.5</v>
      </c>
      <c r="N26" s="45">
        <v>9.5</v>
      </c>
      <c r="O26" s="45">
        <v>9.5</v>
      </c>
      <c r="P26" s="45">
        <v>9.5</v>
      </c>
      <c r="Q26" s="45">
        <v>9.5</v>
      </c>
      <c r="R26" s="45">
        <v>9.5</v>
      </c>
      <c r="S26" s="45">
        <v>9.5</v>
      </c>
      <c r="T26" s="45">
        <v>9.5</v>
      </c>
      <c r="U26" s="45">
        <v>9.5</v>
      </c>
      <c r="V26" s="45">
        <v>9.5</v>
      </c>
      <c r="W26" s="45">
        <v>9.5</v>
      </c>
      <c r="X26" s="45">
        <v>9.5</v>
      </c>
      <c r="Y26" s="45">
        <v>9.5</v>
      </c>
      <c r="Z26" s="45">
        <v>9.5</v>
      </c>
      <c r="AA26" s="45">
        <v>9.5</v>
      </c>
      <c r="AB26" s="45">
        <v>9.5</v>
      </c>
      <c r="AC26" s="45">
        <v>9.5</v>
      </c>
      <c r="AD26" s="45">
        <v>9.5</v>
      </c>
      <c r="AE26" s="45">
        <v>9.5</v>
      </c>
      <c r="AF26" s="45">
        <v>9.5</v>
      </c>
      <c r="AG26" s="49">
        <v>25</v>
      </c>
      <c r="AH26" s="47">
        <f t="shared" si="2"/>
        <v>9.5</v>
      </c>
      <c r="AI26" s="48">
        <f t="shared" si="3"/>
        <v>9.5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11.9</v>
      </c>
      <c r="C27" s="45">
        <v>11.9</v>
      </c>
      <c r="D27" s="45">
        <v>11.9</v>
      </c>
      <c r="E27" s="45">
        <v>11.9</v>
      </c>
      <c r="F27" s="45">
        <v>11.9</v>
      </c>
      <c r="G27" s="45">
        <v>11.9</v>
      </c>
      <c r="H27" s="45">
        <v>11.9</v>
      </c>
      <c r="I27" s="45">
        <v>11.9</v>
      </c>
      <c r="J27" s="45">
        <v>11.9</v>
      </c>
      <c r="K27" s="45">
        <v>11.9</v>
      </c>
      <c r="L27" s="45">
        <v>11.9</v>
      </c>
      <c r="M27" s="45">
        <v>11.9</v>
      </c>
      <c r="N27" s="45">
        <v>11.9</v>
      </c>
      <c r="O27" s="45">
        <v>11.9</v>
      </c>
      <c r="P27" s="45">
        <v>11.9</v>
      </c>
      <c r="Q27" s="45">
        <v>11.9</v>
      </c>
      <c r="R27" s="45">
        <v>11.9</v>
      </c>
      <c r="S27" s="45">
        <v>11.9</v>
      </c>
      <c r="T27" s="45">
        <v>11.9</v>
      </c>
      <c r="U27" s="45">
        <v>11.9</v>
      </c>
      <c r="V27" s="45">
        <v>11.9</v>
      </c>
      <c r="W27" s="45">
        <v>11.9</v>
      </c>
      <c r="X27" s="45">
        <v>11.9</v>
      </c>
      <c r="Y27" s="45">
        <v>11.9</v>
      </c>
      <c r="Z27" s="45">
        <v>11.9</v>
      </c>
      <c r="AA27" s="45">
        <v>11.9</v>
      </c>
      <c r="AB27" s="45">
        <v>11.9</v>
      </c>
      <c r="AC27" s="45">
        <v>11.9</v>
      </c>
      <c r="AD27" s="45">
        <v>11.9</v>
      </c>
      <c r="AE27" s="45">
        <v>11.9</v>
      </c>
      <c r="AF27" s="45">
        <v>11.9</v>
      </c>
      <c r="AG27" s="49">
        <v>25</v>
      </c>
      <c r="AH27" s="47">
        <f t="shared" si="2"/>
        <v>11.9</v>
      </c>
      <c r="AI27" s="48">
        <f t="shared" si="3"/>
        <v>11.9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11.2</v>
      </c>
      <c r="C28" s="45">
        <v>11.2</v>
      </c>
      <c r="D28" s="45">
        <v>11.2</v>
      </c>
      <c r="E28" s="45">
        <v>11.2</v>
      </c>
      <c r="F28" s="45">
        <v>11.2</v>
      </c>
      <c r="G28" s="45">
        <v>11.2</v>
      </c>
      <c r="H28" s="45">
        <v>11.2</v>
      </c>
      <c r="I28" s="45">
        <v>11.2</v>
      </c>
      <c r="J28" s="45">
        <v>11.2</v>
      </c>
      <c r="K28" s="45">
        <v>11.2</v>
      </c>
      <c r="L28" s="45">
        <v>11.2</v>
      </c>
      <c r="M28" s="45">
        <v>11.2</v>
      </c>
      <c r="N28" s="45">
        <v>11.2</v>
      </c>
      <c r="O28" s="45">
        <v>11.2</v>
      </c>
      <c r="P28" s="45">
        <v>11.2</v>
      </c>
      <c r="Q28" s="45">
        <v>11.2</v>
      </c>
      <c r="R28" s="45">
        <v>11.2</v>
      </c>
      <c r="S28" s="45">
        <v>11.2</v>
      </c>
      <c r="T28" s="45">
        <v>11.2</v>
      </c>
      <c r="U28" s="45">
        <v>11.2</v>
      </c>
      <c r="V28" s="45">
        <v>11.2</v>
      </c>
      <c r="W28" s="45">
        <v>11.2</v>
      </c>
      <c r="X28" s="45">
        <v>11.2</v>
      </c>
      <c r="Y28" s="45">
        <v>11.2</v>
      </c>
      <c r="Z28" s="45">
        <v>11.2</v>
      </c>
      <c r="AA28" s="45">
        <v>11.2</v>
      </c>
      <c r="AB28" s="45">
        <v>11.2</v>
      </c>
      <c r="AC28" s="45">
        <v>11.2</v>
      </c>
      <c r="AD28" s="45">
        <v>11.2</v>
      </c>
      <c r="AE28" s="45">
        <v>11.2</v>
      </c>
      <c r="AF28" s="45">
        <v>11.2</v>
      </c>
      <c r="AG28" s="49">
        <v>23.5</v>
      </c>
      <c r="AH28" s="47">
        <f t="shared" si="2"/>
        <v>11.2</v>
      </c>
      <c r="AI28" s="48">
        <f t="shared" si="3"/>
        <v>11.2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49">
        <v>22.2</v>
      </c>
      <c r="AH29" s="47">
        <f t="shared" si="2"/>
        <v>6</v>
      </c>
      <c r="AI29" s="48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49">
        <v>22</v>
      </c>
      <c r="AH32" s="47">
        <f t="shared" si="2"/>
        <v>8</v>
      </c>
      <c r="AI32" s="48">
        <f t="shared" si="3"/>
        <v>8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8.6999999999999993</v>
      </c>
      <c r="C33" s="45">
        <v>8.6999999999999993</v>
      </c>
      <c r="D33" s="45">
        <v>8.6999999999999993</v>
      </c>
      <c r="E33" s="45">
        <v>8.6999999999999993</v>
      </c>
      <c r="F33" s="45">
        <v>8.6999999999999993</v>
      </c>
      <c r="G33" s="45">
        <v>8.6999999999999993</v>
      </c>
      <c r="H33" s="45">
        <v>8.6999999999999993</v>
      </c>
      <c r="I33" s="45">
        <v>8.6999999999999993</v>
      </c>
      <c r="J33" s="45">
        <v>8.6999999999999993</v>
      </c>
      <c r="K33" s="45">
        <v>8.6999999999999993</v>
      </c>
      <c r="L33" s="45">
        <v>8.6999999999999993</v>
      </c>
      <c r="M33" s="45">
        <v>8.6999999999999993</v>
      </c>
      <c r="N33" s="45">
        <v>8.6999999999999993</v>
      </c>
      <c r="O33" s="45">
        <v>8.6999999999999993</v>
      </c>
      <c r="P33" s="45">
        <v>8.6999999999999993</v>
      </c>
      <c r="Q33" s="45">
        <v>8.6999999999999993</v>
      </c>
      <c r="R33" s="45">
        <v>8.6999999999999993</v>
      </c>
      <c r="S33" s="45">
        <v>8.6999999999999993</v>
      </c>
      <c r="T33" s="45">
        <v>8.6999999999999993</v>
      </c>
      <c r="U33" s="45">
        <v>8.6999999999999993</v>
      </c>
      <c r="V33" s="45">
        <v>8.6999999999999993</v>
      </c>
      <c r="W33" s="45">
        <v>8.6999999999999993</v>
      </c>
      <c r="X33" s="45">
        <v>8.6999999999999993</v>
      </c>
      <c r="Y33" s="45">
        <v>8.6999999999999993</v>
      </c>
      <c r="Z33" s="45">
        <v>8.6999999999999993</v>
      </c>
      <c r="AA33" s="45">
        <v>8.6999999999999993</v>
      </c>
      <c r="AB33" s="45">
        <v>8.6999999999999993</v>
      </c>
      <c r="AC33" s="45">
        <v>8.6999999999999993</v>
      </c>
      <c r="AD33" s="45">
        <v>8.6999999999999993</v>
      </c>
      <c r="AE33" s="45">
        <v>8.6999999999999993</v>
      </c>
      <c r="AF33" s="45">
        <v>8.6999999999999993</v>
      </c>
      <c r="AG33" s="49">
        <v>20</v>
      </c>
      <c r="AH33" s="47">
        <f t="shared" si="2"/>
        <v>8.6999999999999993</v>
      </c>
      <c r="AI33" s="48">
        <f t="shared" si="3"/>
        <v>8.6999999999999993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49">
        <v>18</v>
      </c>
      <c r="AH34" s="47">
        <f t="shared" si="2"/>
        <v>6</v>
      </c>
      <c r="AI34" s="48">
        <f t="shared" si="3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8.1999999999999993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5.8</v>
      </c>
      <c r="C45" s="45">
        <v>5.8</v>
      </c>
      <c r="D45" s="45">
        <v>5.8</v>
      </c>
      <c r="E45" s="45">
        <v>5.8</v>
      </c>
      <c r="F45" s="45">
        <v>5.8</v>
      </c>
      <c r="G45" s="45">
        <v>5.8</v>
      </c>
      <c r="H45" s="45">
        <v>5.8</v>
      </c>
      <c r="I45" s="45">
        <v>5.8</v>
      </c>
      <c r="J45" s="45">
        <v>5.8</v>
      </c>
      <c r="K45" s="45">
        <v>5.8</v>
      </c>
      <c r="L45" s="45">
        <v>5.8</v>
      </c>
      <c r="M45" s="45">
        <v>5.8</v>
      </c>
      <c r="N45" s="45">
        <v>5.8</v>
      </c>
      <c r="O45" s="45">
        <v>5.8</v>
      </c>
      <c r="P45" s="45">
        <v>0.5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5">
        <v>10</v>
      </c>
      <c r="AH45" s="47">
        <f t="shared" si="2"/>
        <v>5.8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6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250</v>
      </c>
      <c r="C48" s="57">
        <v>250</v>
      </c>
      <c r="D48" s="57">
        <v>250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250</v>
      </c>
      <c r="N48" s="57">
        <v>250</v>
      </c>
      <c r="O48" s="57">
        <v>250</v>
      </c>
      <c r="P48" s="57">
        <v>250</v>
      </c>
      <c r="Q48" s="57">
        <v>250</v>
      </c>
      <c r="R48" s="57">
        <v>250</v>
      </c>
      <c r="S48" s="57">
        <v>250</v>
      </c>
      <c r="T48" s="57">
        <v>250</v>
      </c>
      <c r="U48" s="57">
        <v>250</v>
      </c>
      <c r="V48" s="57">
        <v>250</v>
      </c>
      <c r="W48" s="57">
        <v>250</v>
      </c>
      <c r="X48" s="57">
        <v>250</v>
      </c>
      <c r="Y48" s="57">
        <v>250</v>
      </c>
      <c r="Z48" s="57">
        <v>250</v>
      </c>
      <c r="AA48" s="57">
        <v>250</v>
      </c>
      <c r="AB48" s="57">
        <v>250</v>
      </c>
      <c r="AC48" s="57">
        <v>250</v>
      </c>
      <c r="AD48" s="57">
        <v>250</v>
      </c>
      <c r="AE48" s="57">
        <v>250</v>
      </c>
      <c r="AF48" s="57">
        <v>250</v>
      </c>
      <c r="AG48" s="55">
        <v>85</v>
      </c>
      <c r="AH48" s="47">
        <f t="shared" si="2"/>
        <v>250</v>
      </c>
      <c r="AI48" s="48">
        <f t="shared" si="3"/>
        <v>250</v>
      </c>
      <c r="AK48" s="50"/>
    </row>
    <row r="49" spans="1:41" ht="15.75" thickBot="1" x14ac:dyDescent="0.3">
      <c r="A49" s="58" t="s">
        <v>57</v>
      </c>
      <c r="B49" s="57">
        <v>34</v>
      </c>
      <c r="C49" s="57">
        <v>34</v>
      </c>
      <c r="D49" s="57">
        <v>34</v>
      </c>
      <c r="E49" s="51">
        <f>9.5+26.8</f>
        <v>36.299999999999997</v>
      </c>
      <c r="F49" s="51">
        <v>36</v>
      </c>
      <c r="G49" s="51">
        <f>9.7+27.2</f>
        <v>36.9</v>
      </c>
      <c r="H49" s="51">
        <v>36.9</v>
      </c>
      <c r="I49" s="51">
        <v>36.9</v>
      </c>
      <c r="J49" s="51">
        <v>36.9</v>
      </c>
      <c r="K49" s="51">
        <f>9.2+26.4</f>
        <v>35.599999999999994</v>
      </c>
      <c r="L49" s="51">
        <f>9.1+26.6</f>
        <v>35.700000000000003</v>
      </c>
      <c r="M49" s="51">
        <f>25.9+8.7</f>
        <v>34.599999999999994</v>
      </c>
      <c r="N49" s="51">
        <f>25.9+8.7</f>
        <v>34.599999999999994</v>
      </c>
      <c r="O49" s="51">
        <f>23.7+8.9</f>
        <v>32.6</v>
      </c>
      <c r="P49" s="51">
        <f>23.7+8.9</f>
        <v>32.6</v>
      </c>
      <c r="Q49" s="51">
        <f t="shared" ref="Q49:S49" si="4">23.7+8.9</f>
        <v>32.6</v>
      </c>
      <c r="R49" s="51">
        <f t="shared" si="4"/>
        <v>32.6</v>
      </c>
      <c r="S49" s="51">
        <f t="shared" si="4"/>
        <v>32.6</v>
      </c>
      <c r="T49" s="51">
        <f>9.4+28.3</f>
        <v>37.700000000000003</v>
      </c>
      <c r="U49" s="51">
        <f>9.3+27.3</f>
        <v>36.6</v>
      </c>
      <c r="V49" s="51">
        <f>9.3+27.3</f>
        <v>36.6</v>
      </c>
      <c r="W49" s="51">
        <v>31.3</v>
      </c>
      <c r="X49" s="51">
        <v>31.3</v>
      </c>
      <c r="Y49" s="51">
        <v>31.3</v>
      </c>
      <c r="Z49" s="51">
        <v>31.3</v>
      </c>
      <c r="AA49" s="51">
        <v>31.3</v>
      </c>
      <c r="AB49" s="51">
        <v>31.3</v>
      </c>
      <c r="AC49" s="51">
        <v>31.3</v>
      </c>
      <c r="AD49" s="51">
        <v>31.3</v>
      </c>
      <c r="AE49" s="51">
        <v>31.3</v>
      </c>
      <c r="AF49" s="51">
        <v>31.3</v>
      </c>
      <c r="AG49" s="55">
        <v>240</v>
      </c>
      <c r="AH49" s="47">
        <f t="shared" si="2"/>
        <v>37.700000000000003</v>
      </c>
      <c r="AI49" s="48">
        <f t="shared" si="3"/>
        <v>31.3</v>
      </c>
      <c r="AK49" s="50"/>
    </row>
    <row r="50" spans="1:41" ht="15.75" thickBot="1" x14ac:dyDescent="0.3">
      <c r="A50" s="59" t="s">
        <v>58</v>
      </c>
      <c r="B50" s="60">
        <f t="shared" ref="B50:AA50" si="5">SUM(B11:B48)</f>
        <v>665.5</v>
      </c>
      <c r="C50" s="60">
        <f t="shared" si="5"/>
        <v>665.5</v>
      </c>
      <c r="D50" s="60">
        <f t="shared" si="5"/>
        <v>665.5</v>
      </c>
      <c r="E50" s="60">
        <f t="shared" si="5"/>
        <v>665.5</v>
      </c>
      <c r="F50" s="60">
        <f t="shared" si="5"/>
        <v>665.5</v>
      </c>
      <c r="G50" s="60">
        <f t="shared" si="5"/>
        <v>665.5</v>
      </c>
      <c r="H50" s="60">
        <f t="shared" si="5"/>
        <v>665.5</v>
      </c>
      <c r="I50" s="60">
        <f t="shared" si="5"/>
        <v>665.5</v>
      </c>
      <c r="J50" s="60">
        <f t="shared" si="5"/>
        <v>662.3</v>
      </c>
      <c r="K50" s="60">
        <f t="shared" si="5"/>
        <v>662.3</v>
      </c>
      <c r="L50" s="60">
        <f t="shared" si="5"/>
        <v>665</v>
      </c>
      <c r="M50" s="60">
        <f t="shared" si="5"/>
        <v>662.9</v>
      </c>
      <c r="N50" s="60">
        <f t="shared" si="5"/>
        <v>662.9</v>
      </c>
      <c r="O50" s="60">
        <f t="shared" si="5"/>
        <v>662.3</v>
      </c>
      <c r="P50" s="60">
        <f t="shared" ref="P50" si="6">SUM(P11:P48)</f>
        <v>655.7</v>
      </c>
      <c r="Q50" s="60">
        <f t="shared" si="5"/>
        <v>657</v>
      </c>
      <c r="R50" s="60">
        <f t="shared" si="5"/>
        <v>657</v>
      </c>
      <c r="S50" s="60">
        <f t="shared" si="5"/>
        <v>656.4</v>
      </c>
      <c r="T50" s="60">
        <f t="shared" si="5"/>
        <v>656.4</v>
      </c>
      <c r="U50" s="60">
        <f t="shared" si="5"/>
        <v>656.4</v>
      </c>
      <c r="V50" s="60">
        <f t="shared" si="5"/>
        <v>655.9</v>
      </c>
      <c r="W50" s="60">
        <f t="shared" si="5"/>
        <v>666.49999999999989</v>
      </c>
      <c r="X50" s="60">
        <f t="shared" ref="X50" si="7">SUM(X11:X48)</f>
        <v>666.49999999999989</v>
      </c>
      <c r="Y50" s="60">
        <f t="shared" si="5"/>
        <v>666.49999999999989</v>
      </c>
      <c r="Z50" s="60">
        <f t="shared" si="5"/>
        <v>666.49999999999989</v>
      </c>
      <c r="AA50" s="60">
        <f t="shared" si="5"/>
        <v>666.49999999999989</v>
      </c>
      <c r="AB50" s="60">
        <f t="shared" ref="AB50:AC50" si="8">SUM(AB11:AB48)</f>
        <v>642.79999999999995</v>
      </c>
      <c r="AC50" s="60">
        <f t="shared" si="8"/>
        <v>642.79999999999995</v>
      </c>
      <c r="AD50" s="60">
        <f t="shared" ref="AD50:AE50" si="9">SUM(AD11:AD48)</f>
        <v>642.79999999999995</v>
      </c>
      <c r="AE50" s="60">
        <f t="shared" si="9"/>
        <v>665.39999999999986</v>
      </c>
      <c r="AF50" s="60">
        <f t="shared" ref="AF50" si="10">SUM(AF11:AF48)</f>
        <v>665.39999999999986</v>
      </c>
      <c r="AG50" s="61">
        <f>SUM(AG13:AG48)</f>
        <v>922.14</v>
      </c>
      <c r="AH50" s="47">
        <f t="shared" si="2"/>
        <v>666.49999999999989</v>
      </c>
      <c r="AI50" s="48">
        <f t="shared" si="3"/>
        <v>642.79999999999995</v>
      </c>
      <c r="AK50" s="50"/>
    </row>
    <row r="51" spans="1:41" x14ac:dyDescent="0.25">
      <c r="A51" s="62" t="s">
        <v>59</v>
      </c>
      <c r="B51" s="45">
        <v>0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30</v>
      </c>
      <c r="I51" s="45">
        <v>70</v>
      </c>
      <c r="J51" s="45">
        <v>120</v>
      </c>
      <c r="K51" s="45">
        <v>230</v>
      </c>
      <c r="L51" s="45">
        <v>370</v>
      </c>
      <c r="M51" s="45">
        <v>380</v>
      </c>
      <c r="N51" s="45">
        <v>380</v>
      </c>
      <c r="O51" s="63">
        <v>230</v>
      </c>
      <c r="P51" s="63">
        <v>70</v>
      </c>
      <c r="Q51" s="63">
        <v>0</v>
      </c>
      <c r="R51" s="63">
        <v>0</v>
      </c>
      <c r="S51" s="45">
        <v>0</v>
      </c>
      <c r="T51" s="45">
        <v>0</v>
      </c>
      <c r="U51" s="45">
        <v>25</v>
      </c>
      <c r="V51" s="45">
        <v>120</v>
      </c>
      <c r="W51" s="45">
        <v>350</v>
      </c>
      <c r="X51" s="45">
        <v>380</v>
      </c>
      <c r="Y51" s="45">
        <v>380</v>
      </c>
      <c r="Z51" s="45">
        <v>270</v>
      </c>
      <c r="AA51" s="45">
        <v>290</v>
      </c>
      <c r="AB51" s="45">
        <v>130</v>
      </c>
      <c r="AC51" s="45">
        <v>100</v>
      </c>
      <c r="AD51" s="45">
        <v>90</v>
      </c>
      <c r="AE51" s="45">
        <v>0</v>
      </c>
      <c r="AF51" s="45">
        <v>0</v>
      </c>
      <c r="AG51" s="52">
        <v>456</v>
      </c>
      <c r="AH51" s="47">
        <f t="shared" si="2"/>
        <v>380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42</v>
      </c>
      <c r="N52" s="65">
        <v>42</v>
      </c>
      <c r="O52" s="65">
        <v>42</v>
      </c>
      <c r="P52" s="65">
        <v>42</v>
      </c>
      <c r="Q52" s="65">
        <v>42</v>
      </c>
      <c r="R52" s="65">
        <v>42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5">
        <v>60</v>
      </c>
      <c r="AH52" s="47">
        <f t="shared" si="2"/>
        <v>42</v>
      </c>
      <c r="AI52" s="48">
        <f t="shared" si="3"/>
        <v>42</v>
      </c>
      <c r="AK52" s="50"/>
    </row>
    <row r="53" spans="1:41" ht="15.75" thickBot="1" x14ac:dyDescent="0.3">
      <c r="A53" s="66" t="s">
        <v>61</v>
      </c>
      <c r="B53" s="67">
        <v>14</v>
      </c>
      <c r="C53" s="67">
        <v>14</v>
      </c>
      <c r="D53" s="67">
        <v>14</v>
      </c>
      <c r="E53" s="67">
        <v>14.2</v>
      </c>
      <c r="F53" s="67">
        <v>14.2</v>
      </c>
      <c r="G53" s="67">
        <v>14.1</v>
      </c>
      <c r="H53" s="67">
        <v>14.1</v>
      </c>
      <c r="I53" s="67">
        <v>14.1</v>
      </c>
      <c r="J53" s="67">
        <v>20.100000000000001</v>
      </c>
      <c r="K53" s="67">
        <v>20.100000000000001</v>
      </c>
      <c r="L53" s="67">
        <v>20.100000000000001</v>
      </c>
      <c r="M53" s="67">
        <v>15.1</v>
      </c>
      <c r="N53" s="67">
        <v>15.1</v>
      </c>
      <c r="O53" s="67">
        <v>15.1</v>
      </c>
      <c r="P53" s="67">
        <v>15.1</v>
      </c>
      <c r="Q53" s="67">
        <v>15.2</v>
      </c>
      <c r="R53" s="67">
        <v>15.2</v>
      </c>
      <c r="S53" s="67">
        <v>12.1</v>
      </c>
      <c r="T53" s="67">
        <v>12.2</v>
      </c>
      <c r="U53" s="67">
        <v>12.1</v>
      </c>
      <c r="V53" s="67">
        <v>12.2</v>
      </c>
      <c r="W53" s="67">
        <v>12.2</v>
      </c>
      <c r="X53" s="67">
        <v>20</v>
      </c>
      <c r="Y53" s="67">
        <v>20</v>
      </c>
      <c r="Z53" s="67">
        <v>20</v>
      </c>
      <c r="AA53" s="67">
        <v>20</v>
      </c>
      <c r="AB53" s="67">
        <v>20</v>
      </c>
      <c r="AC53" s="67">
        <v>20</v>
      </c>
      <c r="AD53" s="67">
        <v>20</v>
      </c>
      <c r="AE53" s="67">
        <v>20</v>
      </c>
      <c r="AF53" s="67">
        <v>20</v>
      </c>
      <c r="AG53" s="68">
        <v>22.1</v>
      </c>
      <c r="AH53" s="47">
        <f t="shared" si="2"/>
        <v>20.100000000000001</v>
      </c>
      <c r="AI53" s="48">
        <f t="shared" si="3"/>
        <v>12.1</v>
      </c>
      <c r="AK53" s="50"/>
    </row>
    <row r="54" spans="1:41" ht="15.75" thickBot="1" x14ac:dyDescent="0.3">
      <c r="A54" s="69" t="s">
        <v>62</v>
      </c>
      <c r="B54" s="60">
        <f t="shared" ref="B54:AG54" si="11">SUM(B51:B53)</f>
        <v>56</v>
      </c>
      <c r="C54" s="60">
        <f t="shared" si="11"/>
        <v>56</v>
      </c>
      <c r="D54" s="60">
        <f t="shared" si="11"/>
        <v>56</v>
      </c>
      <c r="E54" s="60">
        <f t="shared" si="11"/>
        <v>56.2</v>
      </c>
      <c r="F54" s="60">
        <f t="shared" si="11"/>
        <v>56.2</v>
      </c>
      <c r="G54" s="60">
        <f t="shared" si="11"/>
        <v>56.1</v>
      </c>
      <c r="H54" s="60">
        <f t="shared" si="11"/>
        <v>86.1</v>
      </c>
      <c r="I54" s="60">
        <f t="shared" si="11"/>
        <v>126.1</v>
      </c>
      <c r="J54" s="60">
        <f t="shared" si="11"/>
        <v>182.1</v>
      </c>
      <c r="K54" s="60">
        <f t="shared" si="11"/>
        <v>292.10000000000002</v>
      </c>
      <c r="L54" s="60">
        <f t="shared" si="11"/>
        <v>432.1</v>
      </c>
      <c r="M54" s="60">
        <f t="shared" si="11"/>
        <v>437.1</v>
      </c>
      <c r="N54" s="60">
        <f t="shared" si="11"/>
        <v>437.1</v>
      </c>
      <c r="O54" s="60">
        <f t="shared" si="11"/>
        <v>287.10000000000002</v>
      </c>
      <c r="P54" s="60">
        <f t="shared" si="11"/>
        <v>127.1</v>
      </c>
      <c r="Q54" s="60">
        <f t="shared" si="11"/>
        <v>57.2</v>
      </c>
      <c r="R54" s="60">
        <f t="shared" si="11"/>
        <v>57.2</v>
      </c>
      <c r="S54" s="60">
        <f t="shared" si="11"/>
        <v>54.1</v>
      </c>
      <c r="T54" s="60">
        <f t="shared" si="11"/>
        <v>54.2</v>
      </c>
      <c r="U54" s="60">
        <f t="shared" si="11"/>
        <v>79.099999999999994</v>
      </c>
      <c r="V54" s="60">
        <f t="shared" si="11"/>
        <v>174.2</v>
      </c>
      <c r="W54" s="60">
        <f t="shared" si="11"/>
        <v>404.2</v>
      </c>
      <c r="X54" s="60">
        <f t="shared" ref="X54" si="12">SUM(X51:X53)</f>
        <v>442</v>
      </c>
      <c r="Y54" s="60">
        <f t="shared" si="11"/>
        <v>442</v>
      </c>
      <c r="Z54" s="60">
        <f t="shared" si="11"/>
        <v>332</v>
      </c>
      <c r="AA54" s="60">
        <f t="shared" si="11"/>
        <v>352</v>
      </c>
      <c r="AB54" s="60">
        <f t="shared" ref="AB54:AC54" si="13">SUM(AB51:AB53)</f>
        <v>192</v>
      </c>
      <c r="AC54" s="60">
        <f t="shared" si="13"/>
        <v>162</v>
      </c>
      <c r="AD54" s="60">
        <f t="shared" ref="AD54:AE54" si="14">SUM(AD51:AD53)</f>
        <v>152</v>
      </c>
      <c r="AE54" s="60">
        <f t="shared" si="14"/>
        <v>62</v>
      </c>
      <c r="AF54" s="60">
        <f t="shared" ref="AF54" si="15">SUM(AF51:AF53)</f>
        <v>62</v>
      </c>
      <c r="AG54" s="61">
        <f t="shared" si="11"/>
        <v>538.1</v>
      </c>
      <c r="AH54" s="47">
        <f t="shared" si="2"/>
        <v>442</v>
      </c>
      <c r="AI54" s="48">
        <f t="shared" si="3"/>
        <v>54.1</v>
      </c>
      <c r="AK54" s="50"/>
    </row>
    <row r="55" spans="1:41" x14ac:dyDescent="0.25">
      <c r="A55" s="44" t="s">
        <v>63</v>
      </c>
      <c r="B55" s="45">
        <v>0</v>
      </c>
      <c r="C55" s="45">
        <v>0</v>
      </c>
      <c r="D55" s="45">
        <v>0</v>
      </c>
      <c r="E55" s="45">
        <v>0</v>
      </c>
      <c r="F55" s="45">
        <v>40.5</v>
      </c>
      <c r="G55" s="45">
        <v>80</v>
      </c>
      <c r="H55" s="45">
        <v>120</v>
      </c>
      <c r="I55" s="45">
        <v>92</v>
      </c>
      <c r="J55" s="45">
        <v>122.2</v>
      </c>
      <c r="K55" s="45">
        <v>146.1</v>
      </c>
      <c r="L55" s="45">
        <v>145.5</v>
      </c>
      <c r="M55" s="45">
        <v>145.5</v>
      </c>
      <c r="N55" s="45">
        <v>145</v>
      </c>
      <c r="O55" s="45">
        <v>122.5</v>
      </c>
      <c r="P55" s="45">
        <v>102</v>
      </c>
      <c r="Q55" s="45">
        <v>70</v>
      </c>
      <c r="R55" s="45">
        <v>71</v>
      </c>
      <c r="S55" s="45">
        <v>97.8</v>
      </c>
      <c r="T55" s="45">
        <v>47.8</v>
      </c>
      <c r="U55" s="45">
        <v>47</v>
      </c>
      <c r="V55" s="45">
        <v>65</v>
      </c>
      <c r="W55" s="45">
        <v>146.30000000000001</v>
      </c>
      <c r="X55" s="45">
        <v>146.30000000000001</v>
      </c>
      <c r="Y55" s="45">
        <v>146.30000000000001</v>
      </c>
      <c r="Z55" s="45">
        <v>146.30000000000001</v>
      </c>
      <c r="AA55" s="45">
        <v>146.30000000000001</v>
      </c>
      <c r="AB55" s="45">
        <v>146.30000000000001</v>
      </c>
      <c r="AC55" s="45">
        <v>130</v>
      </c>
      <c r="AD55" s="45">
        <v>105</v>
      </c>
      <c r="AE55" s="45">
        <v>70</v>
      </c>
      <c r="AF55" s="45">
        <v>30</v>
      </c>
      <c r="AG55" s="52">
        <v>144</v>
      </c>
      <c r="AH55" s="47">
        <f t="shared" si="2"/>
        <v>146.30000000000001</v>
      </c>
      <c r="AI55" s="48">
        <f t="shared" si="3"/>
        <v>0</v>
      </c>
      <c r="AK55" s="50"/>
    </row>
    <row r="56" spans="1:41" x14ac:dyDescent="0.25">
      <c r="A56" s="54" t="s">
        <v>64</v>
      </c>
      <c r="B56" s="65">
        <v>0</v>
      </c>
      <c r="C56" s="65">
        <v>25</v>
      </c>
      <c r="D56" s="65">
        <v>25</v>
      </c>
      <c r="E56" s="65">
        <v>0</v>
      </c>
      <c r="F56" s="65">
        <v>0</v>
      </c>
      <c r="G56" s="65">
        <v>0</v>
      </c>
      <c r="H56" s="65">
        <v>36.6</v>
      </c>
      <c r="I56" s="65">
        <v>47.7</v>
      </c>
      <c r="J56" s="65">
        <v>67.5</v>
      </c>
      <c r="K56" s="65">
        <v>68.8</v>
      </c>
      <c r="L56" s="65">
        <v>70.8</v>
      </c>
      <c r="M56" s="65">
        <v>68.3</v>
      </c>
      <c r="N56" s="65">
        <v>71.400000000000006</v>
      </c>
      <c r="O56" s="65">
        <v>70.599999999999994</v>
      </c>
      <c r="P56" s="65">
        <v>70.2</v>
      </c>
      <c r="Q56" s="65">
        <v>45</v>
      </c>
      <c r="R56" s="65">
        <v>25</v>
      </c>
      <c r="S56" s="45">
        <v>35</v>
      </c>
      <c r="T56" s="45">
        <v>0</v>
      </c>
      <c r="U56" s="45">
        <v>0</v>
      </c>
      <c r="V56" s="45">
        <v>67.3</v>
      </c>
      <c r="W56" s="45">
        <v>70.2</v>
      </c>
      <c r="X56" s="45">
        <v>70.2</v>
      </c>
      <c r="Y56" s="45">
        <v>70.2</v>
      </c>
      <c r="Z56" s="45">
        <v>70.2</v>
      </c>
      <c r="AA56" s="45">
        <v>70.2</v>
      </c>
      <c r="AB56" s="45">
        <v>70.2</v>
      </c>
      <c r="AC56" s="45">
        <v>61</v>
      </c>
      <c r="AD56" s="45">
        <v>60</v>
      </c>
      <c r="AE56" s="45">
        <v>35</v>
      </c>
      <c r="AF56" s="45">
        <v>0</v>
      </c>
      <c r="AG56" s="55">
        <v>70</v>
      </c>
      <c r="AH56" s="47">
        <f t="shared" si="2"/>
        <v>71.400000000000006</v>
      </c>
      <c r="AI56" s="48">
        <f t="shared" si="3"/>
        <v>0</v>
      </c>
      <c r="AK56" s="50"/>
    </row>
    <row r="57" spans="1:41" x14ac:dyDescent="0.25">
      <c r="A57" s="54" t="s">
        <v>65</v>
      </c>
      <c r="B57" s="65">
        <v>33</v>
      </c>
      <c r="C57" s="65">
        <v>48</v>
      </c>
      <c r="D57" s="65">
        <v>32</v>
      </c>
      <c r="E57" s="65">
        <v>33.299999999999997</v>
      </c>
      <c r="F57" s="65">
        <v>33.700000000000003</v>
      </c>
      <c r="G57" s="65">
        <v>33.200000000000003</v>
      </c>
      <c r="H57" s="65">
        <v>45</v>
      </c>
      <c r="I57" s="65">
        <v>32.4</v>
      </c>
      <c r="J57" s="65">
        <v>47.4</v>
      </c>
      <c r="K57" s="65">
        <v>46.4</v>
      </c>
      <c r="L57" s="65">
        <v>54.6</v>
      </c>
      <c r="M57" s="65">
        <v>68.599999999999994</v>
      </c>
      <c r="N57" s="65">
        <v>68.099999999999994</v>
      </c>
      <c r="O57" s="65">
        <v>55</v>
      </c>
      <c r="P57" s="65">
        <v>35.700000000000003</v>
      </c>
      <c r="Q57" s="65">
        <v>45.7</v>
      </c>
      <c r="R57" s="65">
        <v>22.8</v>
      </c>
      <c r="S57" s="45">
        <v>22.2</v>
      </c>
      <c r="T57" s="45">
        <v>47</v>
      </c>
      <c r="U57" s="45">
        <v>53.6</v>
      </c>
      <c r="V57" s="45">
        <v>54.7</v>
      </c>
      <c r="W57" s="45">
        <v>69</v>
      </c>
      <c r="X57" s="45">
        <v>69</v>
      </c>
      <c r="Y57" s="45">
        <v>69</v>
      </c>
      <c r="Z57" s="45">
        <v>69</v>
      </c>
      <c r="AA57" s="45">
        <v>69</v>
      </c>
      <c r="AB57" s="45">
        <v>69</v>
      </c>
      <c r="AC57" s="45">
        <v>61</v>
      </c>
      <c r="AD57" s="45">
        <v>64</v>
      </c>
      <c r="AE57" s="45">
        <v>55</v>
      </c>
      <c r="AF57" s="45">
        <v>32</v>
      </c>
      <c r="AG57" s="55">
        <v>69</v>
      </c>
      <c r="AH57" s="47">
        <f t="shared" si="2"/>
        <v>69</v>
      </c>
      <c r="AI57" s="48">
        <f t="shared" si="3"/>
        <v>22.2</v>
      </c>
      <c r="AK57" s="50"/>
    </row>
    <row r="58" spans="1:41" x14ac:dyDescent="0.25">
      <c r="A58" s="54" t="s">
        <v>66</v>
      </c>
      <c r="B58" s="65">
        <v>58.5</v>
      </c>
      <c r="C58" s="65">
        <v>58.5</v>
      </c>
      <c r="D58" s="65">
        <v>58.5</v>
      </c>
      <c r="E58" s="65">
        <v>56.2</v>
      </c>
      <c r="F58" s="57">
        <v>56.2</v>
      </c>
      <c r="G58" s="57">
        <v>56.2</v>
      </c>
      <c r="H58" s="57">
        <v>56.4</v>
      </c>
      <c r="I58" s="57">
        <v>56.4</v>
      </c>
      <c r="J58" s="57">
        <v>56.2</v>
      </c>
      <c r="K58" s="57">
        <v>57.9</v>
      </c>
      <c r="L58" s="57">
        <v>57.9</v>
      </c>
      <c r="M58" s="57">
        <v>57.9</v>
      </c>
      <c r="N58" s="65">
        <v>56.4</v>
      </c>
      <c r="O58" s="65">
        <v>60</v>
      </c>
      <c r="P58" s="65">
        <v>56.4</v>
      </c>
      <c r="Q58" s="65">
        <v>56.2</v>
      </c>
      <c r="R58" s="65">
        <v>56.2</v>
      </c>
      <c r="S58" s="45">
        <v>56.2</v>
      </c>
      <c r="T58" s="45">
        <v>54.9</v>
      </c>
      <c r="U58" s="45">
        <v>54.6</v>
      </c>
      <c r="V58" s="45">
        <v>52.6</v>
      </c>
      <c r="W58" s="45">
        <v>55.2</v>
      </c>
      <c r="X58" s="45">
        <v>52.6</v>
      </c>
      <c r="Y58" s="45">
        <v>52.6</v>
      </c>
      <c r="Z58" s="45">
        <v>52.6</v>
      </c>
      <c r="AA58" s="45">
        <v>52.6</v>
      </c>
      <c r="AB58" s="45">
        <v>52.6</v>
      </c>
      <c r="AC58" s="45">
        <v>52.6</v>
      </c>
      <c r="AD58" s="45">
        <v>52.6</v>
      </c>
      <c r="AE58" s="45">
        <v>52.6</v>
      </c>
      <c r="AF58" s="45">
        <v>52.6</v>
      </c>
      <c r="AG58" s="55">
        <v>60</v>
      </c>
      <c r="AH58" s="47">
        <f t="shared" si="2"/>
        <v>60</v>
      </c>
      <c r="AI58" s="48">
        <f t="shared" si="3"/>
        <v>52.6</v>
      </c>
      <c r="AK58" s="50"/>
    </row>
    <row r="59" spans="1:41" x14ac:dyDescent="0.25">
      <c r="A59" s="54" t="s">
        <v>67</v>
      </c>
      <c r="B59" s="65">
        <v>0</v>
      </c>
      <c r="C59" s="65">
        <v>0</v>
      </c>
      <c r="D59" s="65">
        <v>0</v>
      </c>
      <c r="E59" s="65">
        <v>0</v>
      </c>
      <c r="F59" s="57">
        <v>0</v>
      </c>
      <c r="G59" s="57">
        <v>10</v>
      </c>
      <c r="H59" s="57">
        <v>15</v>
      </c>
      <c r="I59" s="57">
        <v>10</v>
      </c>
      <c r="J59" s="57">
        <v>10</v>
      </c>
      <c r="K59" s="57">
        <v>23</v>
      </c>
      <c r="L59" s="57">
        <v>23</v>
      </c>
      <c r="M59" s="57">
        <v>23</v>
      </c>
      <c r="N59" s="65">
        <v>23</v>
      </c>
      <c r="O59" s="65">
        <v>13</v>
      </c>
      <c r="P59" s="65">
        <v>15</v>
      </c>
      <c r="Q59" s="65">
        <v>0</v>
      </c>
      <c r="R59" s="65">
        <v>0</v>
      </c>
      <c r="S59" s="65">
        <v>0</v>
      </c>
      <c r="T59" s="45">
        <v>0</v>
      </c>
      <c r="U59" s="45">
        <v>0</v>
      </c>
      <c r="V59" s="45">
        <v>13</v>
      </c>
      <c r="W59" s="45">
        <v>27</v>
      </c>
      <c r="X59" s="45">
        <v>29</v>
      </c>
      <c r="Y59" s="45">
        <v>29</v>
      </c>
      <c r="Z59" s="45">
        <v>29</v>
      </c>
      <c r="AA59" s="45">
        <v>29</v>
      </c>
      <c r="AB59" s="45">
        <v>11</v>
      </c>
      <c r="AC59" s="45">
        <v>0</v>
      </c>
      <c r="AD59" s="45">
        <v>0</v>
      </c>
      <c r="AE59" s="45">
        <v>0</v>
      </c>
      <c r="AF59" s="45">
        <v>10</v>
      </c>
      <c r="AG59" s="55">
        <v>30</v>
      </c>
      <c r="AH59" s="47">
        <f t="shared" si="2"/>
        <v>29</v>
      </c>
      <c r="AI59" s="48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0.4</v>
      </c>
      <c r="M60" s="65">
        <v>1.2</v>
      </c>
      <c r="N60" s="65">
        <v>2.5</v>
      </c>
      <c r="O60" s="65">
        <v>6.3</v>
      </c>
      <c r="P60" s="65">
        <v>14.8</v>
      </c>
      <c r="Q60" s="65">
        <v>15.4</v>
      </c>
      <c r="R60" s="65">
        <v>15.4</v>
      </c>
      <c r="S60" s="65">
        <v>13.2</v>
      </c>
      <c r="T60" s="65">
        <v>12</v>
      </c>
      <c r="U60" s="65">
        <v>6</v>
      </c>
      <c r="V60" s="45">
        <v>0.2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5">
        <v>25</v>
      </c>
      <c r="AH60" s="47">
        <f t="shared" si="2"/>
        <v>15.4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16.5</v>
      </c>
      <c r="C61" s="65">
        <v>16.5</v>
      </c>
      <c r="D61" s="65">
        <v>16.5</v>
      </c>
      <c r="E61" s="65">
        <v>16.5</v>
      </c>
      <c r="F61" s="65">
        <v>16.5</v>
      </c>
      <c r="G61" s="65">
        <v>16.5</v>
      </c>
      <c r="H61" s="65">
        <v>16.5</v>
      </c>
      <c r="I61" s="65">
        <v>16.5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16.5</v>
      </c>
      <c r="AI61" s="48">
        <f t="shared" si="3"/>
        <v>16</v>
      </c>
      <c r="AK61" s="50"/>
    </row>
    <row r="62" spans="1:41" x14ac:dyDescent="0.25">
      <c r="A62" s="54" t="s">
        <v>70</v>
      </c>
      <c r="B62" s="65">
        <v>1</v>
      </c>
      <c r="C62" s="65">
        <v>1</v>
      </c>
      <c r="D62" s="65">
        <v>1</v>
      </c>
      <c r="E62" s="65">
        <v>1</v>
      </c>
      <c r="F62" s="65">
        <v>1</v>
      </c>
      <c r="G62" s="65">
        <v>1</v>
      </c>
      <c r="H62" s="65">
        <v>1</v>
      </c>
      <c r="I62" s="65">
        <v>1</v>
      </c>
      <c r="J62" s="65">
        <v>1</v>
      </c>
      <c r="K62" s="65">
        <v>1</v>
      </c>
      <c r="L62" s="65">
        <v>2</v>
      </c>
      <c r="M62" s="65">
        <v>2</v>
      </c>
      <c r="N62" s="65">
        <v>2</v>
      </c>
      <c r="O62" s="65">
        <v>2</v>
      </c>
      <c r="P62" s="65">
        <v>2</v>
      </c>
      <c r="Q62" s="65">
        <v>2</v>
      </c>
      <c r="R62" s="65">
        <v>2</v>
      </c>
      <c r="S62" s="65">
        <v>2</v>
      </c>
      <c r="T62" s="65">
        <v>2</v>
      </c>
      <c r="U62" s="65">
        <v>2</v>
      </c>
      <c r="V62" s="65">
        <v>2</v>
      </c>
      <c r="W62" s="65">
        <v>2</v>
      </c>
      <c r="X62" s="65">
        <v>2</v>
      </c>
      <c r="Y62" s="65">
        <v>2</v>
      </c>
      <c r="Z62" s="65">
        <v>2</v>
      </c>
      <c r="AA62" s="65">
        <v>2</v>
      </c>
      <c r="AB62" s="65">
        <v>2</v>
      </c>
      <c r="AC62" s="65">
        <v>2</v>
      </c>
      <c r="AD62" s="65">
        <v>2</v>
      </c>
      <c r="AE62" s="65">
        <v>2</v>
      </c>
      <c r="AF62" s="65">
        <v>2</v>
      </c>
      <c r="AG62" s="55">
        <v>15</v>
      </c>
      <c r="AH62" s="47">
        <f t="shared" si="2"/>
        <v>2</v>
      </c>
      <c r="AI62" s="48">
        <f t="shared" si="3"/>
        <v>1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12.8</v>
      </c>
      <c r="C63" s="65">
        <v>12.8</v>
      </c>
      <c r="D63" s="65">
        <v>12.8</v>
      </c>
      <c r="E63" s="65">
        <v>13</v>
      </c>
      <c r="F63" s="65">
        <v>13</v>
      </c>
      <c r="G63" s="65">
        <v>13</v>
      </c>
      <c r="H63" s="65">
        <v>13</v>
      </c>
      <c r="I63" s="65">
        <v>13</v>
      </c>
      <c r="J63" s="65">
        <v>12.6</v>
      </c>
      <c r="K63" s="65">
        <v>12</v>
      </c>
      <c r="L63" s="65">
        <v>12</v>
      </c>
      <c r="M63" s="65">
        <v>12</v>
      </c>
      <c r="N63" s="65">
        <v>11.6</v>
      </c>
      <c r="O63" s="65">
        <v>11.6</v>
      </c>
      <c r="P63" s="65">
        <v>11.6</v>
      </c>
      <c r="Q63" s="65">
        <v>11.6</v>
      </c>
      <c r="R63" s="65">
        <v>11.6</v>
      </c>
      <c r="S63" s="65">
        <v>11.6</v>
      </c>
      <c r="T63" s="65">
        <v>11.6</v>
      </c>
      <c r="U63" s="65">
        <v>11.6</v>
      </c>
      <c r="V63" s="65">
        <v>12.8</v>
      </c>
      <c r="W63" s="65">
        <v>12.8</v>
      </c>
      <c r="X63" s="65">
        <v>9.3000000000000007</v>
      </c>
      <c r="Y63" s="65">
        <v>9.3000000000000007</v>
      </c>
      <c r="Z63" s="65">
        <v>9.3000000000000007</v>
      </c>
      <c r="AA63" s="65">
        <v>9.3000000000000007</v>
      </c>
      <c r="AB63" s="65">
        <v>9.3000000000000007</v>
      </c>
      <c r="AC63" s="65">
        <v>9.3000000000000007</v>
      </c>
      <c r="AD63" s="65">
        <v>9.3000000000000007</v>
      </c>
      <c r="AE63" s="65">
        <v>9.3000000000000007</v>
      </c>
      <c r="AF63" s="65">
        <v>9.3000000000000007</v>
      </c>
      <c r="AG63" s="55">
        <v>14.1</v>
      </c>
      <c r="AH63" s="47">
        <f t="shared" si="2"/>
        <v>13</v>
      </c>
      <c r="AI63" s="48">
        <f t="shared" si="3"/>
        <v>9.3000000000000007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6.5</v>
      </c>
      <c r="C64" s="65">
        <v>6.5</v>
      </c>
      <c r="D64" s="65">
        <v>6.5</v>
      </c>
      <c r="E64" s="65">
        <v>6.4</v>
      </c>
      <c r="F64" s="65">
        <v>6.4</v>
      </c>
      <c r="G64" s="65">
        <v>6.4</v>
      </c>
      <c r="H64" s="65">
        <v>6.4</v>
      </c>
      <c r="I64" s="65">
        <v>6.4</v>
      </c>
      <c r="J64" s="65">
        <v>5.2</v>
      </c>
      <c r="K64" s="65">
        <v>5.0999999999999996</v>
      </c>
      <c r="L64" s="65">
        <v>5.0999999999999996</v>
      </c>
      <c r="M64" s="65">
        <v>5.0999999999999996</v>
      </c>
      <c r="N64" s="65">
        <v>5.0999999999999996</v>
      </c>
      <c r="O64" s="65">
        <v>5.0999999999999996</v>
      </c>
      <c r="P64" s="65">
        <v>5.0999999999999996</v>
      </c>
      <c r="Q64" s="65">
        <v>5.0999999999999996</v>
      </c>
      <c r="R64" s="65">
        <v>5.0999999999999996</v>
      </c>
      <c r="S64" s="65">
        <v>5.0999999999999996</v>
      </c>
      <c r="T64" s="65">
        <v>5.0999999999999996</v>
      </c>
      <c r="U64" s="65">
        <v>5.0999999999999996</v>
      </c>
      <c r="V64" s="65">
        <v>5.7</v>
      </c>
      <c r="W64" s="65">
        <v>5.7</v>
      </c>
      <c r="X64" s="65">
        <v>5.7</v>
      </c>
      <c r="Y64" s="65">
        <v>5.7</v>
      </c>
      <c r="Z64" s="65">
        <v>5.7</v>
      </c>
      <c r="AA64" s="65">
        <v>5.7</v>
      </c>
      <c r="AB64" s="65">
        <v>5.7</v>
      </c>
      <c r="AC64" s="65">
        <v>5.7</v>
      </c>
      <c r="AD64" s="65">
        <v>5.7</v>
      </c>
      <c r="AE64" s="65">
        <v>5.7</v>
      </c>
      <c r="AF64" s="65">
        <v>5.7</v>
      </c>
      <c r="AG64" s="55">
        <v>14</v>
      </c>
      <c r="AH64" s="47">
        <f t="shared" si="2"/>
        <v>6.5</v>
      </c>
      <c r="AI64" s="48">
        <f t="shared" si="3"/>
        <v>5.0999999999999996</v>
      </c>
      <c r="AK64" s="50"/>
    </row>
    <row r="65" spans="1:40" x14ac:dyDescent="0.25">
      <c r="A65" s="54" t="s">
        <v>73</v>
      </c>
      <c r="B65" s="65">
        <v>5</v>
      </c>
      <c r="C65" s="65">
        <v>5</v>
      </c>
      <c r="D65" s="65">
        <v>5</v>
      </c>
      <c r="E65" s="65">
        <v>5</v>
      </c>
      <c r="F65" s="65">
        <v>5</v>
      </c>
      <c r="G65" s="65">
        <v>5</v>
      </c>
      <c r="H65" s="65">
        <v>5</v>
      </c>
      <c r="I65" s="65">
        <v>5</v>
      </c>
      <c r="J65" s="65">
        <v>5</v>
      </c>
      <c r="K65" s="65">
        <v>5</v>
      </c>
      <c r="L65" s="65">
        <v>5</v>
      </c>
      <c r="M65" s="65">
        <v>5</v>
      </c>
      <c r="N65" s="65">
        <v>5</v>
      </c>
      <c r="O65" s="65">
        <v>5</v>
      </c>
      <c r="P65" s="65">
        <v>5</v>
      </c>
      <c r="Q65" s="65">
        <v>5</v>
      </c>
      <c r="R65" s="65">
        <v>5</v>
      </c>
      <c r="S65" s="65">
        <v>5</v>
      </c>
      <c r="T65" s="65">
        <v>5</v>
      </c>
      <c r="U65" s="65">
        <v>5</v>
      </c>
      <c r="V65" s="65">
        <v>5</v>
      </c>
      <c r="W65" s="65">
        <v>5</v>
      </c>
      <c r="X65" s="65">
        <v>5</v>
      </c>
      <c r="Y65" s="65">
        <v>5</v>
      </c>
      <c r="Z65" s="65">
        <v>5</v>
      </c>
      <c r="AA65" s="65">
        <v>5</v>
      </c>
      <c r="AB65" s="65">
        <v>5</v>
      </c>
      <c r="AC65" s="65">
        <v>5</v>
      </c>
      <c r="AD65" s="65">
        <v>5</v>
      </c>
      <c r="AE65" s="65">
        <v>5</v>
      </c>
      <c r="AF65" s="65">
        <v>5</v>
      </c>
      <c r="AG65" s="55">
        <v>10.050000000000001</v>
      </c>
      <c r="AH65" s="47">
        <f t="shared" si="2"/>
        <v>5</v>
      </c>
      <c r="AI65" s="48">
        <f t="shared" si="3"/>
        <v>5</v>
      </c>
      <c r="AK65" s="50"/>
    </row>
    <row r="66" spans="1:40" x14ac:dyDescent="0.25">
      <c r="A66" s="54" t="s">
        <v>74</v>
      </c>
      <c r="B66" s="65">
        <v>2.5</v>
      </c>
      <c r="C66" s="65">
        <v>2.5</v>
      </c>
      <c r="D66" s="65">
        <v>2.5</v>
      </c>
      <c r="E66" s="65">
        <v>2.5</v>
      </c>
      <c r="F66" s="65">
        <v>2.5</v>
      </c>
      <c r="G66" s="65">
        <v>2.5</v>
      </c>
      <c r="H66" s="65">
        <v>2.5</v>
      </c>
      <c r="I66" s="65">
        <v>2.5</v>
      </c>
      <c r="J66" s="65">
        <v>2.5</v>
      </c>
      <c r="K66" s="65">
        <v>2.5</v>
      </c>
      <c r="L66" s="65">
        <v>2.5</v>
      </c>
      <c r="M66" s="65">
        <v>2.5</v>
      </c>
      <c r="N66" s="65">
        <v>2.5</v>
      </c>
      <c r="O66" s="65">
        <v>2.5</v>
      </c>
      <c r="P66" s="65">
        <v>2.5</v>
      </c>
      <c r="Q66" s="65">
        <v>2.5</v>
      </c>
      <c r="R66" s="65">
        <v>2.5</v>
      </c>
      <c r="S66" s="65">
        <v>2.5</v>
      </c>
      <c r="T66" s="65">
        <v>2.5</v>
      </c>
      <c r="U66" s="65">
        <v>2.5</v>
      </c>
      <c r="V66" s="65">
        <v>2.5</v>
      </c>
      <c r="W66" s="65">
        <v>2.5</v>
      </c>
      <c r="X66" s="65">
        <v>2.5</v>
      </c>
      <c r="Y66" s="65">
        <v>2.5</v>
      </c>
      <c r="Z66" s="65">
        <v>2.5</v>
      </c>
      <c r="AA66" s="65">
        <v>2.5</v>
      </c>
      <c r="AB66" s="65">
        <v>2.5</v>
      </c>
      <c r="AC66" s="65">
        <v>2.5</v>
      </c>
      <c r="AD66" s="65">
        <v>2.5</v>
      </c>
      <c r="AE66" s="65">
        <v>2.5</v>
      </c>
      <c r="AF66" s="65">
        <v>2.5</v>
      </c>
      <c r="AG66" s="55">
        <v>6.2</v>
      </c>
      <c r="AH66" s="47">
        <f t="shared" si="2"/>
        <v>2.5</v>
      </c>
      <c r="AI66" s="48">
        <f t="shared" si="3"/>
        <v>2.5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4" t="s">
        <v>76</v>
      </c>
      <c r="B68" s="60">
        <f t="shared" ref="B68:AG68" si="16">SUM(B55:B67)</f>
        <v>139.34</v>
      </c>
      <c r="C68" s="60">
        <f t="shared" si="16"/>
        <v>179.34</v>
      </c>
      <c r="D68" s="60">
        <f t="shared" si="16"/>
        <v>163.34</v>
      </c>
      <c r="E68" s="60">
        <f t="shared" si="16"/>
        <v>137.44</v>
      </c>
      <c r="F68" s="60">
        <f t="shared" si="16"/>
        <v>178.34</v>
      </c>
      <c r="G68" s="60">
        <f t="shared" si="16"/>
        <v>227.34</v>
      </c>
      <c r="H68" s="60">
        <f t="shared" si="16"/>
        <v>320.94</v>
      </c>
      <c r="I68" s="60">
        <f t="shared" si="16"/>
        <v>286.44</v>
      </c>
      <c r="J68" s="60">
        <f t="shared" si="16"/>
        <v>349.14000000000004</v>
      </c>
      <c r="K68" s="60">
        <f t="shared" si="16"/>
        <v>387.34</v>
      </c>
      <c r="L68" s="60">
        <f t="shared" si="16"/>
        <v>398.34000000000003</v>
      </c>
      <c r="M68" s="60">
        <f t="shared" si="16"/>
        <v>410.64</v>
      </c>
      <c r="N68" s="60">
        <f t="shared" si="16"/>
        <v>412.14000000000004</v>
      </c>
      <c r="O68" s="60">
        <f t="shared" si="16"/>
        <v>373.1400000000001</v>
      </c>
      <c r="P68" s="60">
        <f t="shared" si="16"/>
        <v>339.84000000000003</v>
      </c>
      <c r="Q68" s="60">
        <f t="shared" si="16"/>
        <v>278.04000000000002</v>
      </c>
      <c r="R68" s="60">
        <f t="shared" si="16"/>
        <v>236.14</v>
      </c>
      <c r="S68" s="60">
        <f t="shared" si="16"/>
        <v>270.14</v>
      </c>
      <c r="T68" s="60">
        <f t="shared" si="16"/>
        <v>207.43999999999997</v>
      </c>
      <c r="U68" s="60">
        <f t="shared" si="16"/>
        <v>206.93999999999997</v>
      </c>
      <c r="V68" s="60">
        <f t="shared" si="16"/>
        <v>300.33999999999997</v>
      </c>
      <c r="W68" s="60">
        <f t="shared" si="16"/>
        <v>415.24</v>
      </c>
      <c r="X68" s="60">
        <f>SUM(X55:X67)</f>
        <v>411.14000000000004</v>
      </c>
      <c r="Y68" s="60">
        <f t="shared" si="16"/>
        <v>411.14000000000004</v>
      </c>
      <c r="Z68" s="60">
        <f t="shared" si="16"/>
        <v>411.14000000000004</v>
      </c>
      <c r="AA68" s="60">
        <f t="shared" si="16"/>
        <v>411.14000000000004</v>
      </c>
      <c r="AB68" s="60">
        <f t="shared" ref="AB68:AC68" si="17">SUM(AB55:AB67)</f>
        <v>393.14000000000004</v>
      </c>
      <c r="AC68" s="60">
        <f t="shared" si="17"/>
        <v>348.64000000000004</v>
      </c>
      <c r="AD68" s="60">
        <f t="shared" ref="AD68:AE68" si="18">SUM(AD55:AD67)</f>
        <v>325.64000000000004</v>
      </c>
      <c r="AE68" s="60">
        <f t="shared" si="18"/>
        <v>256.64</v>
      </c>
      <c r="AF68" s="60">
        <f t="shared" ref="AF68" si="19">SUM(AF55:AF67)</f>
        <v>168.64</v>
      </c>
      <c r="AG68" s="61">
        <f t="shared" si="16"/>
        <v>489.91</v>
      </c>
      <c r="AH68" s="47">
        <f t="shared" si="2"/>
        <v>415.24</v>
      </c>
      <c r="AI68" s="48">
        <f t="shared" si="3"/>
        <v>137.44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29.8</v>
      </c>
      <c r="N69" s="45">
        <v>0</v>
      </c>
      <c r="O69" s="45"/>
      <c r="P69" s="45"/>
      <c r="Q69" s="45"/>
      <c r="R69" s="45"/>
      <c r="S69" s="45"/>
      <c r="T69" s="45"/>
      <c r="U69" s="45"/>
      <c r="V69" s="45"/>
      <c r="W69" s="45"/>
      <c r="X69" s="45">
        <v>59.8</v>
      </c>
      <c r="Y69" s="45"/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2">
        <v>60</v>
      </c>
      <c r="AH69" s="47">
        <f t="shared" si="2"/>
        <v>59.8</v>
      </c>
      <c r="AI69" s="48">
        <f t="shared" si="3"/>
        <v>0</v>
      </c>
      <c r="AK69" s="50"/>
    </row>
    <row r="70" spans="1:40" x14ac:dyDescent="0.25">
      <c r="A70" s="54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65">
        <v>5</v>
      </c>
      <c r="K70" s="65">
        <v>0</v>
      </c>
      <c r="L70" s="65">
        <v>0</v>
      </c>
      <c r="M70" s="65">
        <v>13.3</v>
      </c>
      <c r="N70" s="65">
        <v>6.7</v>
      </c>
      <c r="O70" s="65"/>
      <c r="P70" s="65"/>
      <c r="Q70" s="65"/>
      <c r="R70" s="65"/>
      <c r="S70" s="65"/>
      <c r="T70" s="65"/>
      <c r="U70" s="65"/>
      <c r="V70" s="65"/>
      <c r="W70" s="65"/>
      <c r="X70" s="65">
        <v>22.7</v>
      </c>
      <c r="Y70" s="65"/>
      <c r="Z70" s="65">
        <v>4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55">
        <v>32</v>
      </c>
      <c r="AH70" s="47">
        <f t="shared" si="2"/>
        <v>22.7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67">
        <v>1.8</v>
      </c>
      <c r="K71" s="67">
        <v>0</v>
      </c>
      <c r="L71" s="67">
        <v>0</v>
      </c>
      <c r="M71" s="67">
        <v>4.8</v>
      </c>
      <c r="N71" s="67">
        <v>2.5</v>
      </c>
      <c r="O71" s="67"/>
      <c r="P71" s="67"/>
      <c r="Q71" s="67"/>
      <c r="R71" s="67"/>
      <c r="S71" s="67"/>
      <c r="T71" s="67"/>
      <c r="U71" s="67"/>
      <c r="V71" s="67"/>
      <c r="W71" s="67"/>
      <c r="X71" s="67">
        <v>8.3000000000000007</v>
      </c>
      <c r="Y71" s="67"/>
      <c r="Z71" s="67">
        <v>1.5</v>
      </c>
      <c r="AA71" s="67">
        <v>0</v>
      </c>
      <c r="AB71" s="67">
        <v>0</v>
      </c>
      <c r="AC71" s="67">
        <v>0</v>
      </c>
      <c r="AD71" s="67">
        <v>0</v>
      </c>
      <c r="AE71" s="67">
        <v>0</v>
      </c>
      <c r="AF71" s="67">
        <v>0</v>
      </c>
      <c r="AG71" s="68">
        <v>14</v>
      </c>
      <c r="AH71" s="47">
        <f t="shared" si="2"/>
        <v>8.3000000000000007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 t="shared" ref="B72:AA72" si="20">B69+B70+B71</f>
        <v>0</v>
      </c>
      <c r="C72" s="60">
        <f t="shared" si="20"/>
        <v>0</v>
      </c>
      <c r="D72" s="60">
        <f t="shared" si="20"/>
        <v>0</v>
      </c>
      <c r="E72" s="60">
        <f t="shared" si="20"/>
        <v>0</v>
      </c>
      <c r="F72" s="60">
        <f t="shared" si="20"/>
        <v>0</v>
      </c>
      <c r="G72" s="60">
        <f t="shared" si="20"/>
        <v>0</v>
      </c>
      <c r="H72" s="60">
        <f t="shared" si="20"/>
        <v>0</v>
      </c>
      <c r="I72" s="60">
        <f t="shared" si="20"/>
        <v>0</v>
      </c>
      <c r="J72" s="60">
        <f t="shared" si="20"/>
        <v>6.8</v>
      </c>
      <c r="K72" s="60">
        <f t="shared" si="20"/>
        <v>0</v>
      </c>
      <c r="L72" s="60">
        <f t="shared" si="20"/>
        <v>0</v>
      </c>
      <c r="M72" s="60">
        <f t="shared" si="20"/>
        <v>47.9</v>
      </c>
      <c r="N72" s="60">
        <f t="shared" si="20"/>
        <v>9.1999999999999993</v>
      </c>
      <c r="O72" s="60">
        <f t="shared" si="20"/>
        <v>0</v>
      </c>
      <c r="P72" s="60">
        <f t="shared" si="20"/>
        <v>0</v>
      </c>
      <c r="Q72" s="60">
        <f t="shared" si="20"/>
        <v>0</v>
      </c>
      <c r="R72" s="60">
        <f t="shared" si="20"/>
        <v>0</v>
      </c>
      <c r="S72" s="60">
        <f t="shared" si="20"/>
        <v>0</v>
      </c>
      <c r="T72" s="60">
        <f t="shared" si="20"/>
        <v>0</v>
      </c>
      <c r="U72" s="60">
        <f t="shared" si="20"/>
        <v>0</v>
      </c>
      <c r="V72" s="60">
        <f t="shared" si="20"/>
        <v>0</v>
      </c>
      <c r="W72" s="60">
        <f t="shared" si="20"/>
        <v>0</v>
      </c>
      <c r="X72" s="60">
        <f>X69+X70+X71</f>
        <v>90.8</v>
      </c>
      <c r="Y72" s="60">
        <f t="shared" si="20"/>
        <v>0</v>
      </c>
      <c r="Z72" s="60">
        <f t="shared" si="20"/>
        <v>5.5</v>
      </c>
      <c r="AA72" s="60">
        <f t="shared" si="20"/>
        <v>0</v>
      </c>
      <c r="AB72" s="60">
        <f t="shared" ref="AB72:AC72" si="21">AB69+AB70+AB71</f>
        <v>0</v>
      </c>
      <c r="AC72" s="60">
        <f t="shared" si="21"/>
        <v>0</v>
      </c>
      <c r="AD72" s="60">
        <f t="shared" ref="AD72:AE72" si="22">AD69+AD70+AD71</f>
        <v>0</v>
      </c>
      <c r="AE72" s="60">
        <f t="shared" si="22"/>
        <v>0</v>
      </c>
      <c r="AF72" s="60">
        <f t="shared" ref="AF72" si="23">AF69+AF70+AF71</f>
        <v>0</v>
      </c>
      <c r="AG72" s="61">
        <f>SUM(AG69:AG71)</f>
        <v>106</v>
      </c>
      <c r="AH72" s="47">
        <f t="shared" si="2"/>
        <v>90.8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30.6</v>
      </c>
      <c r="C73" s="45">
        <v>51</v>
      </c>
      <c r="D73" s="45">
        <v>40</v>
      </c>
      <c r="E73" s="45">
        <v>53.1</v>
      </c>
      <c r="F73" s="45">
        <v>35.1</v>
      </c>
      <c r="G73" s="45">
        <v>39.4</v>
      </c>
      <c r="H73" s="45">
        <v>60.4</v>
      </c>
      <c r="I73" s="45">
        <v>69</v>
      </c>
      <c r="J73" s="45">
        <v>63.4</v>
      </c>
      <c r="K73" s="45">
        <v>51.3</v>
      </c>
      <c r="L73" s="45">
        <v>61.8</v>
      </c>
      <c r="M73" s="45">
        <v>58</v>
      </c>
      <c r="N73" s="45">
        <v>59</v>
      </c>
      <c r="O73" s="45">
        <v>63</v>
      </c>
      <c r="P73" s="45">
        <v>58.1</v>
      </c>
      <c r="Q73" s="45">
        <v>25</v>
      </c>
      <c r="R73" s="45">
        <v>41</v>
      </c>
      <c r="S73" s="45">
        <v>50</v>
      </c>
      <c r="T73" s="45">
        <v>60</v>
      </c>
      <c r="U73" s="45">
        <v>63.5</v>
      </c>
      <c r="V73" s="45">
        <v>65</v>
      </c>
      <c r="W73" s="45">
        <v>59.6</v>
      </c>
      <c r="X73" s="45">
        <v>62.2</v>
      </c>
      <c r="Y73" s="45"/>
      <c r="Z73" s="45">
        <v>59.2</v>
      </c>
      <c r="AA73" s="45">
        <v>59.5</v>
      </c>
      <c r="AB73" s="45">
        <v>51</v>
      </c>
      <c r="AC73" s="45">
        <v>50</v>
      </c>
      <c r="AD73" s="45">
        <v>59</v>
      </c>
      <c r="AE73" s="45">
        <v>58</v>
      </c>
      <c r="AF73" s="45">
        <v>51</v>
      </c>
      <c r="AG73" s="52"/>
      <c r="AH73" s="47">
        <f t="shared" si="2"/>
        <v>69</v>
      </c>
      <c r="AI73" s="48">
        <f t="shared" si="3"/>
        <v>25</v>
      </c>
      <c r="AK73" s="50"/>
    </row>
    <row r="74" spans="1:40" x14ac:dyDescent="0.25">
      <c r="A74" s="54" t="s">
        <v>82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177</v>
      </c>
      <c r="C75" s="65">
        <v>68</v>
      </c>
      <c r="D75" s="65">
        <v>95</v>
      </c>
      <c r="E75" s="65">
        <v>96</v>
      </c>
      <c r="F75" s="65">
        <v>92.1</v>
      </c>
      <c r="G75" s="65">
        <v>116</v>
      </c>
      <c r="H75" s="65">
        <v>58</v>
      </c>
      <c r="I75" s="65">
        <v>138</v>
      </c>
      <c r="J75" s="65">
        <v>146.4</v>
      </c>
      <c r="K75" s="65">
        <v>117</v>
      </c>
      <c r="L75" s="65">
        <v>46</v>
      </c>
      <c r="M75" s="65">
        <v>5</v>
      </c>
      <c r="N75" s="65">
        <v>-15</v>
      </c>
      <c r="O75" s="65">
        <v>177</v>
      </c>
      <c r="P75" s="65">
        <v>190</v>
      </c>
      <c r="Q75" s="65">
        <v>258</v>
      </c>
      <c r="R75" s="65">
        <v>265</v>
      </c>
      <c r="S75" s="65">
        <v>244</v>
      </c>
      <c r="T75" s="65">
        <v>292</v>
      </c>
      <c r="U75" s="65">
        <v>295</v>
      </c>
      <c r="V75" s="65">
        <v>196</v>
      </c>
      <c r="W75" s="65">
        <v>0</v>
      </c>
      <c r="X75" s="65">
        <v>10.8</v>
      </c>
      <c r="Y75" s="65"/>
      <c r="Z75" s="65">
        <v>82</v>
      </c>
      <c r="AA75" s="65">
        <v>72.099999999999994</v>
      </c>
      <c r="AB75" s="65">
        <v>195</v>
      </c>
      <c r="AC75" s="65">
        <v>175</v>
      </c>
      <c r="AD75" s="65">
        <v>116</v>
      </c>
      <c r="AE75" s="65">
        <v>122</v>
      </c>
      <c r="AF75" s="65">
        <v>100</v>
      </c>
      <c r="AG75" s="75"/>
      <c r="AH75" s="47">
        <f t="shared" si="2"/>
        <v>295</v>
      </c>
      <c r="AI75" s="48">
        <f t="shared" si="3"/>
        <v>-15</v>
      </c>
      <c r="AK75" s="50"/>
    </row>
    <row r="76" spans="1:40" x14ac:dyDescent="0.25">
      <c r="A76" s="54" t="s">
        <v>84</v>
      </c>
      <c r="B76" s="65">
        <v>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2" si="24">MAX(B77:AF77)</f>
        <v>0</v>
      </c>
      <c r="AI77" s="48">
        <f t="shared" ref="AI77:AI122" si="25">MIN(B77:AF77)</f>
        <v>0</v>
      </c>
      <c r="AK77" s="50"/>
    </row>
    <row r="78" spans="1:40" x14ac:dyDescent="0.25">
      <c r="A78" s="54" t="s">
        <v>86</v>
      </c>
      <c r="B78" s="45">
        <v>0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24"/>
        <v>0</v>
      </c>
      <c r="AI78" s="48">
        <f t="shared" si="25"/>
        <v>0</v>
      </c>
      <c r="AK78" s="50"/>
    </row>
    <row r="79" spans="1:40" ht="15.75" thickBot="1" x14ac:dyDescent="0.3">
      <c r="A79" s="54" t="s">
        <v>87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24"/>
        <v>0</v>
      </c>
      <c r="AI79" s="48">
        <f t="shared" si="25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24"/>
        <v>0</v>
      </c>
      <c r="AI80" s="48">
        <f t="shared" si="25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24"/>
        <v>0</v>
      </c>
      <c r="AI81" s="48">
        <f t="shared" si="25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24"/>
        <v>0</v>
      </c>
      <c r="AI82" s="48">
        <f t="shared" si="25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24"/>
        <v>0</v>
      </c>
      <c r="AI83" s="48">
        <f t="shared" si="25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AA84" si="26">SUMIF(B73:B83,"&gt;0")</f>
        <v>207.6</v>
      </c>
      <c r="C84" s="60">
        <f t="shared" si="26"/>
        <v>119</v>
      </c>
      <c r="D84" s="60">
        <f t="shared" si="26"/>
        <v>135</v>
      </c>
      <c r="E84" s="60">
        <f t="shared" si="26"/>
        <v>149.1</v>
      </c>
      <c r="F84" s="60">
        <f t="shared" si="26"/>
        <v>127.19999999999999</v>
      </c>
      <c r="G84" s="60">
        <f t="shared" si="26"/>
        <v>155.4</v>
      </c>
      <c r="H84" s="60">
        <f t="shared" si="26"/>
        <v>118.4</v>
      </c>
      <c r="I84" s="60">
        <f t="shared" si="26"/>
        <v>207</v>
      </c>
      <c r="J84" s="60">
        <f t="shared" si="26"/>
        <v>209.8</v>
      </c>
      <c r="K84" s="60">
        <f t="shared" si="26"/>
        <v>168.3</v>
      </c>
      <c r="L84" s="60">
        <f t="shared" si="26"/>
        <v>107.8</v>
      </c>
      <c r="M84" s="60">
        <f t="shared" si="26"/>
        <v>63</v>
      </c>
      <c r="N84" s="60">
        <f t="shared" si="26"/>
        <v>59</v>
      </c>
      <c r="O84" s="60">
        <f t="shared" si="26"/>
        <v>240</v>
      </c>
      <c r="P84" s="60">
        <f t="shared" si="26"/>
        <v>248.1</v>
      </c>
      <c r="Q84" s="60">
        <f t="shared" si="26"/>
        <v>283</v>
      </c>
      <c r="R84" s="60">
        <f t="shared" si="26"/>
        <v>306</v>
      </c>
      <c r="S84" s="60">
        <f t="shared" si="26"/>
        <v>294</v>
      </c>
      <c r="T84" s="60">
        <f t="shared" si="26"/>
        <v>352</v>
      </c>
      <c r="U84" s="60">
        <f t="shared" si="26"/>
        <v>358.5</v>
      </c>
      <c r="V84" s="60">
        <f t="shared" si="26"/>
        <v>261</v>
      </c>
      <c r="W84" s="60">
        <f t="shared" si="26"/>
        <v>59.6</v>
      </c>
      <c r="X84" s="60">
        <f t="shared" si="26"/>
        <v>73</v>
      </c>
      <c r="Y84" s="60">
        <f t="shared" si="26"/>
        <v>0</v>
      </c>
      <c r="Z84" s="60">
        <f t="shared" si="26"/>
        <v>141.19999999999999</v>
      </c>
      <c r="AA84" s="60">
        <f t="shared" si="26"/>
        <v>131.6</v>
      </c>
      <c r="AB84" s="60">
        <f t="shared" ref="AB84:AC84" si="27">SUMIF(AB73:AB83,"&gt;0")</f>
        <v>246</v>
      </c>
      <c r="AC84" s="60">
        <f t="shared" si="27"/>
        <v>225</v>
      </c>
      <c r="AD84" s="60">
        <f t="shared" ref="AD84:AE84" si="28">SUMIF(AD73:AD83,"&gt;0")</f>
        <v>175</v>
      </c>
      <c r="AE84" s="60">
        <f t="shared" si="28"/>
        <v>180</v>
      </c>
      <c r="AF84" s="60">
        <f t="shared" ref="AF84" si="29">SUMIF(AF73:AF83,"&gt;0")</f>
        <v>151</v>
      </c>
      <c r="AG84" s="88">
        <f>SUM(AG73:AG83)</f>
        <v>0</v>
      </c>
      <c r="AH84" s="47">
        <f t="shared" si="24"/>
        <v>358.5</v>
      </c>
      <c r="AI84" s="48">
        <f t="shared" si="25"/>
        <v>0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24"/>
        <v>0</v>
      </c>
      <c r="AI85" s="48">
        <f t="shared" si="25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24"/>
        <v>0</v>
      </c>
      <c r="AI86" s="48">
        <f t="shared" si="25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24"/>
        <v>0</v>
      </c>
      <c r="AI87" s="48">
        <f t="shared" si="25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24"/>
        <v>0</v>
      </c>
      <c r="AI88" s="48">
        <f t="shared" si="25"/>
        <v>0</v>
      </c>
    </row>
    <row r="89" spans="1:40" ht="15.75" thickBot="1" x14ac:dyDescent="0.3">
      <c r="A89" s="74" t="s">
        <v>100</v>
      </c>
      <c r="B89" s="95">
        <f t="shared" ref="B89:AG89" si="30">B50+B54+B72+B68+B84+B88</f>
        <v>1068.44</v>
      </c>
      <c r="C89" s="95">
        <f t="shared" si="30"/>
        <v>1019.84</v>
      </c>
      <c r="D89" s="95">
        <f t="shared" si="30"/>
        <v>1019.84</v>
      </c>
      <c r="E89" s="95">
        <f t="shared" si="30"/>
        <v>1008.2400000000001</v>
      </c>
      <c r="F89" s="95">
        <f t="shared" si="30"/>
        <v>1027.24</v>
      </c>
      <c r="G89" s="95">
        <f t="shared" si="30"/>
        <v>1104.3400000000001</v>
      </c>
      <c r="H89" s="95">
        <f t="shared" si="30"/>
        <v>1190.94</v>
      </c>
      <c r="I89" s="95">
        <f t="shared" si="30"/>
        <v>1285.04</v>
      </c>
      <c r="J89" s="95">
        <f t="shared" si="30"/>
        <v>1410.1399999999999</v>
      </c>
      <c r="K89" s="95">
        <f t="shared" si="30"/>
        <v>1510.04</v>
      </c>
      <c r="L89" s="95">
        <f t="shared" si="30"/>
        <v>1603.24</v>
      </c>
      <c r="M89" s="95">
        <f t="shared" si="30"/>
        <v>1621.54</v>
      </c>
      <c r="N89" s="95">
        <f t="shared" si="30"/>
        <v>1580.3400000000001</v>
      </c>
      <c r="O89" s="95">
        <f t="shared" si="30"/>
        <v>1562.54</v>
      </c>
      <c r="P89" s="95">
        <f t="shared" si="30"/>
        <v>1370.74</v>
      </c>
      <c r="Q89" s="95">
        <f t="shared" si="30"/>
        <v>1275.24</v>
      </c>
      <c r="R89" s="95">
        <f t="shared" si="30"/>
        <v>1256.3400000000001</v>
      </c>
      <c r="S89" s="95">
        <f t="shared" si="30"/>
        <v>1274.6399999999999</v>
      </c>
      <c r="T89" s="95">
        <f t="shared" si="30"/>
        <v>1270.04</v>
      </c>
      <c r="U89" s="95">
        <f t="shared" si="30"/>
        <v>1300.94</v>
      </c>
      <c r="V89" s="95">
        <f t="shared" si="30"/>
        <v>1391.4399999999998</v>
      </c>
      <c r="W89" s="95">
        <f t="shared" si="30"/>
        <v>1545.5399999999997</v>
      </c>
      <c r="X89" s="95">
        <f t="shared" si="30"/>
        <v>1683.44</v>
      </c>
      <c r="Y89" s="95">
        <f t="shared" si="30"/>
        <v>1519.64</v>
      </c>
      <c r="Z89" s="95">
        <f t="shared" si="30"/>
        <v>1556.34</v>
      </c>
      <c r="AA89" s="95">
        <f t="shared" si="30"/>
        <v>1561.2399999999998</v>
      </c>
      <c r="AB89" s="95">
        <f t="shared" ref="AB89:AC89" si="31">AB50+AB54+AB72+AB68+AB84+AB88</f>
        <v>1473.94</v>
      </c>
      <c r="AC89" s="95">
        <f t="shared" si="31"/>
        <v>1378.44</v>
      </c>
      <c r="AD89" s="95">
        <f t="shared" ref="AD89:AE89" si="32">AD50+AD54+AD72+AD68+AD84+AD88</f>
        <v>1295.44</v>
      </c>
      <c r="AE89" s="95">
        <f t="shared" si="32"/>
        <v>1164.04</v>
      </c>
      <c r="AF89" s="95">
        <f t="shared" ref="AF89" si="33">AF50+AF54+AF72+AF68+AF84+AF88</f>
        <v>1047.04</v>
      </c>
      <c r="AG89" s="61">
        <f t="shared" si="30"/>
        <v>2111.5500000000002</v>
      </c>
      <c r="AH89" s="47">
        <f t="shared" si="24"/>
        <v>1683.44</v>
      </c>
      <c r="AI89" s="48">
        <f t="shared" si="25"/>
        <v>1008.2400000000001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>
        <v>70</v>
      </c>
      <c r="X90" s="97">
        <v>70</v>
      </c>
      <c r="Y90" s="97">
        <v>70</v>
      </c>
      <c r="Z90" s="97">
        <v>40</v>
      </c>
      <c r="AA90" s="97">
        <v>40</v>
      </c>
      <c r="AB90" s="97"/>
      <c r="AC90" s="97"/>
      <c r="AD90" s="97"/>
      <c r="AE90" s="97"/>
      <c r="AF90" s="97"/>
      <c r="AG90" s="88"/>
      <c r="AH90" s="47">
        <f t="shared" si="24"/>
        <v>70</v>
      </c>
      <c r="AI90" s="48">
        <f t="shared" si="25"/>
        <v>40</v>
      </c>
    </row>
    <row r="91" spans="1:40" ht="15.75" thickBot="1" x14ac:dyDescent="0.3">
      <c r="A91" s="74" t="s">
        <v>102</v>
      </c>
      <c r="B91" s="95">
        <f t="shared" ref="B91:AA91" si="34">B89+B90</f>
        <v>1068.44</v>
      </c>
      <c r="C91" s="95">
        <f t="shared" si="34"/>
        <v>1019.84</v>
      </c>
      <c r="D91" s="95">
        <f t="shared" si="34"/>
        <v>1019.84</v>
      </c>
      <c r="E91" s="95">
        <f t="shared" si="34"/>
        <v>1008.2400000000001</v>
      </c>
      <c r="F91" s="95">
        <f t="shared" si="34"/>
        <v>1027.24</v>
      </c>
      <c r="G91" s="95">
        <f t="shared" si="34"/>
        <v>1104.3400000000001</v>
      </c>
      <c r="H91" s="95">
        <f t="shared" si="34"/>
        <v>1190.94</v>
      </c>
      <c r="I91" s="95">
        <f t="shared" si="34"/>
        <v>1285.04</v>
      </c>
      <c r="J91" s="95">
        <f t="shared" si="34"/>
        <v>1410.1399999999999</v>
      </c>
      <c r="K91" s="95">
        <f t="shared" si="34"/>
        <v>1510.04</v>
      </c>
      <c r="L91" s="95">
        <f t="shared" si="34"/>
        <v>1603.24</v>
      </c>
      <c r="M91" s="95">
        <f t="shared" si="34"/>
        <v>1621.54</v>
      </c>
      <c r="N91" s="95">
        <f t="shared" si="34"/>
        <v>1580.3400000000001</v>
      </c>
      <c r="O91" s="95">
        <f t="shared" si="34"/>
        <v>1562.54</v>
      </c>
      <c r="P91" s="95">
        <f t="shared" si="34"/>
        <v>1370.74</v>
      </c>
      <c r="Q91" s="95">
        <f t="shared" si="34"/>
        <v>1275.24</v>
      </c>
      <c r="R91" s="95">
        <f t="shared" si="34"/>
        <v>1256.3400000000001</v>
      </c>
      <c r="S91" s="95">
        <f t="shared" si="34"/>
        <v>1274.6399999999999</v>
      </c>
      <c r="T91" s="95">
        <f t="shared" si="34"/>
        <v>1270.04</v>
      </c>
      <c r="U91" s="95">
        <f t="shared" si="34"/>
        <v>1300.94</v>
      </c>
      <c r="V91" s="95">
        <f t="shared" si="34"/>
        <v>1391.4399999999998</v>
      </c>
      <c r="W91" s="95">
        <f t="shared" si="34"/>
        <v>1615.5399999999997</v>
      </c>
      <c r="X91" s="95">
        <f t="shared" si="34"/>
        <v>1753.44</v>
      </c>
      <c r="Y91" s="95">
        <f t="shared" si="34"/>
        <v>1589.64</v>
      </c>
      <c r="Z91" s="95">
        <f t="shared" si="34"/>
        <v>1596.34</v>
      </c>
      <c r="AA91" s="95">
        <f t="shared" si="34"/>
        <v>1601.2399999999998</v>
      </c>
      <c r="AB91" s="95">
        <f t="shared" ref="AB91:AC91" si="35">AB89+AB90</f>
        <v>1473.94</v>
      </c>
      <c r="AC91" s="95">
        <f t="shared" si="35"/>
        <v>1378.44</v>
      </c>
      <c r="AD91" s="95">
        <f t="shared" ref="AD91:AE91" si="36">AD89+AD90</f>
        <v>1295.44</v>
      </c>
      <c r="AE91" s="95">
        <f t="shared" si="36"/>
        <v>1164.04</v>
      </c>
      <c r="AF91" s="95">
        <f t="shared" ref="AF91" si="37">AF89+AF90</f>
        <v>1047.04</v>
      </c>
      <c r="AG91" s="88">
        <f>AG88+AG84+AG72+AG68+AG50+AG90</f>
        <v>1573.45</v>
      </c>
      <c r="AH91" s="47">
        <f t="shared" si="24"/>
        <v>1753.44</v>
      </c>
      <c r="AI91" s="48">
        <f t="shared" si="25"/>
        <v>1008.2400000000001</v>
      </c>
    </row>
    <row r="92" spans="1:40" ht="15.75" thickBot="1" x14ac:dyDescent="0.3">
      <c r="A92" s="74" t="s">
        <v>103</v>
      </c>
      <c r="B92" s="95">
        <f>B91-(-B99)</f>
        <v>1068.44</v>
      </c>
      <c r="C92" s="95">
        <f t="shared" ref="C92:AA92" si="38">C91-(-C99)</f>
        <v>1019.84</v>
      </c>
      <c r="D92" s="95">
        <f t="shared" si="38"/>
        <v>1019.84</v>
      </c>
      <c r="E92" s="95">
        <f t="shared" si="38"/>
        <v>1008.2400000000001</v>
      </c>
      <c r="F92" s="95">
        <f t="shared" si="38"/>
        <v>1027.24</v>
      </c>
      <c r="G92" s="95">
        <f t="shared" si="38"/>
        <v>1104.3400000000001</v>
      </c>
      <c r="H92" s="95">
        <f t="shared" si="38"/>
        <v>1190.94</v>
      </c>
      <c r="I92" s="95">
        <f t="shared" si="38"/>
        <v>1285.04</v>
      </c>
      <c r="J92" s="95">
        <f t="shared" si="38"/>
        <v>1410.1399999999999</v>
      </c>
      <c r="K92" s="95">
        <f t="shared" si="38"/>
        <v>1510.04</v>
      </c>
      <c r="L92" s="95">
        <f t="shared" si="38"/>
        <v>1603.24</v>
      </c>
      <c r="M92" s="95">
        <f t="shared" si="38"/>
        <v>1621.54</v>
      </c>
      <c r="N92" s="95">
        <f t="shared" si="38"/>
        <v>1580.3400000000001</v>
      </c>
      <c r="O92" s="95">
        <f t="shared" si="38"/>
        <v>1562.54</v>
      </c>
      <c r="P92" s="95">
        <f t="shared" si="38"/>
        <v>1370.74</v>
      </c>
      <c r="Q92" s="95">
        <f t="shared" si="38"/>
        <v>1275.24</v>
      </c>
      <c r="R92" s="95">
        <f t="shared" si="38"/>
        <v>1256.3400000000001</v>
      </c>
      <c r="S92" s="95">
        <f t="shared" si="38"/>
        <v>1274.6399999999999</v>
      </c>
      <c r="T92" s="95">
        <f t="shared" si="38"/>
        <v>1270.04</v>
      </c>
      <c r="U92" s="95">
        <f t="shared" si="38"/>
        <v>1300.94</v>
      </c>
      <c r="V92" s="95">
        <f t="shared" si="38"/>
        <v>1391.4399999999998</v>
      </c>
      <c r="W92" s="95">
        <f t="shared" si="38"/>
        <v>1615.5399999999997</v>
      </c>
      <c r="X92" s="95">
        <f t="shared" si="38"/>
        <v>1753.44</v>
      </c>
      <c r="Y92" s="95">
        <f t="shared" si="38"/>
        <v>1589.64</v>
      </c>
      <c r="Z92" s="95">
        <f t="shared" si="38"/>
        <v>1596.34</v>
      </c>
      <c r="AA92" s="95">
        <f t="shared" si="38"/>
        <v>1601.2399999999998</v>
      </c>
      <c r="AB92" s="95">
        <f t="shared" ref="AB92:AC92" si="39">AB91-(-AB99)</f>
        <v>1473.94</v>
      </c>
      <c r="AC92" s="95">
        <f t="shared" si="39"/>
        <v>1378.44</v>
      </c>
      <c r="AD92" s="95">
        <f t="shared" ref="AD92:AE92" si="40">AD91-(-AD99)</f>
        <v>1295.44</v>
      </c>
      <c r="AE92" s="95">
        <f t="shared" si="40"/>
        <v>1164.04</v>
      </c>
      <c r="AF92" s="95">
        <f t="shared" ref="AF92" si="41">AF91-(-AF99)</f>
        <v>1047.04</v>
      </c>
      <c r="AG92" s="88"/>
      <c r="AH92" s="47">
        <f t="shared" si="24"/>
        <v>1753.44</v>
      </c>
      <c r="AI92" s="48">
        <f t="shared" si="25"/>
        <v>1008.2400000000001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24"/>
        <v>0</v>
      </c>
      <c r="AI93" s="48">
        <f t="shared" si="25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24"/>
        <v>0</v>
      </c>
      <c r="AI94" s="48">
        <f t="shared" si="25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4"/>
        <v>0</v>
      </c>
      <c r="AI95" s="48">
        <f t="shared" si="25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24"/>
        <v>0</v>
      </c>
      <c r="AI96" s="48">
        <f t="shared" si="25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24"/>
        <v>0</v>
      </c>
      <c r="AI97" s="48">
        <f t="shared" si="25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24"/>
        <v>0</v>
      </c>
      <c r="AI98" s="48">
        <f t="shared" si="25"/>
        <v>0</v>
      </c>
    </row>
    <row r="99" spans="1:37" ht="15.75" thickBot="1" x14ac:dyDescent="0.3">
      <c r="A99" s="99" t="s">
        <v>107</v>
      </c>
      <c r="B99" s="60">
        <f t="shared" ref="B99:AA99" si="42">IF(B84&lt;0,B75+B73,0)</f>
        <v>0</v>
      </c>
      <c r="C99" s="60">
        <f t="shared" si="42"/>
        <v>0</v>
      </c>
      <c r="D99" s="60">
        <f t="shared" si="42"/>
        <v>0</v>
      </c>
      <c r="E99" s="60">
        <f t="shared" si="42"/>
        <v>0</v>
      </c>
      <c r="F99" s="60">
        <f t="shared" si="42"/>
        <v>0</v>
      </c>
      <c r="G99" s="60">
        <f t="shared" si="42"/>
        <v>0</v>
      </c>
      <c r="H99" s="60">
        <f t="shared" si="42"/>
        <v>0</v>
      </c>
      <c r="I99" s="60">
        <f t="shared" si="42"/>
        <v>0</v>
      </c>
      <c r="J99" s="60">
        <f t="shared" si="42"/>
        <v>0</v>
      </c>
      <c r="K99" s="60">
        <f t="shared" si="42"/>
        <v>0</v>
      </c>
      <c r="L99" s="60">
        <f t="shared" si="42"/>
        <v>0</v>
      </c>
      <c r="M99" s="60">
        <f t="shared" si="42"/>
        <v>0</v>
      </c>
      <c r="N99" s="60">
        <f t="shared" si="42"/>
        <v>0</v>
      </c>
      <c r="O99" s="60">
        <f t="shared" si="42"/>
        <v>0</v>
      </c>
      <c r="P99" s="60">
        <f t="shared" si="42"/>
        <v>0</v>
      </c>
      <c r="Q99" s="60">
        <f t="shared" si="42"/>
        <v>0</v>
      </c>
      <c r="R99" s="60">
        <f t="shared" si="42"/>
        <v>0</v>
      </c>
      <c r="S99" s="60">
        <f t="shared" si="42"/>
        <v>0</v>
      </c>
      <c r="T99" s="60">
        <f t="shared" si="42"/>
        <v>0</v>
      </c>
      <c r="U99" s="60">
        <f t="shared" si="42"/>
        <v>0</v>
      </c>
      <c r="V99" s="60">
        <f t="shared" si="42"/>
        <v>0</v>
      </c>
      <c r="W99" s="60">
        <f t="shared" si="42"/>
        <v>0</v>
      </c>
      <c r="X99" s="60">
        <f t="shared" si="42"/>
        <v>0</v>
      </c>
      <c r="Y99" s="60">
        <f t="shared" si="42"/>
        <v>0</v>
      </c>
      <c r="Z99" s="60">
        <f t="shared" si="42"/>
        <v>0</v>
      </c>
      <c r="AA99" s="60">
        <f t="shared" si="42"/>
        <v>0</v>
      </c>
      <c r="AB99" s="60">
        <f t="shared" ref="AB99:AC99" si="43">IF(AB84&lt;0,AB75+AB73,0)</f>
        <v>0</v>
      </c>
      <c r="AC99" s="60">
        <f t="shared" si="43"/>
        <v>0</v>
      </c>
      <c r="AD99" s="60">
        <f t="shared" ref="AD99:AE99" si="44">IF(AD84&lt;0,AD75+AD73,0)</f>
        <v>0</v>
      </c>
      <c r="AE99" s="60">
        <f t="shared" si="44"/>
        <v>0</v>
      </c>
      <c r="AF99" s="60">
        <f t="shared" ref="AF99" si="45">IF(AF84&lt;0,AF75+AF73,0)</f>
        <v>0</v>
      </c>
      <c r="AG99" s="88"/>
      <c r="AH99" s="47">
        <f t="shared" si="24"/>
        <v>0</v>
      </c>
      <c r="AI99" s="48">
        <f t="shared" si="25"/>
        <v>0</v>
      </c>
      <c r="AK99" s="50"/>
    </row>
    <row r="100" spans="1:37" ht="15.75" thickBot="1" x14ac:dyDescent="0.3">
      <c r="A100" s="74" t="s">
        <v>108</v>
      </c>
      <c r="B100" s="60">
        <f t="shared" ref="B100:AA100" si="46">B84-B99</f>
        <v>207.6</v>
      </c>
      <c r="C100" s="60">
        <f t="shared" si="46"/>
        <v>119</v>
      </c>
      <c r="D100" s="60">
        <f t="shared" si="46"/>
        <v>135</v>
      </c>
      <c r="E100" s="60">
        <f t="shared" si="46"/>
        <v>149.1</v>
      </c>
      <c r="F100" s="60">
        <f t="shared" si="46"/>
        <v>127.19999999999999</v>
      </c>
      <c r="G100" s="60">
        <f t="shared" si="46"/>
        <v>155.4</v>
      </c>
      <c r="H100" s="60">
        <f t="shared" si="46"/>
        <v>118.4</v>
      </c>
      <c r="I100" s="60">
        <f t="shared" si="46"/>
        <v>207</v>
      </c>
      <c r="J100" s="60">
        <f t="shared" si="46"/>
        <v>209.8</v>
      </c>
      <c r="K100" s="60">
        <f t="shared" si="46"/>
        <v>168.3</v>
      </c>
      <c r="L100" s="60">
        <f t="shared" si="46"/>
        <v>107.8</v>
      </c>
      <c r="M100" s="60">
        <f t="shared" si="46"/>
        <v>63</v>
      </c>
      <c r="N100" s="60">
        <f t="shared" si="46"/>
        <v>59</v>
      </c>
      <c r="O100" s="60">
        <f t="shared" si="46"/>
        <v>240</v>
      </c>
      <c r="P100" s="60">
        <f t="shared" si="46"/>
        <v>248.1</v>
      </c>
      <c r="Q100" s="60">
        <f t="shared" si="46"/>
        <v>283</v>
      </c>
      <c r="R100" s="60">
        <f t="shared" si="46"/>
        <v>306</v>
      </c>
      <c r="S100" s="60">
        <f t="shared" si="46"/>
        <v>294</v>
      </c>
      <c r="T100" s="60">
        <f t="shared" si="46"/>
        <v>352</v>
      </c>
      <c r="U100" s="60">
        <f t="shared" si="46"/>
        <v>358.5</v>
      </c>
      <c r="V100" s="60">
        <f t="shared" si="46"/>
        <v>261</v>
      </c>
      <c r="W100" s="60">
        <f t="shared" si="46"/>
        <v>59.6</v>
      </c>
      <c r="X100" s="60">
        <f t="shared" si="46"/>
        <v>73</v>
      </c>
      <c r="Y100" s="60">
        <f t="shared" si="46"/>
        <v>0</v>
      </c>
      <c r="Z100" s="60">
        <f t="shared" si="46"/>
        <v>141.19999999999999</v>
      </c>
      <c r="AA100" s="60">
        <f t="shared" si="46"/>
        <v>131.6</v>
      </c>
      <c r="AB100" s="60">
        <f t="shared" ref="AB100:AC100" si="47">AB84-AB99</f>
        <v>246</v>
      </c>
      <c r="AC100" s="60">
        <f t="shared" si="47"/>
        <v>225</v>
      </c>
      <c r="AD100" s="60">
        <f t="shared" ref="AD100:AE100" si="48">AD84-AD99</f>
        <v>175</v>
      </c>
      <c r="AE100" s="60">
        <f t="shared" si="48"/>
        <v>180</v>
      </c>
      <c r="AF100" s="60">
        <f t="shared" ref="AF100" si="49">AF84-AF99</f>
        <v>151</v>
      </c>
      <c r="AG100" s="88"/>
      <c r="AH100" s="47">
        <f t="shared" si="24"/>
        <v>358.5</v>
      </c>
      <c r="AI100" s="48">
        <f t="shared" si="25"/>
        <v>0</v>
      </c>
    </row>
    <row r="101" spans="1:37" x14ac:dyDescent="0.25">
      <c r="A101" s="100" t="s">
        <v>109</v>
      </c>
      <c r="B101" s="101">
        <v>49.999000000000002</v>
      </c>
      <c r="C101" s="101">
        <v>50.02</v>
      </c>
      <c r="D101" s="101">
        <v>49.987000000000002</v>
      </c>
      <c r="E101" s="101">
        <v>49.94</v>
      </c>
      <c r="F101" s="101">
        <v>49.988</v>
      </c>
      <c r="G101" s="101">
        <v>49.99</v>
      </c>
      <c r="H101" s="101">
        <v>49.902000000000001</v>
      </c>
      <c r="I101" s="101">
        <v>50.02</v>
      </c>
      <c r="J101" s="101">
        <v>50.134999999999998</v>
      </c>
      <c r="K101" s="101">
        <v>50.036000000000001</v>
      </c>
      <c r="L101" s="101">
        <v>49.945999999999998</v>
      </c>
      <c r="M101" s="101">
        <v>49.932000000000002</v>
      </c>
      <c r="N101" s="101">
        <v>50.003999999999998</v>
      </c>
      <c r="O101" s="101">
        <v>50.055999999999997</v>
      </c>
      <c r="P101" s="101">
        <v>49.984000000000002</v>
      </c>
      <c r="Q101" s="101">
        <v>50.021999999999998</v>
      </c>
      <c r="R101" s="101">
        <v>50.045000000000002</v>
      </c>
      <c r="S101" s="101">
        <v>50</v>
      </c>
      <c r="T101" s="101">
        <v>50.055999999999997</v>
      </c>
      <c r="U101" s="101">
        <v>49.966000000000001</v>
      </c>
      <c r="V101" s="101">
        <v>49.854999999999997</v>
      </c>
      <c r="W101" s="101">
        <v>49.859000000000002</v>
      </c>
      <c r="X101" s="101">
        <v>49.779000000000003</v>
      </c>
      <c r="Y101" s="101">
        <v>49.779000000000003</v>
      </c>
      <c r="Z101" s="101">
        <v>50.054000000000002</v>
      </c>
      <c r="AA101" s="101">
        <v>49.987000000000002</v>
      </c>
      <c r="AB101" s="101">
        <v>50.05</v>
      </c>
      <c r="AC101" s="101">
        <v>49.89</v>
      </c>
      <c r="AD101" s="101">
        <v>49.93</v>
      </c>
      <c r="AE101" s="101">
        <v>49.98</v>
      </c>
      <c r="AF101" s="101">
        <v>49.96</v>
      </c>
      <c r="AG101" s="102"/>
      <c r="AH101" s="47">
        <f t="shared" si="24"/>
        <v>50.134999999999998</v>
      </c>
      <c r="AI101" s="48">
        <f t="shared" si="25"/>
        <v>49.779000000000003</v>
      </c>
    </row>
    <row r="102" spans="1:37" x14ac:dyDescent="0.25">
      <c r="A102" s="103" t="s">
        <v>110</v>
      </c>
      <c r="B102" s="65">
        <v>130.19999999999999</v>
      </c>
      <c r="C102" s="65">
        <v>131.19999999999999</v>
      </c>
      <c r="D102" s="65">
        <v>130.19999999999999</v>
      </c>
      <c r="E102" s="65">
        <v>130.80000000000001</v>
      </c>
      <c r="F102" s="65">
        <v>130.9</v>
      </c>
      <c r="G102" s="65">
        <v>129.4</v>
      </c>
      <c r="H102" s="65">
        <v>127.1</v>
      </c>
      <c r="I102" s="65">
        <v>127</v>
      </c>
      <c r="J102" s="65">
        <v>126</v>
      </c>
      <c r="K102" s="65">
        <v>124.5</v>
      </c>
      <c r="L102" s="65">
        <v>123</v>
      </c>
      <c r="M102" s="65">
        <v>125.9</v>
      </c>
      <c r="N102" s="65">
        <v>123.1</v>
      </c>
      <c r="O102" s="65">
        <v>121.4</v>
      </c>
      <c r="P102" s="65">
        <v>126.7</v>
      </c>
      <c r="Q102" s="65">
        <v>127</v>
      </c>
      <c r="R102" s="65">
        <v>125.1</v>
      </c>
      <c r="S102" s="65">
        <v>126</v>
      </c>
      <c r="T102" s="65">
        <v>126.6</v>
      </c>
      <c r="U102" s="65">
        <v>125.9</v>
      </c>
      <c r="V102" s="65">
        <v>127</v>
      </c>
      <c r="W102" s="65">
        <v>125.9</v>
      </c>
      <c r="X102" s="65">
        <v>127.9</v>
      </c>
      <c r="Y102" s="65">
        <v>127.9</v>
      </c>
      <c r="Z102" s="65">
        <v>127.7</v>
      </c>
      <c r="AA102" s="65">
        <v>126.2</v>
      </c>
      <c r="AB102" s="65">
        <v>126.2</v>
      </c>
      <c r="AC102" s="65">
        <v>126.2</v>
      </c>
      <c r="AD102" s="65">
        <v>129.6</v>
      </c>
      <c r="AE102" s="65">
        <v>129.6</v>
      </c>
      <c r="AF102" s="65">
        <v>129.6</v>
      </c>
      <c r="AG102" s="104"/>
      <c r="AH102" s="47">
        <f t="shared" si="24"/>
        <v>131.19999999999999</v>
      </c>
      <c r="AI102" s="48">
        <f t="shared" si="25"/>
        <v>121.4</v>
      </c>
    </row>
    <row r="103" spans="1:37" x14ac:dyDescent="0.25">
      <c r="A103" s="103" t="s">
        <v>111</v>
      </c>
      <c r="B103" s="65">
        <v>134</v>
      </c>
      <c r="C103" s="65">
        <v>134.80000000000001</v>
      </c>
      <c r="D103" s="65">
        <v>134.5</v>
      </c>
      <c r="E103" s="65">
        <v>134.6</v>
      </c>
      <c r="F103" s="65">
        <v>134.6</v>
      </c>
      <c r="G103" s="65">
        <v>133.30000000000001</v>
      </c>
      <c r="H103" s="65">
        <v>131.19999999999999</v>
      </c>
      <c r="I103" s="65">
        <v>130.69999999999999</v>
      </c>
      <c r="J103" s="65">
        <v>129.5</v>
      </c>
      <c r="K103" s="65">
        <v>127.8</v>
      </c>
      <c r="L103" s="65">
        <v>126.1</v>
      </c>
      <c r="M103" s="65">
        <v>128.19999999999999</v>
      </c>
      <c r="N103" s="65">
        <v>125.9</v>
      </c>
      <c r="O103" s="65">
        <v>125.1</v>
      </c>
      <c r="P103" s="65">
        <v>129.30000000000001</v>
      </c>
      <c r="Q103" s="65">
        <v>130.1</v>
      </c>
      <c r="R103" s="65">
        <v>128.5</v>
      </c>
      <c r="S103" s="65">
        <v>129.19999999999999</v>
      </c>
      <c r="T103" s="65">
        <v>130</v>
      </c>
      <c r="U103" s="65">
        <v>129.4</v>
      </c>
      <c r="V103" s="65">
        <v>129.6</v>
      </c>
      <c r="W103" s="65">
        <v>127.8</v>
      </c>
      <c r="X103" s="65">
        <v>128.9</v>
      </c>
      <c r="Y103" s="65">
        <v>128.9</v>
      </c>
      <c r="Z103" s="65">
        <v>129.19999999999999</v>
      </c>
      <c r="AA103" s="65">
        <v>128.30000000000001</v>
      </c>
      <c r="AB103" s="65">
        <v>128.30000000000001</v>
      </c>
      <c r="AC103" s="65">
        <v>128.30000000000001</v>
      </c>
      <c r="AD103" s="65">
        <v>131</v>
      </c>
      <c r="AE103" s="65">
        <v>131</v>
      </c>
      <c r="AF103" s="65">
        <v>131</v>
      </c>
      <c r="AG103" s="104"/>
      <c r="AH103" s="47">
        <f t="shared" si="24"/>
        <v>134.80000000000001</v>
      </c>
      <c r="AI103" s="48">
        <f t="shared" si="25"/>
        <v>125.1</v>
      </c>
    </row>
    <row r="104" spans="1:37" x14ac:dyDescent="0.25">
      <c r="A104" s="103" t="s">
        <v>112</v>
      </c>
      <c r="B104" s="65">
        <v>130.5</v>
      </c>
      <c r="C104" s="65">
        <v>134</v>
      </c>
      <c r="D104" s="65">
        <v>132.1</v>
      </c>
      <c r="E104" s="65">
        <v>133</v>
      </c>
      <c r="F104" s="65">
        <v>132.4</v>
      </c>
      <c r="G104" s="65">
        <v>131.80000000000001</v>
      </c>
      <c r="H104" s="65">
        <v>128.30000000000001</v>
      </c>
      <c r="I104" s="65">
        <v>129.6</v>
      </c>
      <c r="J104" s="65">
        <v>125.4</v>
      </c>
      <c r="K104" s="65">
        <v>126.3</v>
      </c>
      <c r="L104" s="65">
        <v>122.7</v>
      </c>
      <c r="M104" s="65">
        <v>126</v>
      </c>
      <c r="N104" s="65">
        <v>127.8</v>
      </c>
      <c r="O104" s="65">
        <v>127</v>
      </c>
      <c r="P104" s="65">
        <v>125.9</v>
      </c>
      <c r="Q104" s="65">
        <v>132</v>
      </c>
      <c r="R104" s="65">
        <v>130</v>
      </c>
      <c r="S104" s="65">
        <v>126.9</v>
      </c>
      <c r="T104" s="65">
        <v>129</v>
      </c>
      <c r="U104" s="65">
        <v>126.5</v>
      </c>
      <c r="V104" s="65">
        <v>127.5</v>
      </c>
      <c r="W104" s="65">
        <v>124.7</v>
      </c>
      <c r="X104" s="65">
        <v>126.3</v>
      </c>
      <c r="Y104" s="65">
        <v>126.3</v>
      </c>
      <c r="Z104" s="65">
        <v>131</v>
      </c>
      <c r="AA104" s="65">
        <v>130.5</v>
      </c>
      <c r="AB104" s="65">
        <v>130.5</v>
      </c>
      <c r="AC104" s="65">
        <v>130.5</v>
      </c>
      <c r="AD104" s="65">
        <v>130</v>
      </c>
      <c r="AE104" s="65">
        <v>130</v>
      </c>
      <c r="AF104" s="65">
        <v>130</v>
      </c>
      <c r="AG104" s="104"/>
      <c r="AH104" s="47">
        <f t="shared" si="24"/>
        <v>134</v>
      </c>
      <c r="AI104" s="48">
        <f t="shared" si="25"/>
        <v>122.7</v>
      </c>
    </row>
    <row r="105" spans="1:37" x14ac:dyDescent="0.25">
      <c r="A105" s="105" t="s">
        <v>113</v>
      </c>
      <c r="B105" s="65">
        <v>132.5</v>
      </c>
      <c r="C105" s="65">
        <v>134.69999999999999</v>
      </c>
      <c r="D105" s="65">
        <v>134.30000000000001</v>
      </c>
      <c r="E105" s="65">
        <v>134.9</v>
      </c>
      <c r="F105" s="65">
        <v>134</v>
      </c>
      <c r="G105" s="65">
        <v>133.9</v>
      </c>
      <c r="H105" s="65">
        <v>130.69999999999999</v>
      </c>
      <c r="I105" s="65">
        <v>133.30000000000001</v>
      </c>
      <c r="J105" s="65">
        <v>128.69999999999999</v>
      </c>
      <c r="K105" s="65">
        <v>129.6</v>
      </c>
      <c r="L105" s="65">
        <v>126.1</v>
      </c>
      <c r="M105" s="65">
        <v>125.9</v>
      </c>
      <c r="N105" s="65">
        <v>129.5</v>
      </c>
      <c r="O105" s="65">
        <v>128.30000000000001</v>
      </c>
      <c r="P105" s="65">
        <v>126.5</v>
      </c>
      <c r="Q105" s="65">
        <v>132</v>
      </c>
      <c r="R105" s="65">
        <v>131.30000000000001</v>
      </c>
      <c r="S105" s="65">
        <v>131.69999999999999</v>
      </c>
      <c r="T105" s="65">
        <v>130.4</v>
      </c>
      <c r="U105" s="65">
        <v>129</v>
      </c>
      <c r="V105" s="65">
        <v>129.30000000000001</v>
      </c>
      <c r="W105" s="65">
        <v>124.6</v>
      </c>
      <c r="X105" s="65">
        <v>128</v>
      </c>
      <c r="Y105" s="65">
        <v>128</v>
      </c>
      <c r="Z105" s="65">
        <v>132.19999999999999</v>
      </c>
      <c r="AA105" s="65">
        <v>133.80000000000001</v>
      </c>
      <c r="AB105" s="65">
        <v>133.80000000000001</v>
      </c>
      <c r="AC105" s="65">
        <v>133.80000000000001</v>
      </c>
      <c r="AD105" s="65">
        <v>132</v>
      </c>
      <c r="AE105" s="65">
        <v>132</v>
      </c>
      <c r="AF105" s="65">
        <v>132</v>
      </c>
      <c r="AG105" s="104"/>
      <c r="AH105" s="47">
        <f t="shared" si="24"/>
        <v>134.9</v>
      </c>
      <c r="AI105" s="48">
        <f t="shared" si="25"/>
        <v>124.6</v>
      </c>
    </row>
    <row r="106" spans="1:37" x14ac:dyDescent="0.25">
      <c r="A106" s="105" t="s">
        <v>114</v>
      </c>
      <c r="B106" s="106">
        <v>136.5</v>
      </c>
      <c r="C106" s="106">
        <v>135.80000000000001</v>
      </c>
      <c r="D106" s="106">
        <v>136.30000000000001</v>
      </c>
      <c r="E106" s="106">
        <v>136.4</v>
      </c>
      <c r="F106" s="106">
        <v>136.6</v>
      </c>
      <c r="G106" s="106">
        <v>134</v>
      </c>
      <c r="H106" s="106">
        <v>133.4</v>
      </c>
      <c r="I106" s="106">
        <v>132.4</v>
      </c>
      <c r="J106" s="106">
        <v>130.4</v>
      </c>
      <c r="K106" s="106">
        <v>132</v>
      </c>
      <c r="L106" s="106">
        <v>130.69999999999999</v>
      </c>
      <c r="M106" s="106">
        <v>134.30000000000001</v>
      </c>
      <c r="N106" s="106">
        <v>132.9</v>
      </c>
      <c r="O106" s="106">
        <v>133.6</v>
      </c>
      <c r="P106" s="106">
        <v>135.69999999999999</v>
      </c>
      <c r="Q106" s="106">
        <v>134</v>
      </c>
      <c r="R106" s="106">
        <v>130.30000000000001</v>
      </c>
      <c r="S106" s="106">
        <v>131.1</v>
      </c>
      <c r="T106" s="106">
        <v>133.6</v>
      </c>
      <c r="U106" s="106">
        <v>134.30000000000001</v>
      </c>
      <c r="V106" s="106">
        <v>134.6</v>
      </c>
      <c r="W106" s="106">
        <v>134.4</v>
      </c>
      <c r="X106" s="106">
        <v>134.69999999999999</v>
      </c>
      <c r="Y106" s="106">
        <v>134.69999999999999</v>
      </c>
      <c r="Z106" s="106">
        <v>133.5</v>
      </c>
      <c r="AA106" s="106">
        <v>133.4</v>
      </c>
      <c r="AB106" s="106">
        <v>133.4</v>
      </c>
      <c r="AC106" s="106">
        <v>133.4</v>
      </c>
      <c r="AD106" s="106">
        <v>135</v>
      </c>
      <c r="AE106" s="106">
        <v>135</v>
      </c>
      <c r="AF106" s="106">
        <v>135</v>
      </c>
      <c r="AG106" s="107"/>
      <c r="AH106" s="47">
        <f t="shared" si="24"/>
        <v>136.6</v>
      </c>
      <c r="AI106" s="48">
        <f t="shared" si="25"/>
        <v>130.30000000000001</v>
      </c>
    </row>
    <row r="107" spans="1:37" x14ac:dyDescent="0.25">
      <c r="A107" s="103" t="s">
        <v>115</v>
      </c>
      <c r="B107" s="65">
        <v>131.5</v>
      </c>
      <c r="C107" s="65">
        <v>128.6</v>
      </c>
      <c r="D107" s="65">
        <v>135.80000000000001</v>
      </c>
      <c r="E107" s="65">
        <v>133.30000000000001</v>
      </c>
      <c r="F107" s="65">
        <v>138.4</v>
      </c>
      <c r="G107" s="65">
        <v>129.1</v>
      </c>
      <c r="H107" s="65">
        <v>131.69999999999999</v>
      </c>
      <c r="I107" s="65">
        <v>134.69999999999999</v>
      </c>
      <c r="J107" s="65">
        <v>129.69999999999999</v>
      </c>
      <c r="K107" s="65">
        <v>127.7</v>
      </c>
      <c r="L107" s="65">
        <v>132.19999999999999</v>
      </c>
      <c r="M107" s="65">
        <v>126.6</v>
      </c>
      <c r="N107" s="65">
        <v>126.4</v>
      </c>
      <c r="O107" s="65">
        <v>128.9</v>
      </c>
      <c r="P107" s="65">
        <v>133.6</v>
      </c>
      <c r="Q107" s="65">
        <v>135</v>
      </c>
      <c r="R107" s="65">
        <v>135</v>
      </c>
      <c r="S107" s="65">
        <v>128.4</v>
      </c>
      <c r="T107" s="65">
        <v>130.4</v>
      </c>
      <c r="U107" s="65">
        <v>130.6</v>
      </c>
      <c r="V107" s="65">
        <v>128.4</v>
      </c>
      <c r="W107" s="65">
        <v>132.19999999999999</v>
      </c>
      <c r="X107" s="65">
        <v>133.69999999999999</v>
      </c>
      <c r="Y107" s="65">
        <v>133.69999999999999</v>
      </c>
      <c r="Z107" s="65">
        <v>133.1</v>
      </c>
      <c r="AA107" s="65">
        <v>132.30000000000001</v>
      </c>
      <c r="AB107" s="65">
        <v>132.30000000000001</v>
      </c>
      <c r="AC107" s="65">
        <v>132.30000000000001</v>
      </c>
      <c r="AD107" s="65">
        <v>138</v>
      </c>
      <c r="AE107" s="65">
        <v>138</v>
      </c>
      <c r="AF107" s="65">
        <v>138</v>
      </c>
      <c r="AG107" s="104"/>
      <c r="AH107" s="47">
        <f t="shared" si="24"/>
        <v>138.4</v>
      </c>
      <c r="AI107" s="48">
        <f t="shared" si="25"/>
        <v>126.4</v>
      </c>
    </row>
    <row r="108" spans="1:37" ht="15.75" thickBot="1" x14ac:dyDescent="0.3">
      <c r="A108" s="103" t="s">
        <v>116</v>
      </c>
      <c r="B108" s="92">
        <v>67.3</v>
      </c>
      <c r="C108" s="92">
        <v>67.7</v>
      </c>
      <c r="D108" s="92">
        <v>67.400000000000006</v>
      </c>
      <c r="E108" s="92">
        <v>64.599999999999994</v>
      </c>
      <c r="F108" s="92">
        <v>67.599999999999994</v>
      </c>
      <c r="G108" s="92">
        <v>66.7</v>
      </c>
      <c r="H108" s="92">
        <v>65.7</v>
      </c>
      <c r="I108" s="92">
        <v>65.5</v>
      </c>
      <c r="J108" s="92">
        <v>65.3</v>
      </c>
      <c r="K108" s="92">
        <v>64.2</v>
      </c>
      <c r="L108" s="92">
        <v>63.3</v>
      </c>
      <c r="M108" s="92">
        <v>64.400000000000006</v>
      </c>
      <c r="N108" s="92">
        <v>63.1</v>
      </c>
      <c r="O108" s="92">
        <v>62.8</v>
      </c>
      <c r="P108" s="92">
        <v>65</v>
      </c>
      <c r="Q108" s="92">
        <v>65.2</v>
      </c>
      <c r="R108" s="92">
        <v>65.2</v>
      </c>
      <c r="S108" s="92">
        <v>64.900000000000006</v>
      </c>
      <c r="T108" s="92">
        <v>65.2</v>
      </c>
      <c r="U108" s="92">
        <v>64.900000000000006</v>
      </c>
      <c r="V108" s="92">
        <v>65.2</v>
      </c>
      <c r="W108" s="92">
        <v>63.9</v>
      </c>
      <c r="X108" s="92">
        <v>64.5</v>
      </c>
      <c r="Y108" s="92">
        <v>64.5</v>
      </c>
      <c r="Z108" s="92">
        <v>64.7</v>
      </c>
      <c r="AA108" s="92">
        <v>64.3</v>
      </c>
      <c r="AB108" s="92">
        <v>64.3</v>
      </c>
      <c r="AC108" s="92">
        <v>64.3</v>
      </c>
      <c r="AD108" s="92">
        <v>65.8</v>
      </c>
      <c r="AE108" s="92">
        <v>65.8</v>
      </c>
      <c r="AF108" s="92">
        <v>65.8</v>
      </c>
      <c r="AG108" s="108"/>
      <c r="AH108" s="47">
        <f t="shared" si="24"/>
        <v>67.7</v>
      </c>
      <c r="AI108" s="48">
        <f t="shared" si="25"/>
        <v>62.8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117</v>
      </c>
      <c r="Y109" s="92" t="s">
        <v>117</v>
      </c>
      <c r="Z109" s="92"/>
      <c r="AA109" s="92"/>
      <c r="AB109" s="92"/>
      <c r="AC109" s="92"/>
      <c r="AD109" s="92"/>
      <c r="AE109" s="92"/>
      <c r="AF109" s="92"/>
      <c r="AG109" s="108"/>
      <c r="AH109" s="47">
        <f t="shared" si="24"/>
        <v>0</v>
      </c>
      <c r="AI109" s="48">
        <f t="shared" si="25"/>
        <v>0</v>
      </c>
    </row>
    <row r="110" spans="1:37" ht="15.75" thickBot="1" x14ac:dyDescent="0.3">
      <c r="A110" s="110" t="s">
        <v>118</v>
      </c>
      <c r="B110" s="111">
        <f t="shared" ref="B110:O110" si="50">SUM(B20,B26,B29:B30,B58,B60:B61,B63,B65,B111:B115,B140,B146,B152,B161,B163,B175,B182,B185:B186,B193,B195,B197,B201:B203,B205:B207,B212,B218:B219,B221:B223,B231,B236)</f>
        <v>101.93999999999998</v>
      </c>
      <c r="C110" s="111">
        <f t="shared" si="50"/>
        <v>73.740000000000009</v>
      </c>
      <c r="D110" s="111">
        <f t="shared" si="50"/>
        <v>112.03999999999999</v>
      </c>
      <c r="E110" s="111">
        <f t="shared" si="50"/>
        <v>82.18</v>
      </c>
      <c r="F110" s="111">
        <f t="shared" si="50"/>
        <v>89.429999999999993</v>
      </c>
      <c r="G110" s="111">
        <f t="shared" si="50"/>
        <v>119.31899999999999</v>
      </c>
      <c r="H110" s="111">
        <f t="shared" si="50"/>
        <v>146.05799999999999</v>
      </c>
      <c r="I110" s="111">
        <f t="shared" si="50"/>
        <v>212.21600000000001</v>
      </c>
      <c r="J110" s="111">
        <f t="shared" si="50"/>
        <v>221.01400000000001</v>
      </c>
      <c r="K110" s="111">
        <f t="shared" si="50"/>
        <v>278.21799999999996</v>
      </c>
      <c r="L110" s="111">
        <f t="shared" si="50"/>
        <v>317.99700000000001</v>
      </c>
      <c r="M110" s="111">
        <f t="shared" si="50"/>
        <v>338.94</v>
      </c>
      <c r="N110" s="111">
        <f t="shared" si="50"/>
        <v>321.54000000000002</v>
      </c>
      <c r="O110" s="111">
        <f t="shared" si="50"/>
        <v>336.73999999999995</v>
      </c>
      <c r="P110" s="111">
        <v>42</v>
      </c>
      <c r="Q110" s="111">
        <f t="shared" ref="Q110:AA110" si="51">SUM(Q20,Q26,Q29:Q30,Q58,Q60:Q61,Q63,Q65,Q111:Q115,Q140,Q146,Q152,Q161,Q163,Q175,Q182,Q185:Q186,Q193,Q195,Q197,Q201:Q203,Q205:Q207,Q212,Q218:Q219,Q221:Q223,Q231,Q236)</f>
        <v>265.04000000000002</v>
      </c>
      <c r="R110" s="111">
        <f t="shared" si="51"/>
        <v>248.84</v>
      </c>
      <c r="S110" s="111">
        <f t="shared" si="51"/>
        <v>219.94</v>
      </c>
      <c r="T110" s="111">
        <f t="shared" si="51"/>
        <v>221.89</v>
      </c>
      <c r="U110" s="111">
        <f t="shared" si="51"/>
        <v>224.78999999999996</v>
      </c>
      <c r="V110" s="111">
        <f t="shared" si="51"/>
        <v>184.34</v>
      </c>
      <c r="W110" s="111">
        <f t="shared" si="51"/>
        <v>305.24</v>
      </c>
      <c r="X110" s="111">
        <f t="shared" si="51"/>
        <v>354.12399999999997</v>
      </c>
      <c r="Y110" s="111">
        <f t="shared" si="51"/>
        <v>354.12399999999997</v>
      </c>
      <c r="Z110" s="111">
        <f t="shared" si="51"/>
        <v>355.87200000000001</v>
      </c>
      <c r="AA110" s="111">
        <f t="shared" si="51"/>
        <v>345.34399999999999</v>
      </c>
      <c r="AB110" s="111">
        <f t="shared" ref="AB110:AC110" si="52">SUM(AB20,AB26,AB29:AB30,AB58,AB60:AB61,AB63,AB65,AB111:AB115,AB140,AB146,AB152,AB161,AB163,AB175,AB182,AB185:AB186,AB193,AB195,AB197,AB201:AB203,AB205:AB207,AB212,AB218:AB219,AB221:AB223,AB231,AB236)</f>
        <v>289.04000000000002</v>
      </c>
      <c r="AC110" s="111">
        <f t="shared" si="52"/>
        <v>289.04000000000002</v>
      </c>
      <c r="AD110" s="111">
        <f t="shared" ref="AD110:AE110" si="53">SUM(AD20,AD26,AD29:AD30,AD58,AD60:AD61,AD63,AD65,AD111:AD115,AD140,AD146,AD152,AD161,AD163,AD175,AD182,AD185:AD186,AD193,AD195,AD197,AD201:AD203,AD205:AD207,AD212,AD218:AD219,AD221:AD223,AD231,AD236)</f>
        <v>223.04000000000002</v>
      </c>
      <c r="AE110" s="111">
        <f t="shared" si="53"/>
        <v>144.04000000000002</v>
      </c>
      <c r="AF110" s="111">
        <f t="shared" ref="AF110" si="54">SUM(AF20,AF26,AF29:AF30,AF58,AF60:AF61,AF63,AF65,AF111:AF115,AF140,AF146,AF152,AF161,AF163,AF175,AF182,AF185:AF186,AF193,AF195,AF197,AF201:AF203,AF205:AF207,AF212,AF218:AF219,AF221:AF223,AF231,AF236)</f>
        <v>111.04000000000002</v>
      </c>
      <c r="AG110" s="112"/>
      <c r="AH110" s="47">
        <f t="shared" si="24"/>
        <v>355.87200000000001</v>
      </c>
      <c r="AI110" s="48">
        <f t="shared" si="25"/>
        <v>42</v>
      </c>
    </row>
    <row r="111" spans="1:37" x14ac:dyDescent="0.25">
      <c r="A111" s="181" t="s">
        <v>119</v>
      </c>
      <c r="B111" s="113">
        <v>0</v>
      </c>
      <c r="C111" s="113">
        <v>0</v>
      </c>
      <c r="D111" s="113">
        <v>0</v>
      </c>
      <c r="E111" s="113">
        <v>2</v>
      </c>
      <c r="F111" s="113">
        <v>8</v>
      </c>
      <c r="G111" s="113">
        <v>15</v>
      </c>
      <c r="H111" s="113">
        <v>25</v>
      </c>
      <c r="I111" s="113">
        <v>24</v>
      </c>
      <c r="J111" s="113">
        <v>28</v>
      </c>
      <c r="K111" s="113">
        <v>30</v>
      </c>
      <c r="L111" s="113">
        <v>32</v>
      </c>
      <c r="M111" s="113">
        <v>46</v>
      </c>
      <c r="N111" s="113">
        <v>40</v>
      </c>
      <c r="O111" s="113">
        <v>46</v>
      </c>
      <c r="P111" s="113">
        <v>50</v>
      </c>
      <c r="Q111" s="113">
        <v>35</v>
      </c>
      <c r="R111" s="113">
        <v>30</v>
      </c>
      <c r="S111" s="113">
        <v>0</v>
      </c>
      <c r="T111" s="113">
        <v>0</v>
      </c>
      <c r="U111" s="113">
        <v>0</v>
      </c>
      <c r="V111" s="113">
        <v>0</v>
      </c>
      <c r="W111" s="113">
        <v>0</v>
      </c>
      <c r="X111" s="113">
        <v>45</v>
      </c>
      <c r="Y111" s="113">
        <v>45</v>
      </c>
      <c r="Z111" s="113">
        <v>44</v>
      </c>
      <c r="AA111" s="113">
        <v>41</v>
      </c>
      <c r="AB111" s="113">
        <v>0</v>
      </c>
      <c r="AC111" s="113">
        <v>0</v>
      </c>
      <c r="AD111" s="113">
        <v>0</v>
      </c>
      <c r="AE111" s="113">
        <v>0</v>
      </c>
      <c r="AF111" s="113">
        <v>0</v>
      </c>
      <c r="AG111" s="114">
        <v>75</v>
      </c>
      <c r="AH111" s="47">
        <f t="shared" si="24"/>
        <v>50</v>
      </c>
      <c r="AI111" s="48">
        <f t="shared" si="25"/>
        <v>0</v>
      </c>
    </row>
    <row r="112" spans="1:37" x14ac:dyDescent="0.25">
      <c r="A112" s="182" t="s">
        <v>120</v>
      </c>
      <c r="B112" s="115">
        <v>1.7</v>
      </c>
      <c r="C112" s="115">
        <v>19.8</v>
      </c>
      <c r="D112" s="115">
        <v>17</v>
      </c>
      <c r="E112" s="115">
        <v>6.8</v>
      </c>
      <c r="F112" s="115">
        <v>14.1</v>
      </c>
      <c r="G112" s="115">
        <v>22.5</v>
      </c>
      <c r="H112" s="115">
        <v>38.9</v>
      </c>
      <c r="I112" s="115">
        <v>32.5</v>
      </c>
      <c r="J112" s="115">
        <v>38.5</v>
      </c>
      <c r="K112" s="115">
        <v>39.6</v>
      </c>
      <c r="L112" s="115">
        <v>41.7</v>
      </c>
      <c r="M112" s="115">
        <v>51.6</v>
      </c>
      <c r="N112" s="115">
        <v>62.2</v>
      </c>
      <c r="O112" s="115">
        <v>52.1</v>
      </c>
      <c r="P112" s="115">
        <v>60.3</v>
      </c>
      <c r="Q112" s="115">
        <v>38.299999999999997</v>
      </c>
      <c r="R112" s="115">
        <v>36.4</v>
      </c>
      <c r="S112" s="115">
        <v>49.5</v>
      </c>
      <c r="T112" s="115">
        <v>29.9</v>
      </c>
      <c r="U112" s="115">
        <v>29.7</v>
      </c>
      <c r="V112" s="115">
        <v>59.1</v>
      </c>
      <c r="W112" s="115">
        <v>66.2</v>
      </c>
      <c r="X112" s="115">
        <v>53.7</v>
      </c>
      <c r="Y112" s="115">
        <v>53.7</v>
      </c>
      <c r="Z112" s="115">
        <v>58.8</v>
      </c>
      <c r="AA112" s="115">
        <v>69.7</v>
      </c>
      <c r="AB112" s="115">
        <v>76</v>
      </c>
      <c r="AC112" s="115">
        <v>76</v>
      </c>
      <c r="AD112" s="115">
        <v>64</v>
      </c>
      <c r="AE112" s="115">
        <v>55</v>
      </c>
      <c r="AF112" s="115">
        <v>25</v>
      </c>
      <c r="AG112" s="114">
        <v>240</v>
      </c>
      <c r="AH112" s="47">
        <f t="shared" si="24"/>
        <v>76</v>
      </c>
      <c r="AI112" s="48">
        <f t="shared" si="25"/>
        <v>1.7</v>
      </c>
    </row>
    <row r="113" spans="1:37" x14ac:dyDescent="0.25">
      <c r="A113" s="182" t="s">
        <v>121</v>
      </c>
      <c r="B113" s="115">
        <v>-60</v>
      </c>
      <c r="C113" s="115">
        <v>-72</v>
      </c>
      <c r="D113" s="115">
        <v>-40</v>
      </c>
      <c r="E113" s="115">
        <v>-73</v>
      </c>
      <c r="F113" s="115">
        <v>-71</v>
      </c>
      <c r="G113" s="115">
        <v>-69</v>
      </c>
      <c r="H113" s="115">
        <v>-73</v>
      </c>
      <c r="I113" s="115">
        <v>-30.7</v>
      </c>
      <c r="J113" s="115">
        <v>-49</v>
      </c>
      <c r="K113" s="115">
        <v>-36.700000000000003</v>
      </c>
      <c r="L113" s="115">
        <v>-27.3</v>
      </c>
      <c r="M113" s="115">
        <f>-6-11.1</f>
        <v>-17.100000000000001</v>
      </c>
      <c r="N113" s="115">
        <f>-9.3-13.5</f>
        <v>-22.8</v>
      </c>
      <c r="O113" s="115">
        <f>-12-15</f>
        <v>-27</v>
      </c>
      <c r="P113" s="115">
        <f>-15-16</f>
        <v>-31</v>
      </c>
      <c r="Q113" s="115">
        <f>-13-15</f>
        <v>-28</v>
      </c>
      <c r="R113" s="115">
        <f>-17-20</f>
        <v>-37</v>
      </c>
      <c r="S113" s="115">
        <f>-18.1-20.4</f>
        <v>-38.5</v>
      </c>
      <c r="T113" s="115">
        <f>-15.5-16.7</f>
        <v>-32.200000000000003</v>
      </c>
      <c r="U113" s="115">
        <f>-14.3-15.6</f>
        <v>-29.9</v>
      </c>
      <c r="V113" s="115">
        <v>-43.6</v>
      </c>
      <c r="W113" s="115">
        <v>-12.2</v>
      </c>
      <c r="X113" s="115">
        <v>-25.6</v>
      </c>
      <c r="Y113" s="115">
        <v>-25.6</v>
      </c>
      <c r="Z113" s="115">
        <v>-9</v>
      </c>
      <c r="AA113" s="115">
        <v>-14.3</v>
      </c>
      <c r="AB113" s="115">
        <v>-7</v>
      </c>
      <c r="AC113" s="115">
        <v>-7</v>
      </c>
      <c r="AD113" s="115">
        <v>-23</v>
      </c>
      <c r="AE113" s="115">
        <v>-50</v>
      </c>
      <c r="AF113" s="115">
        <v>-50</v>
      </c>
      <c r="AG113" s="114">
        <v>240</v>
      </c>
      <c r="AH113" s="47">
        <f t="shared" si="24"/>
        <v>-7</v>
      </c>
      <c r="AI113" s="48">
        <f t="shared" si="25"/>
        <v>-73</v>
      </c>
    </row>
    <row r="114" spans="1:37" ht="15.75" thickBot="1" x14ac:dyDescent="0.3">
      <c r="A114" s="182" t="s">
        <v>122</v>
      </c>
      <c r="B114" s="115">
        <v>0</v>
      </c>
      <c r="C114" s="115">
        <v>-1.6</v>
      </c>
      <c r="D114" s="115">
        <v>-3.6</v>
      </c>
      <c r="E114" s="115">
        <v>-1.6</v>
      </c>
      <c r="F114" s="115">
        <v>-1.3</v>
      </c>
      <c r="G114" s="115">
        <v>0</v>
      </c>
      <c r="H114" s="115">
        <v>1.3</v>
      </c>
      <c r="I114" s="115">
        <v>3.5</v>
      </c>
      <c r="J114" s="115">
        <v>6</v>
      </c>
      <c r="K114" s="115">
        <v>11.3</v>
      </c>
      <c r="L114" s="115">
        <v>14.3</v>
      </c>
      <c r="M114" s="115">
        <v>27.1</v>
      </c>
      <c r="N114" s="115">
        <v>17.399999999999999</v>
      </c>
      <c r="O114" s="115">
        <v>15.5</v>
      </c>
      <c r="P114" s="115">
        <v>15</v>
      </c>
      <c r="Q114" s="115">
        <v>13.8</v>
      </c>
      <c r="R114" s="115">
        <v>12</v>
      </c>
      <c r="S114" s="115">
        <v>11.2</v>
      </c>
      <c r="T114" s="115">
        <v>11.7</v>
      </c>
      <c r="U114" s="115">
        <v>12.2</v>
      </c>
      <c r="V114" s="115">
        <v>12.5</v>
      </c>
      <c r="W114" s="115">
        <v>17.100000000000001</v>
      </c>
      <c r="X114" s="115">
        <v>49.3</v>
      </c>
      <c r="Y114" s="115">
        <v>49.3</v>
      </c>
      <c r="Z114" s="115">
        <v>21</v>
      </c>
      <c r="AA114" s="115">
        <v>20.5</v>
      </c>
      <c r="AB114" s="115">
        <v>20</v>
      </c>
      <c r="AC114" s="115">
        <v>20</v>
      </c>
      <c r="AD114" s="115">
        <v>17</v>
      </c>
      <c r="AE114" s="115">
        <v>9</v>
      </c>
      <c r="AF114" s="115">
        <v>4</v>
      </c>
      <c r="AG114" s="114">
        <v>60</v>
      </c>
      <c r="AH114" s="47">
        <f t="shared" si="24"/>
        <v>49.3</v>
      </c>
      <c r="AI114" s="48">
        <f t="shared" si="25"/>
        <v>-3.6</v>
      </c>
    </row>
    <row r="115" spans="1:37" x14ac:dyDescent="0.25">
      <c r="A115" s="181" t="s">
        <v>267</v>
      </c>
      <c r="B115" s="117">
        <v>30.2</v>
      </c>
      <c r="C115" s="117">
        <v>-2.5</v>
      </c>
      <c r="D115" s="117">
        <v>8.6</v>
      </c>
      <c r="E115" s="117">
        <f>12*1.67</f>
        <v>20.04</v>
      </c>
      <c r="F115" s="117">
        <f>7*1.67</f>
        <v>11.69</v>
      </c>
      <c r="G115" s="117">
        <f>13.7*1.67</f>
        <v>22.878999999999998</v>
      </c>
      <c r="H115" s="117">
        <f>15.4*1.67</f>
        <v>25.718</v>
      </c>
      <c r="I115" s="117">
        <f>32.8*1.67</f>
        <v>54.775999999999996</v>
      </c>
      <c r="J115" s="117">
        <f>42.2*1.67</f>
        <v>70.474000000000004</v>
      </c>
      <c r="K115" s="117">
        <f>63.4*1.67</f>
        <v>105.878</v>
      </c>
      <c r="L115" s="117">
        <f>77.1*1.67</f>
        <v>128.75699999999998</v>
      </c>
      <c r="M115" s="117">
        <f>68*1.5</f>
        <v>102</v>
      </c>
      <c r="N115" s="117">
        <f>64*1.5</f>
        <v>96</v>
      </c>
      <c r="O115" s="117">
        <f>76*1.5</f>
        <v>114</v>
      </c>
      <c r="P115" s="117">
        <f>44*1.5</f>
        <v>66</v>
      </c>
      <c r="Q115" s="117">
        <f>43*1.5</f>
        <v>64.5</v>
      </c>
      <c r="R115" s="117">
        <f>44*1.5</f>
        <v>66</v>
      </c>
      <c r="S115" s="117">
        <f>39*1.5</f>
        <v>58.5</v>
      </c>
      <c r="T115" s="117">
        <f>50.5*1.5</f>
        <v>75.75</v>
      </c>
      <c r="U115" s="117">
        <f>54.9*1.5</f>
        <v>82.35</v>
      </c>
      <c r="V115" s="117">
        <v>32.5</v>
      </c>
      <c r="W115" s="117">
        <v>108</v>
      </c>
      <c r="X115" s="117">
        <f>1.64*68.1</f>
        <v>111.68399999999998</v>
      </c>
      <c r="Y115" s="117">
        <f>1.64*68.1</f>
        <v>111.68399999999998</v>
      </c>
      <c r="Z115" s="117">
        <f>1.64*73.8</f>
        <v>121.03199999999998</v>
      </c>
      <c r="AA115" s="117">
        <f>1.64*66.1</f>
        <v>108.40399999999998</v>
      </c>
      <c r="AB115" s="117">
        <v>80</v>
      </c>
      <c r="AC115" s="117">
        <v>80</v>
      </c>
      <c r="AD115" s="117">
        <v>45</v>
      </c>
      <c r="AE115" s="117">
        <v>10</v>
      </c>
      <c r="AF115" s="117">
        <v>12</v>
      </c>
      <c r="AG115" s="118">
        <v>120</v>
      </c>
      <c r="AH115" s="47">
        <f t="shared" si="24"/>
        <v>128.75699999999998</v>
      </c>
      <c r="AI115" s="48">
        <f t="shared" si="25"/>
        <v>-2.5</v>
      </c>
    </row>
    <row r="116" spans="1:37" x14ac:dyDescent="0.25">
      <c r="A116" s="182" t="s">
        <v>266</v>
      </c>
      <c r="B116" s="117">
        <v>59.6</v>
      </c>
      <c r="C116" s="117">
        <v>36</v>
      </c>
      <c r="D116" s="117">
        <v>40</v>
      </c>
      <c r="E116" s="117">
        <v>44</v>
      </c>
      <c r="F116" s="117">
        <v>40.5</v>
      </c>
      <c r="G116" s="117">
        <v>43.7</v>
      </c>
      <c r="H116" s="117">
        <v>47.2</v>
      </c>
      <c r="I116" s="117">
        <v>60.5</v>
      </c>
      <c r="J116" s="117">
        <v>68.7</v>
      </c>
      <c r="K116" s="117">
        <v>86.2</v>
      </c>
      <c r="L116" s="117">
        <v>96.7</v>
      </c>
      <c r="M116" s="117">
        <v>89</v>
      </c>
      <c r="N116" s="117">
        <v>87</v>
      </c>
      <c r="O116" s="117">
        <v>88</v>
      </c>
      <c r="P116" s="117">
        <v>71</v>
      </c>
      <c r="Q116" s="117">
        <v>68</v>
      </c>
      <c r="R116" s="117">
        <v>68</v>
      </c>
      <c r="S116" s="117">
        <v>66.900000000000006</v>
      </c>
      <c r="T116" s="117">
        <v>76.5</v>
      </c>
      <c r="U116" s="117">
        <v>81.5</v>
      </c>
      <c r="V116" s="117">
        <v>62.9</v>
      </c>
      <c r="W116" s="117">
        <v>88.3</v>
      </c>
      <c r="X116" s="117">
        <v>90.4</v>
      </c>
      <c r="Y116" s="117">
        <v>90.4</v>
      </c>
      <c r="Z116" s="117">
        <v>94.3</v>
      </c>
      <c r="AA116" s="117">
        <v>90.5</v>
      </c>
      <c r="AB116" s="117">
        <v>63</v>
      </c>
      <c r="AC116" s="117">
        <v>63</v>
      </c>
      <c r="AD116" s="117">
        <v>52</v>
      </c>
      <c r="AE116" s="117">
        <v>44</v>
      </c>
      <c r="AF116" s="117">
        <v>45</v>
      </c>
      <c r="AG116" s="118"/>
      <c r="AH116" s="47">
        <f t="shared" si="24"/>
        <v>96.7</v>
      </c>
      <c r="AI116" s="48">
        <f t="shared" si="25"/>
        <v>36</v>
      </c>
    </row>
    <row r="117" spans="1:37" x14ac:dyDescent="0.25">
      <c r="A117" s="182" t="s">
        <v>263</v>
      </c>
      <c r="B117" s="117">
        <v>-31</v>
      </c>
      <c r="C117" s="117">
        <v>-6.9</v>
      </c>
      <c r="D117" s="117">
        <v>-15</v>
      </c>
      <c r="E117" s="117">
        <v>20.8</v>
      </c>
      <c r="F117" s="117">
        <v>15.7</v>
      </c>
      <c r="G117" s="117">
        <v>1.8</v>
      </c>
      <c r="H117" s="117">
        <v>-1.9</v>
      </c>
      <c r="I117" s="117">
        <v>2.2000000000000002</v>
      </c>
      <c r="J117" s="117">
        <v>-8.1999999999999993</v>
      </c>
      <c r="K117" s="117">
        <v>-6.6</v>
      </c>
      <c r="L117" s="117">
        <v>-10.5</v>
      </c>
      <c r="M117" s="117">
        <v>-32.799999999999997</v>
      </c>
      <c r="N117" s="117">
        <v>-35.799999999999997</v>
      </c>
      <c r="O117" s="117">
        <v>-23.5</v>
      </c>
      <c r="P117" s="117">
        <v>-27</v>
      </c>
      <c r="Q117" s="117">
        <v>-16.5</v>
      </c>
      <c r="R117" s="117">
        <v>-3.3</v>
      </c>
      <c r="S117" s="117">
        <v>-21</v>
      </c>
      <c r="T117" s="117">
        <v>2.8</v>
      </c>
      <c r="U117" s="117">
        <v>-1</v>
      </c>
      <c r="V117" s="117">
        <v>-11.5</v>
      </c>
      <c r="W117" s="117">
        <v>-53.9</v>
      </c>
      <c r="X117" s="117">
        <v>-66.400000000000006</v>
      </c>
      <c r="Y117" s="117">
        <v>-66.400000000000006</v>
      </c>
      <c r="Z117" s="117">
        <v>-52.1</v>
      </c>
      <c r="AA117" s="117">
        <v>-58.9</v>
      </c>
      <c r="AB117" s="117">
        <v>-79</v>
      </c>
      <c r="AC117" s="117">
        <v>-79</v>
      </c>
      <c r="AD117" s="117">
        <v>-70</v>
      </c>
      <c r="AE117" s="117">
        <v>-44</v>
      </c>
      <c r="AF117" s="117">
        <v>-8</v>
      </c>
      <c r="AG117" s="118"/>
      <c r="AH117" s="47">
        <f t="shared" si="24"/>
        <v>20.8</v>
      </c>
      <c r="AI117" s="48">
        <f t="shared" si="25"/>
        <v>-79</v>
      </c>
    </row>
    <row r="118" spans="1:37" ht="15.75" thickBot="1" x14ac:dyDescent="0.3">
      <c r="A118" s="182" t="s">
        <v>260</v>
      </c>
      <c r="B118" s="117">
        <v>60</v>
      </c>
      <c r="C118" s="117">
        <v>29.1</v>
      </c>
      <c r="D118" s="117">
        <v>37</v>
      </c>
      <c r="E118" s="117">
        <v>40.200000000000003</v>
      </c>
      <c r="F118" s="117">
        <v>38.1</v>
      </c>
      <c r="G118" s="117">
        <v>52.8</v>
      </c>
      <c r="H118" s="117">
        <v>68</v>
      </c>
      <c r="I118" s="117">
        <v>96</v>
      </c>
      <c r="J118" s="117">
        <v>60.7</v>
      </c>
      <c r="K118" s="117">
        <v>78.099999999999994</v>
      </c>
      <c r="L118" s="117">
        <v>84</v>
      </c>
      <c r="M118" s="117">
        <v>66.099999999999994</v>
      </c>
      <c r="N118" s="117">
        <v>67</v>
      </c>
      <c r="O118" s="117">
        <v>85</v>
      </c>
      <c r="P118" s="117">
        <v>60.8</v>
      </c>
      <c r="Q118" s="117">
        <v>63.4</v>
      </c>
      <c r="R118" s="117">
        <v>72</v>
      </c>
      <c r="S118" s="117">
        <v>69.099999999999994</v>
      </c>
      <c r="T118" s="117">
        <v>82.9</v>
      </c>
      <c r="U118" s="117">
        <v>84.7</v>
      </c>
      <c r="V118" s="117">
        <v>45.1</v>
      </c>
      <c r="W118" s="117">
        <v>57.5</v>
      </c>
      <c r="X118" s="117">
        <v>62.4</v>
      </c>
      <c r="Y118" s="117">
        <v>62.4</v>
      </c>
      <c r="Z118" s="117">
        <v>74.2</v>
      </c>
      <c r="AA118" s="117">
        <v>70.7</v>
      </c>
      <c r="AB118" s="117">
        <v>62</v>
      </c>
      <c r="AC118" s="117">
        <v>62</v>
      </c>
      <c r="AD118" s="117">
        <v>40</v>
      </c>
      <c r="AE118" s="117">
        <v>30</v>
      </c>
      <c r="AF118" s="117">
        <v>34</v>
      </c>
      <c r="AG118" s="114"/>
      <c r="AH118" s="47">
        <f t="shared" si="24"/>
        <v>96</v>
      </c>
      <c r="AI118" s="48">
        <f t="shared" si="25"/>
        <v>29.1</v>
      </c>
    </row>
    <row r="119" spans="1:37" x14ac:dyDescent="0.25">
      <c r="A119" s="181" t="s">
        <v>264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>
        <v>9.8000000000000007</v>
      </c>
      <c r="W119" s="117">
        <v>25.1</v>
      </c>
      <c r="X119" s="117">
        <v>11.7</v>
      </c>
      <c r="Y119" s="117">
        <v>11.7</v>
      </c>
      <c r="Z119" s="117">
        <v>18.899999999999999</v>
      </c>
      <c r="AA119" s="117">
        <v>23.5</v>
      </c>
      <c r="AB119" s="117">
        <v>-27</v>
      </c>
      <c r="AC119" s="117">
        <v>-27</v>
      </c>
      <c r="AD119" s="117">
        <v>-23</v>
      </c>
      <c r="AE119" s="117">
        <v>-20</v>
      </c>
      <c r="AF119" s="117">
        <v>-6</v>
      </c>
      <c r="AG119" s="114"/>
      <c r="AH119" s="47">
        <f t="shared" si="24"/>
        <v>25.1</v>
      </c>
      <c r="AI119" s="48">
        <f t="shared" si="25"/>
        <v>-27</v>
      </c>
    </row>
    <row r="120" spans="1:37" x14ac:dyDescent="0.25">
      <c r="A120" s="182" t="s">
        <v>126</v>
      </c>
      <c r="B120" s="106">
        <v>7.3</v>
      </c>
      <c r="C120" s="106">
        <v>7</v>
      </c>
      <c r="D120" s="106">
        <v>7.4</v>
      </c>
      <c r="E120" s="106">
        <v>7.4</v>
      </c>
      <c r="F120" s="106">
        <v>6.2</v>
      </c>
      <c r="G120" s="106">
        <v>3.8</v>
      </c>
      <c r="H120" s="106">
        <v>0.6</v>
      </c>
      <c r="I120" s="106">
        <v>-6</v>
      </c>
      <c r="J120" s="106">
        <v>-10</v>
      </c>
      <c r="K120" s="106">
        <v>-15.9</v>
      </c>
      <c r="L120" s="106">
        <v>-18.5</v>
      </c>
      <c r="M120" s="106">
        <v>-23.6</v>
      </c>
      <c r="N120" s="106">
        <v>-2</v>
      </c>
      <c r="O120" s="106">
        <v>-24</v>
      </c>
      <c r="P120" s="106">
        <v>-21.4</v>
      </c>
      <c r="Q120" s="106">
        <v>-12.9</v>
      </c>
      <c r="R120" s="106">
        <v>-7.3</v>
      </c>
      <c r="S120" s="106">
        <v>-9.1</v>
      </c>
      <c r="T120" s="106">
        <v>-9.6</v>
      </c>
      <c r="U120" s="106">
        <v>-10.8</v>
      </c>
      <c r="V120" s="106">
        <v>-23.7</v>
      </c>
      <c r="W120" s="106">
        <v>-39.409999999999997</v>
      </c>
      <c r="X120" s="106">
        <v>-42</v>
      </c>
      <c r="Y120" s="106">
        <v>-42</v>
      </c>
      <c r="Z120" s="106">
        <v>-22.9</v>
      </c>
      <c r="AA120" s="106">
        <v>-20.100000000000001</v>
      </c>
      <c r="AB120" s="106">
        <v>-13</v>
      </c>
      <c r="AC120" s="106">
        <v>-13</v>
      </c>
      <c r="AD120" s="106">
        <v>-4</v>
      </c>
      <c r="AE120" s="106">
        <v>1.4</v>
      </c>
      <c r="AF120" s="106">
        <v>6.5</v>
      </c>
      <c r="AG120" s="114"/>
      <c r="AH120" s="47">
        <f t="shared" si="24"/>
        <v>7.4</v>
      </c>
      <c r="AI120" s="48">
        <f t="shared" si="25"/>
        <v>-42</v>
      </c>
    </row>
    <row r="121" spans="1:37" x14ac:dyDescent="0.25">
      <c r="A121" s="182" t="s">
        <v>268</v>
      </c>
      <c r="B121" s="106">
        <v>40.9</v>
      </c>
      <c r="C121" s="106">
        <v>60</v>
      </c>
      <c r="D121" s="106">
        <v>60.7</v>
      </c>
      <c r="E121" s="106">
        <v>54.6</v>
      </c>
      <c r="F121" s="106">
        <v>57.7</v>
      </c>
      <c r="G121" s="106">
        <v>61.6</v>
      </c>
      <c r="H121" s="106">
        <v>67.2</v>
      </c>
      <c r="I121" s="106">
        <v>53.3</v>
      </c>
      <c r="J121" s="106">
        <v>45.7</v>
      </c>
      <c r="K121" s="106">
        <v>38.700000000000003</v>
      </c>
      <c r="L121" s="106">
        <v>31.9</v>
      </c>
      <c r="M121" s="106">
        <v>44.1</v>
      </c>
      <c r="N121" s="106">
        <v>46</v>
      </c>
      <c r="O121" s="106">
        <v>38.1</v>
      </c>
      <c r="P121" s="106">
        <v>48.6</v>
      </c>
      <c r="Q121" s="106">
        <v>33.9</v>
      </c>
      <c r="R121" s="106">
        <v>42</v>
      </c>
      <c r="S121" s="106">
        <v>48.4</v>
      </c>
      <c r="T121" s="106">
        <v>37.200000000000003</v>
      </c>
      <c r="U121" s="106">
        <v>35.799999999999997</v>
      </c>
      <c r="V121" s="106">
        <v>49.1</v>
      </c>
      <c r="W121" s="106">
        <v>29.5</v>
      </c>
      <c r="X121" s="106">
        <v>37.9</v>
      </c>
      <c r="Y121" s="106">
        <v>37.9</v>
      </c>
      <c r="Z121" s="106">
        <v>28.8</v>
      </c>
      <c r="AA121" s="106">
        <v>35.299999999999997</v>
      </c>
      <c r="AB121" s="106">
        <v>35</v>
      </c>
      <c r="AC121" s="106">
        <v>35</v>
      </c>
      <c r="AD121" s="106">
        <v>45</v>
      </c>
      <c r="AE121" s="106">
        <v>63</v>
      </c>
      <c r="AF121" s="106">
        <v>52</v>
      </c>
      <c r="AG121" s="114"/>
      <c r="AH121" s="47">
        <f t="shared" si="24"/>
        <v>67.2</v>
      </c>
      <c r="AI121" s="48">
        <f t="shared" si="25"/>
        <v>28.8</v>
      </c>
    </row>
    <row r="122" spans="1:37" x14ac:dyDescent="0.25">
      <c r="A122" s="182" t="s">
        <v>265</v>
      </c>
      <c r="B122" s="106">
        <v>73.2</v>
      </c>
      <c r="C122" s="106">
        <v>63</v>
      </c>
      <c r="D122" s="106">
        <v>64</v>
      </c>
      <c r="E122" s="106">
        <v>61.3</v>
      </c>
      <c r="F122" s="106">
        <v>64.5</v>
      </c>
      <c r="G122" s="106">
        <v>71.8</v>
      </c>
      <c r="H122" s="106">
        <v>80</v>
      </c>
      <c r="I122" s="106">
        <v>83.5</v>
      </c>
      <c r="J122" s="106">
        <v>93.7</v>
      </c>
      <c r="K122" s="106">
        <v>96.3</v>
      </c>
      <c r="L122" s="106">
        <v>109.6</v>
      </c>
      <c r="M122" s="106">
        <v>118.6</v>
      </c>
      <c r="N122" s="106">
        <v>98</v>
      </c>
      <c r="O122" s="106">
        <v>108.9</v>
      </c>
      <c r="P122" s="106">
        <v>95</v>
      </c>
      <c r="Q122" s="106">
        <v>79.400000000000006</v>
      </c>
      <c r="R122" s="106">
        <v>79.400000000000006</v>
      </c>
      <c r="S122" s="106">
        <v>77.2</v>
      </c>
      <c r="T122" s="106">
        <v>79.099999999999994</v>
      </c>
      <c r="U122" s="106">
        <v>84.9</v>
      </c>
      <c r="V122" s="106">
        <v>62.5</v>
      </c>
      <c r="W122" s="106">
        <v>89.5</v>
      </c>
      <c r="X122" s="106">
        <v>91.3</v>
      </c>
      <c r="Y122" s="106">
        <v>91.3</v>
      </c>
      <c r="Z122" s="106">
        <v>73.099999999999994</v>
      </c>
      <c r="AA122" s="106">
        <v>72.099999999999994</v>
      </c>
      <c r="AB122" s="106">
        <v>88</v>
      </c>
      <c r="AC122" s="106">
        <v>88</v>
      </c>
      <c r="AD122" s="106">
        <v>76</v>
      </c>
      <c r="AE122" s="106">
        <v>79</v>
      </c>
      <c r="AF122" s="106">
        <v>68</v>
      </c>
      <c r="AG122" s="114"/>
      <c r="AH122" s="47">
        <f t="shared" si="24"/>
        <v>118.6</v>
      </c>
      <c r="AI122" s="48">
        <f t="shared" si="25"/>
        <v>61.3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76" t="s">
        <v>258</v>
      </c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83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55">SUM(B124:B228)</f>
        <v>0</v>
      </c>
      <c r="C229" s="137">
        <f t="shared" si="55"/>
        <v>0</v>
      </c>
      <c r="D229" s="137">
        <f t="shared" si="55"/>
        <v>0</v>
      </c>
      <c r="E229" s="137">
        <f t="shared" si="55"/>
        <v>0</v>
      </c>
      <c r="F229" s="137">
        <f t="shared" si="55"/>
        <v>0</v>
      </c>
      <c r="G229" s="137">
        <f t="shared" si="55"/>
        <v>0</v>
      </c>
      <c r="H229" s="137">
        <f t="shared" si="55"/>
        <v>0</v>
      </c>
      <c r="I229" s="137">
        <f t="shared" si="55"/>
        <v>0</v>
      </c>
      <c r="J229" s="137">
        <f t="shared" si="55"/>
        <v>0</v>
      </c>
      <c r="K229" s="137">
        <f t="shared" si="55"/>
        <v>0</v>
      </c>
      <c r="L229" s="137">
        <f t="shared" si="55"/>
        <v>0</v>
      </c>
      <c r="M229" s="137">
        <f t="shared" si="55"/>
        <v>0</v>
      </c>
      <c r="N229" s="137">
        <f t="shared" si="55"/>
        <v>0</v>
      </c>
      <c r="O229" s="137">
        <f t="shared" si="55"/>
        <v>0</v>
      </c>
      <c r="P229" s="137">
        <f t="shared" si="55"/>
        <v>0</v>
      </c>
      <c r="Q229" s="137">
        <f t="shared" si="55"/>
        <v>0</v>
      </c>
      <c r="R229" s="137">
        <f t="shared" si="55"/>
        <v>0</v>
      </c>
      <c r="S229" s="137">
        <f t="shared" si="55"/>
        <v>0</v>
      </c>
      <c r="T229" s="137">
        <f t="shared" si="55"/>
        <v>0</v>
      </c>
      <c r="U229" s="137">
        <f t="shared" si="55"/>
        <v>0</v>
      </c>
      <c r="V229" s="137">
        <f t="shared" si="55"/>
        <v>0</v>
      </c>
      <c r="W229" s="137">
        <f t="shared" si="55"/>
        <v>0</v>
      </c>
      <c r="X229" s="137">
        <f t="shared" si="55"/>
        <v>0</v>
      </c>
      <c r="Y229" s="137">
        <f t="shared" si="55"/>
        <v>0</v>
      </c>
      <c r="Z229" s="137">
        <f t="shared" si="55"/>
        <v>0</v>
      </c>
      <c r="AA229" s="137">
        <f t="shared" si="55"/>
        <v>0</v>
      </c>
      <c r="AB229" s="137">
        <f t="shared" si="55"/>
        <v>0</v>
      </c>
      <c r="AC229" s="137">
        <f t="shared" si="55"/>
        <v>0</v>
      </c>
      <c r="AD229" s="137">
        <f t="shared" si="55"/>
        <v>0</v>
      </c>
      <c r="AE229" s="137">
        <f t="shared" si="55"/>
        <v>0</v>
      </c>
      <c r="AF229" s="138">
        <f t="shared" si="55"/>
        <v>0</v>
      </c>
      <c r="AG229" s="139">
        <f t="shared" si="55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56">AF231</f>
        <v>0.3</v>
      </c>
      <c r="C231" s="141">
        <v>0.3</v>
      </c>
      <c r="D231" s="141">
        <f t="shared" ref="D231:S236" si="57">C231</f>
        <v>0.3</v>
      </c>
      <c r="E231" s="141">
        <f t="shared" si="57"/>
        <v>0.3</v>
      </c>
      <c r="F231" s="141">
        <f t="shared" si="57"/>
        <v>0.3</v>
      </c>
      <c r="G231" s="141">
        <f t="shared" si="57"/>
        <v>0.3</v>
      </c>
      <c r="H231" s="141">
        <f t="shared" si="57"/>
        <v>0.3</v>
      </c>
      <c r="I231" s="141">
        <f t="shared" si="57"/>
        <v>0.3</v>
      </c>
      <c r="J231" s="141">
        <f t="shared" si="57"/>
        <v>0.3</v>
      </c>
      <c r="K231" s="141">
        <f t="shared" si="57"/>
        <v>0.3</v>
      </c>
      <c r="L231" s="141">
        <f t="shared" si="57"/>
        <v>0.3</v>
      </c>
      <c r="M231" s="141">
        <f t="shared" si="57"/>
        <v>0.3</v>
      </c>
      <c r="N231" s="141">
        <f t="shared" si="57"/>
        <v>0.3</v>
      </c>
      <c r="O231" s="141">
        <f t="shared" si="57"/>
        <v>0.3</v>
      </c>
      <c r="P231" s="141">
        <f t="shared" si="57"/>
        <v>0.3</v>
      </c>
      <c r="Q231" s="141">
        <f t="shared" si="57"/>
        <v>0.3</v>
      </c>
      <c r="R231" s="141">
        <f t="shared" si="57"/>
        <v>0.3</v>
      </c>
      <c r="S231" s="141">
        <f t="shared" si="57"/>
        <v>0.3</v>
      </c>
      <c r="T231" s="141">
        <f t="shared" ref="T231:AF236" si="58">S231</f>
        <v>0.3</v>
      </c>
      <c r="U231" s="141">
        <f t="shared" si="58"/>
        <v>0.3</v>
      </c>
      <c r="V231" s="141">
        <f t="shared" si="58"/>
        <v>0.3</v>
      </c>
      <c r="W231" s="141">
        <f t="shared" si="58"/>
        <v>0.3</v>
      </c>
      <c r="X231" s="141">
        <f t="shared" si="58"/>
        <v>0.3</v>
      </c>
      <c r="Y231" s="141">
        <f t="shared" si="58"/>
        <v>0.3</v>
      </c>
      <c r="Z231" s="141">
        <f t="shared" si="58"/>
        <v>0.3</v>
      </c>
      <c r="AA231" s="141">
        <f t="shared" si="58"/>
        <v>0.3</v>
      </c>
      <c r="AB231" s="141">
        <f t="shared" si="58"/>
        <v>0.3</v>
      </c>
      <c r="AC231" s="141">
        <f t="shared" si="58"/>
        <v>0.3</v>
      </c>
      <c r="AD231" s="141">
        <f t="shared" si="58"/>
        <v>0.3</v>
      </c>
      <c r="AE231" s="141">
        <f t="shared" si="58"/>
        <v>0.3</v>
      </c>
      <c r="AF231" s="141">
        <f t="shared" si="58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56"/>
        <v>0.4</v>
      </c>
      <c r="C232" s="129">
        <v>0.4</v>
      </c>
      <c r="D232" s="129">
        <f t="shared" si="57"/>
        <v>0.4</v>
      </c>
      <c r="E232" s="129">
        <f t="shared" si="57"/>
        <v>0.4</v>
      </c>
      <c r="F232" s="129">
        <f t="shared" si="57"/>
        <v>0.4</v>
      </c>
      <c r="G232" s="129">
        <f t="shared" si="57"/>
        <v>0.4</v>
      </c>
      <c r="H232" s="129">
        <f t="shared" si="57"/>
        <v>0.4</v>
      </c>
      <c r="I232" s="129">
        <f t="shared" si="57"/>
        <v>0.4</v>
      </c>
      <c r="J232" s="129">
        <f t="shared" si="57"/>
        <v>0.4</v>
      </c>
      <c r="K232" s="129">
        <f t="shared" si="57"/>
        <v>0.4</v>
      </c>
      <c r="L232" s="129">
        <f t="shared" si="57"/>
        <v>0.4</v>
      </c>
      <c r="M232" s="129">
        <f t="shared" si="57"/>
        <v>0.4</v>
      </c>
      <c r="N232" s="129">
        <f t="shared" si="57"/>
        <v>0.4</v>
      </c>
      <c r="O232" s="129">
        <f t="shared" si="57"/>
        <v>0.4</v>
      </c>
      <c r="P232" s="129">
        <f t="shared" si="57"/>
        <v>0.4</v>
      </c>
      <c r="Q232" s="129">
        <f t="shared" si="57"/>
        <v>0.4</v>
      </c>
      <c r="R232" s="129">
        <f t="shared" si="57"/>
        <v>0.4</v>
      </c>
      <c r="S232" s="129">
        <f t="shared" si="57"/>
        <v>0.4</v>
      </c>
      <c r="T232" s="129">
        <f t="shared" si="58"/>
        <v>0.4</v>
      </c>
      <c r="U232" s="129">
        <f t="shared" si="58"/>
        <v>0.4</v>
      </c>
      <c r="V232" s="129">
        <f t="shared" si="58"/>
        <v>0.4</v>
      </c>
      <c r="W232" s="129">
        <f t="shared" si="58"/>
        <v>0.4</v>
      </c>
      <c r="X232" s="129">
        <f t="shared" si="58"/>
        <v>0.4</v>
      </c>
      <c r="Y232" s="129">
        <f t="shared" si="58"/>
        <v>0.4</v>
      </c>
      <c r="Z232" s="129">
        <f t="shared" si="58"/>
        <v>0.4</v>
      </c>
      <c r="AA232" s="129">
        <f t="shared" si="58"/>
        <v>0.4</v>
      </c>
      <c r="AB232" s="129">
        <f t="shared" si="58"/>
        <v>0.4</v>
      </c>
      <c r="AC232" s="129">
        <f t="shared" si="58"/>
        <v>0.4</v>
      </c>
      <c r="AD232" s="129">
        <f t="shared" si="58"/>
        <v>0.4</v>
      </c>
      <c r="AE232" s="129">
        <f t="shared" si="58"/>
        <v>0.4</v>
      </c>
      <c r="AF232" s="129">
        <f t="shared" si="58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56"/>
        <v>1.5</v>
      </c>
      <c r="C233" s="129">
        <v>1.5</v>
      </c>
      <c r="D233" s="129">
        <f t="shared" si="57"/>
        <v>1.5</v>
      </c>
      <c r="E233" s="129">
        <f t="shared" si="57"/>
        <v>1.5</v>
      </c>
      <c r="F233" s="129">
        <f t="shared" si="57"/>
        <v>1.5</v>
      </c>
      <c r="G233" s="129">
        <f t="shared" si="57"/>
        <v>1.5</v>
      </c>
      <c r="H233" s="129">
        <f t="shared" si="57"/>
        <v>1.5</v>
      </c>
      <c r="I233" s="129">
        <f t="shared" si="57"/>
        <v>1.5</v>
      </c>
      <c r="J233" s="129">
        <f t="shared" si="57"/>
        <v>1.5</v>
      </c>
      <c r="K233" s="129">
        <f t="shared" si="57"/>
        <v>1.5</v>
      </c>
      <c r="L233" s="129">
        <f t="shared" si="57"/>
        <v>1.5</v>
      </c>
      <c r="M233" s="129">
        <f t="shared" si="57"/>
        <v>1.5</v>
      </c>
      <c r="N233" s="129">
        <f t="shared" si="57"/>
        <v>1.5</v>
      </c>
      <c r="O233" s="129">
        <f t="shared" si="57"/>
        <v>1.5</v>
      </c>
      <c r="P233" s="129">
        <f t="shared" si="57"/>
        <v>1.5</v>
      </c>
      <c r="Q233" s="129">
        <f t="shared" si="57"/>
        <v>1.5</v>
      </c>
      <c r="R233" s="129">
        <f t="shared" si="57"/>
        <v>1.5</v>
      </c>
      <c r="S233" s="129">
        <f t="shared" si="57"/>
        <v>1.5</v>
      </c>
      <c r="T233" s="129">
        <f t="shared" si="58"/>
        <v>1.5</v>
      </c>
      <c r="U233" s="129">
        <f t="shared" si="58"/>
        <v>1.5</v>
      </c>
      <c r="V233" s="129">
        <f t="shared" si="58"/>
        <v>1.5</v>
      </c>
      <c r="W233" s="129">
        <f t="shared" si="58"/>
        <v>1.5</v>
      </c>
      <c r="X233" s="129">
        <f t="shared" si="58"/>
        <v>1.5</v>
      </c>
      <c r="Y233" s="129">
        <f t="shared" si="58"/>
        <v>1.5</v>
      </c>
      <c r="Z233" s="129">
        <f t="shared" si="58"/>
        <v>1.5</v>
      </c>
      <c r="AA233" s="129">
        <f t="shared" si="58"/>
        <v>1.5</v>
      </c>
      <c r="AB233" s="129">
        <f t="shared" si="58"/>
        <v>1.5</v>
      </c>
      <c r="AC233" s="129">
        <f t="shared" si="58"/>
        <v>1.5</v>
      </c>
      <c r="AD233" s="129">
        <f t="shared" si="58"/>
        <v>1.5</v>
      </c>
      <c r="AE233" s="129">
        <f t="shared" si="58"/>
        <v>1.5</v>
      </c>
      <c r="AF233" s="129">
        <f t="shared" si="58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56"/>
        <v>0.3</v>
      </c>
      <c r="C234" s="129">
        <v>0.3</v>
      </c>
      <c r="D234" s="129">
        <f t="shared" si="57"/>
        <v>0.3</v>
      </c>
      <c r="E234" s="129">
        <f t="shared" si="57"/>
        <v>0.3</v>
      </c>
      <c r="F234" s="129">
        <f t="shared" si="57"/>
        <v>0.3</v>
      </c>
      <c r="G234" s="129">
        <f t="shared" si="57"/>
        <v>0.3</v>
      </c>
      <c r="H234" s="129">
        <f t="shared" si="57"/>
        <v>0.3</v>
      </c>
      <c r="I234" s="129">
        <f t="shared" si="57"/>
        <v>0.3</v>
      </c>
      <c r="J234" s="129">
        <f t="shared" si="57"/>
        <v>0.3</v>
      </c>
      <c r="K234" s="129">
        <f t="shared" si="57"/>
        <v>0.3</v>
      </c>
      <c r="L234" s="129">
        <f t="shared" si="57"/>
        <v>0.3</v>
      </c>
      <c r="M234" s="129">
        <f t="shared" si="57"/>
        <v>0.3</v>
      </c>
      <c r="N234" s="129">
        <f t="shared" si="57"/>
        <v>0.3</v>
      </c>
      <c r="O234" s="129">
        <f t="shared" si="57"/>
        <v>0.3</v>
      </c>
      <c r="P234" s="129">
        <f t="shared" si="57"/>
        <v>0.3</v>
      </c>
      <c r="Q234" s="129">
        <f t="shared" si="57"/>
        <v>0.3</v>
      </c>
      <c r="R234" s="129">
        <f t="shared" si="57"/>
        <v>0.3</v>
      </c>
      <c r="S234" s="129">
        <f t="shared" si="57"/>
        <v>0.3</v>
      </c>
      <c r="T234" s="129">
        <f t="shared" si="58"/>
        <v>0.3</v>
      </c>
      <c r="U234" s="129">
        <f t="shared" si="58"/>
        <v>0.3</v>
      </c>
      <c r="V234" s="129">
        <f t="shared" si="58"/>
        <v>0.3</v>
      </c>
      <c r="W234" s="129">
        <f t="shared" si="58"/>
        <v>0.3</v>
      </c>
      <c r="X234" s="129">
        <f t="shared" si="58"/>
        <v>0.3</v>
      </c>
      <c r="Y234" s="129">
        <f t="shared" si="58"/>
        <v>0.3</v>
      </c>
      <c r="Z234" s="129">
        <f t="shared" si="58"/>
        <v>0.3</v>
      </c>
      <c r="AA234" s="129">
        <f t="shared" si="58"/>
        <v>0.3</v>
      </c>
      <c r="AB234" s="129">
        <f t="shared" si="58"/>
        <v>0.3</v>
      </c>
      <c r="AC234" s="129">
        <f t="shared" si="58"/>
        <v>0.3</v>
      </c>
      <c r="AD234" s="129">
        <f t="shared" si="58"/>
        <v>0.3</v>
      </c>
      <c r="AE234" s="129">
        <f t="shared" si="58"/>
        <v>0.3</v>
      </c>
      <c r="AF234" s="129">
        <f t="shared" si="58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56"/>
        <v>0.4</v>
      </c>
      <c r="C235" s="129">
        <v>0.4</v>
      </c>
      <c r="D235" s="129">
        <f t="shared" si="57"/>
        <v>0.4</v>
      </c>
      <c r="E235" s="129">
        <f t="shared" si="57"/>
        <v>0.4</v>
      </c>
      <c r="F235" s="129">
        <f t="shared" si="57"/>
        <v>0.4</v>
      </c>
      <c r="G235" s="129">
        <f t="shared" si="57"/>
        <v>0.4</v>
      </c>
      <c r="H235" s="129">
        <f t="shared" si="57"/>
        <v>0.4</v>
      </c>
      <c r="I235" s="129">
        <f t="shared" si="57"/>
        <v>0.4</v>
      </c>
      <c r="J235" s="129">
        <f t="shared" si="57"/>
        <v>0.4</v>
      </c>
      <c r="K235" s="129">
        <f t="shared" si="57"/>
        <v>0.4</v>
      </c>
      <c r="L235" s="129">
        <f t="shared" si="57"/>
        <v>0.4</v>
      </c>
      <c r="M235" s="129">
        <f t="shared" si="57"/>
        <v>0.4</v>
      </c>
      <c r="N235" s="129">
        <f t="shared" si="57"/>
        <v>0.4</v>
      </c>
      <c r="O235" s="129">
        <f t="shared" si="57"/>
        <v>0.4</v>
      </c>
      <c r="P235" s="129">
        <f t="shared" si="57"/>
        <v>0.4</v>
      </c>
      <c r="Q235" s="129">
        <f t="shared" si="57"/>
        <v>0.4</v>
      </c>
      <c r="R235" s="129">
        <f t="shared" si="57"/>
        <v>0.4</v>
      </c>
      <c r="S235" s="129">
        <f t="shared" si="57"/>
        <v>0.4</v>
      </c>
      <c r="T235" s="129">
        <f t="shared" si="58"/>
        <v>0.4</v>
      </c>
      <c r="U235" s="129">
        <f t="shared" si="58"/>
        <v>0.4</v>
      </c>
      <c r="V235" s="129">
        <f t="shared" si="58"/>
        <v>0.4</v>
      </c>
      <c r="W235" s="129">
        <f t="shared" si="58"/>
        <v>0.4</v>
      </c>
      <c r="X235" s="129">
        <f t="shared" si="58"/>
        <v>0.4</v>
      </c>
      <c r="Y235" s="129">
        <f t="shared" si="58"/>
        <v>0.4</v>
      </c>
      <c r="Z235" s="129">
        <f t="shared" si="58"/>
        <v>0.4</v>
      </c>
      <c r="AA235" s="129">
        <f t="shared" si="58"/>
        <v>0.4</v>
      </c>
      <c r="AB235" s="129">
        <f t="shared" si="58"/>
        <v>0.4</v>
      </c>
      <c r="AC235" s="129">
        <f t="shared" si="58"/>
        <v>0.4</v>
      </c>
      <c r="AD235" s="129">
        <f t="shared" si="58"/>
        <v>0.4</v>
      </c>
      <c r="AE235" s="129">
        <f t="shared" si="58"/>
        <v>0.4</v>
      </c>
      <c r="AF235" s="129">
        <f t="shared" si="58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56"/>
        <v>0.64</v>
      </c>
      <c r="C236" s="133">
        <v>0.64</v>
      </c>
      <c r="D236" s="133">
        <f t="shared" si="57"/>
        <v>0.64</v>
      </c>
      <c r="E236" s="133">
        <f t="shared" si="57"/>
        <v>0.64</v>
      </c>
      <c r="F236" s="133">
        <f t="shared" si="57"/>
        <v>0.64</v>
      </c>
      <c r="G236" s="133">
        <f t="shared" si="57"/>
        <v>0.64</v>
      </c>
      <c r="H236" s="133">
        <f t="shared" si="57"/>
        <v>0.64</v>
      </c>
      <c r="I236" s="133">
        <f t="shared" si="57"/>
        <v>0.64</v>
      </c>
      <c r="J236" s="133">
        <f t="shared" si="57"/>
        <v>0.64</v>
      </c>
      <c r="K236" s="133">
        <f t="shared" si="57"/>
        <v>0.64</v>
      </c>
      <c r="L236" s="133">
        <f t="shared" si="57"/>
        <v>0.64</v>
      </c>
      <c r="M236" s="133">
        <f t="shared" si="57"/>
        <v>0.64</v>
      </c>
      <c r="N236" s="133">
        <f t="shared" si="57"/>
        <v>0.64</v>
      </c>
      <c r="O236" s="133">
        <f t="shared" si="57"/>
        <v>0.64</v>
      </c>
      <c r="P236" s="133">
        <f t="shared" si="57"/>
        <v>0.64</v>
      </c>
      <c r="Q236" s="133">
        <f t="shared" si="57"/>
        <v>0.64</v>
      </c>
      <c r="R236" s="133">
        <f t="shared" si="57"/>
        <v>0.64</v>
      </c>
      <c r="S236" s="133">
        <f t="shared" si="57"/>
        <v>0.64</v>
      </c>
      <c r="T236" s="133">
        <f t="shared" si="58"/>
        <v>0.64</v>
      </c>
      <c r="U236" s="133">
        <f t="shared" si="58"/>
        <v>0.64</v>
      </c>
      <c r="V236" s="133">
        <f t="shared" si="58"/>
        <v>0.64</v>
      </c>
      <c r="W236" s="133">
        <f t="shared" si="58"/>
        <v>0.64</v>
      </c>
      <c r="X236" s="133">
        <f t="shared" si="58"/>
        <v>0.64</v>
      </c>
      <c r="Y236" s="133">
        <f t="shared" si="58"/>
        <v>0.64</v>
      </c>
      <c r="Z236" s="133">
        <f t="shared" si="58"/>
        <v>0.64</v>
      </c>
      <c r="AA236" s="133">
        <f t="shared" si="58"/>
        <v>0.64</v>
      </c>
      <c r="AB236" s="133">
        <f t="shared" si="58"/>
        <v>0.64</v>
      </c>
      <c r="AC236" s="133">
        <f t="shared" si="58"/>
        <v>0.64</v>
      </c>
      <c r="AD236" s="133">
        <f t="shared" si="58"/>
        <v>0.64</v>
      </c>
      <c r="AE236" s="133">
        <f t="shared" si="58"/>
        <v>0.64</v>
      </c>
      <c r="AF236" s="133">
        <f t="shared" si="58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59">SUM(B231:B236)</f>
        <v>3.54</v>
      </c>
      <c r="C237" s="137">
        <f t="shared" si="59"/>
        <v>3.54</v>
      </c>
      <c r="D237" s="137">
        <f t="shared" si="59"/>
        <v>3.54</v>
      </c>
      <c r="E237" s="137">
        <f t="shared" si="59"/>
        <v>3.54</v>
      </c>
      <c r="F237" s="137">
        <f t="shared" si="59"/>
        <v>3.54</v>
      </c>
      <c r="G237" s="137">
        <f t="shared" si="59"/>
        <v>3.54</v>
      </c>
      <c r="H237" s="137">
        <f t="shared" si="59"/>
        <v>3.54</v>
      </c>
      <c r="I237" s="137">
        <f t="shared" si="59"/>
        <v>3.54</v>
      </c>
      <c r="J237" s="137">
        <f t="shared" si="59"/>
        <v>3.54</v>
      </c>
      <c r="K237" s="137">
        <f t="shared" si="59"/>
        <v>3.54</v>
      </c>
      <c r="L237" s="137">
        <f t="shared" si="59"/>
        <v>3.54</v>
      </c>
      <c r="M237" s="137">
        <f t="shared" si="59"/>
        <v>3.54</v>
      </c>
      <c r="N237" s="137">
        <f t="shared" si="59"/>
        <v>3.54</v>
      </c>
      <c r="O237" s="137">
        <f t="shared" si="59"/>
        <v>3.54</v>
      </c>
      <c r="P237" s="137">
        <f t="shared" si="59"/>
        <v>3.54</v>
      </c>
      <c r="Q237" s="137">
        <f t="shared" si="59"/>
        <v>3.54</v>
      </c>
      <c r="R237" s="137">
        <f t="shared" si="59"/>
        <v>3.54</v>
      </c>
      <c r="S237" s="137">
        <f t="shared" si="59"/>
        <v>3.54</v>
      </c>
      <c r="T237" s="137">
        <f t="shared" si="59"/>
        <v>3.54</v>
      </c>
      <c r="U237" s="137">
        <f t="shared" si="59"/>
        <v>3.54</v>
      </c>
      <c r="V237" s="137">
        <f t="shared" si="59"/>
        <v>3.54</v>
      </c>
      <c r="W237" s="137">
        <f t="shared" si="59"/>
        <v>3.54</v>
      </c>
      <c r="X237" s="137">
        <f t="shared" si="59"/>
        <v>3.54</v>
      </c>
      <c r="Y237" s="137">
        <f t="shared" si="59"/>
        <v>3.54</v>
      </c>
      <c r="Z237" s="137">
        <f t="shared" si="59"/>
        <v>3.54</v>
      </c>
      <c r="AA237" s="137">
        <f t="shared" si="59"/>
        <v>3.54</v>
      </c>
      <c r="AB237" s="137">
        <f t="shared" si="59"/>
        <v>3.54</v>
      </c>
      <c r="AC237" s="137">
        <f t="shared" si="59"/>
        <v>3.54</v>
      </c>
      <c r="AD237" s="137">
        <f t="shared" si="59"/>
        <v>3.54</v>
      </c>
      <c r="AE237" s="137">
        <f t="shared" si="59"/>
        <v>3.54</v>
      </c>
      <c r="AF237" s="137">
        <f t="shared" si="59"/>
        <v>3.54</v>
      </c>
      <c r="AG237" s="146">
        <f t="shared" si="59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1621.54</v>
      </c>
      <c r="C246" s="162">
        <f>INDEX(G9:N9,1,MATCH(MAX(G91:N91),G91:N91,0))</f>
        <v>0.33333333333333331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9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2080/09/9)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2080/09/9)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60">B91</f>
        <v>1068.44</v>
      </c>
      <c r="U251" s="171">
        <f t="shared" si="60"/>
        <v>1019.84</v>
      </c>
      <c r="V251" s="171">
        <f t="shared" si="60"/>
        <v>1019.84</v>
      </c>
      <c r="W251" s="171">
        <f t="shared" si="60"/>
        <v>1008.2400000000001</v>
      </c>
      <c r="X251" s="171">
        <f t="shared" si="60"/>
        <v>1027.24</v>
      </c>
      <c r="Y251" s="171">
        <f t="shared" si="60"/>
        <v>1104.3400000000001</v>
      </c>
      <c r="Z251" s="171">
        <f t="shared" si="60"/>
        <v>1190.94</v>
      </c>
      <c r="AA251" s="171">
        <f t="shared" si="60"/>
        <v>1285.04</v>
      </c>
      <c r="AB251" s="171">
        <f t="shared" si="60"/>
        <v>1410.1399999999999</v>
      </c>
      <c r="AC251" s="171">
        <f t="shared" si="60"/>
        <v>1510.04</v>
      </c>
      <c r="AD251" s="171">
        <f t="shared" si="60"/>
        <v>1603.24</v>
      </c>
      <c r="AE251" s="171">
        <f t="shared" si="60"/>
        <v>1621.54</v>
      </c>
      <c r="AF251" s="171">
        <f t="shared" si="60"/>
        <v>1580.3400000000001</v>
      </c>
      <c r="AG251" s="171">
        <f t="shared" si="60"/>
        <v>1562.54</v>
      </c>
      <c r="AH251" s="171">
        <f t="shared" si="60"/>
        <v>1370.74</v>
      </c>
      <c r="AI251" s="171">
        <f t="shared" si="60"/>
        <v>1275.24</v>
      </c>
      <c r="AJ251" s="171">
        <f t="shared" si="60"/>
        <v>1256.3400000000001</v>
      </c>
      <c r="AK251" s="171">
        <f t="shared" si="60"/>
        <v>1274.6399999999999</v>
      </c>
      <c r="AL251" s="171">
        <f t="shared" si="60"/>
        <v>1270.04</v>
      </c>
      <c r="AM251" s="171">
        <f t="shared" si="60"/>
        <v>1300.94</v>
      </c>
      <c r="AN251" s="171">
        <f t="shared" si="60"/>
        <v>1391.4399999999998</v>
      </c>
      <c r="AO251" s="171">
        <f t="shared" si="60"/>
        <v>1615.5399999999997</v>
      </c>
      <c r="AP251" s="171">
        <f t="shared" si="60"/>
        <v>1753.44</v>
      </c>
      <c r="AQ251" s="171">
        <f t="shared" si="60"/>
        <v>1589.64</v>
      </c>
      <c r="AR251" s="171">
        <f t="shared" si="60"/>
        <v>1596.34</v>
      </c>
      <c r="AS251" s="171">
        <f t="shared" si="60"/>
        <v>1601.2399999999998</v>
      </c>
      <c r="AT251" s="171">
        <f t="shared" si="60"/>
        <v>1473.94</v>
      </c>
      <c r="AU251" s="171">
        <f t="shared" si="60"/>
        <v>1378.44</v>
      </c>
      <c r="AV251" s="171">
        <f t="shared" si="60"/>
        <v>1295.44</v>
      </c>
      <c r="AW251" s="171">
        <f t="shared" si="60"/>
        <v>1164.04</v>
      </c>
      <c r="AX251" s="171">
        <f t="shared" si="60"/>
        <v>1047.04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61">C236</f>
        <v>0.64</v>
      </c>
      <c r="C272" s="174">
        <f t="shared" si="61"/>
        <v>0.64</v>
      </c>
      <c r="D272" s="174">
        <f t="shared" si="61"/>
        <v>0.64</v>
      </c>
      <c r="E272" s="174">
        <f t="shared" si="61"/>
        <v>0.64</v>
      </c>
      <c r="F272" s="174">
        <f t="shared" si="61"/>
        <v>0.64</v>
      </c>
      <c r="G272" s="174">
        <f t="shared" si="61"/>
        <v>0.64</v>
      </c>
      <c r="H272" s="174">
        <f t="shared" si="61"/>
        <v>0.64</v>
      </c>
      <c r="I272" s="174">
        <f t="shared" si="61"/>
        <v>0.64</v>
      </c>
      <c r="J272" s="174">
        <f t="shared" si="61"/>
        <v>0.64</v>
      </c>
      <c r="K272" s="174">
        <f t="shared" si="61"/>
        <v>0.64</v>
      </c>
      <c r="L272" s="174">
        <f t="shared" si="61"/>
        <v>0.64</v>
      </c>
      <c r="M272" s="174">
        <f t="shared" si="61"/>
        <v>0.64</v>
      </c>
      <c r="N272" s="174">
        <f t="shared" si="61"/>
        <v>0.64</v>
      </c>
      <c r="O272" s="174">
        <f t="shared" si="61"/>
        <v>0.64</v>
      </c>
      <c r="P272" s="174">
        <f t="shared" si="61"/>
        <v>0.64</v>
      </c>
      <c r="Q272" s="174">
        <f t="shared" si="61"/>
        <v>0.64</v>
      </c>
      <c r="R272" s="174">
        <f t="shared" si="61"/>
        <v>0.64</v>
      </c>
      <c r="S272" s="174">
        <f t="shared" si="61"/>
        <v>0.64</v>
      </c>
      <c r="T272" s="174">
        <f t="shared" si="61"/>
        <v>0.64</v>
      </c>
      <c r="U272" s="174">
        <f t="shared" si="61"/>
        <v>0.64</v>
      </c>
      <c r="V272" s="174">
        <f t="shared" si="61"/>
        <v>0.64</v>
      </c>
      <c r="W272" s="174">
        <f t="shared" si="61"/>
        <v>0.64</v>
      </c>
      <c r="X272" s="174">
        <f t="shared" si="61"/>
        <v>0.64</v>
      </c>
      <c r="Y272" s="174">
        <f t="shared" si="61"/>
        <v>0.64</v>
      </c>
      <c r="Z272" s="174">
        <f t="shared" si="61"/>
        <v>0.64</v>
      </c>
      <c r="AA272" s="174">
        <f t="shared" si="61"/>
        <v>0.64</v>
      </c>
      <c r="AB272" s="174">
        <f t="shared" si="61"/>
        <v>0.64</v>
      </c>
      <c r="AC272" s="174">
        <f t="shared" si="61"/>
        <v>0.64</v>
      </c>
      <c r="AD272" s="174">
        <f t="shared" si="61"/>
        <v>0.64</v>
      </c>
      <c r="AE272" s="174">
        <f t="shared" si="61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62">IF(B240&lt;100,"",B240-520)</f>
        <v/>
      </c>
      <c r="C273" s="175" t="str">
        <f t="shared" si="62"/>
        <v/>
      </c>
      <c r="D273" s="175" t="str">
        <f t="shared" si="62"/>
        <v/>
      </c>
      <c r="E273" s="175" t="str">
        <f t="shared" si="62"/>
        <v/>
      </c>
      <c r="F273" s="175" t="str">
        <f t="shared" si="62"/>
        <v/>
      </c>
      <c r="G273" s="175" t="str">
        <f t="shared" si="62"/>
        <v/>
      </c>
      <c r="H273" s="175" t="str">
        <f t="shared" si="62"/>
        <v/>
      </c>
      <c r="I273" s="175" t="str">
        <f t="shared" si="62"/>
        <v/>
      </c>
      <c r="J273" s="175" t="str">
        <f t="shared" si="62"/>
        <v/>
      </c>
      <c r="K273" s="175" t="str">
        <f t="shared" si="62"/>
        <v/>
      </c>
      <c r="L273" s="175" t="str">
        <f t="shared" si="62"/>
        <v/>
      </c>
      <c r="M273" s="175" t="str">
        <f t="shared" si="62"/>
        <v/>
      </c>
      <c r="N273" s="175" t="str">
        <f t="shared" si="62"/>
        <v/>
      </c>
      <c r="O273" s="175" t="str">
        <f t="shared" si="62"/>
        <v/>
      </c>
      <c r="P273" s="175" t="str">
        <f t="shared" si="62"/>
        <v/>
      </c>
      <c r="Q273" s="175" t="str">
        <f t="shared" si="62"/>
        <v/>
      </c>
      <c r="R273" s="175" t="str">
        <f t="shared" si="62"/>
        <v/>
      </c>
      <c r="S273" s="175" t="str">
        <f t="shared" si="62"/>
        <v/>
      </c>
      <c r="T273" s="175" t="str">
        <f t="shared" si="62"/>
        <v/>
      </c>
      <c r="U273" s="175" t="str">
        <f t="shared" si="62"/>
        <v/>
      </c>
      <c r="V273" s="175" t="str">
        <f t="shared" si="62"/>
        <v/>
      </c>
      <c r="W273" s="175" t="str">
        <f t="shared" si="62"/>
        <v/>
      </c>
      <c r="X273" s="175" t="str">
        <f t="shared" si="62"/>
        <v/>
      </c>
      <c r="Y273" s="175" t="str">
        <f t="shared" si="62"/>
        <v/>
      </c>
      <c r="Z273" s="175" t="str">
        <f t="shared" si="62"/>
        <v/>
      </c>
      <c r="AA273" s="175" t="str">
        <f t="shared" si="62"/>
        <v/>
      </c>
      <c r="AB273" s="175" t="str">
        <f t="shared" si="62"/>
        <v/>
      </c>
      <c r="AC273" s="175" t="str">
        <f t="shared" si="62"/>
        <v/>
      </c>
      <c r="AD273" s="175" t="str">
        <f t="shared" si="62"/>
        <v/>
      </c>
      <c r="AE273" s="175" t="str">
        <f t="shared" si="62"/>
        <v/>
      </c>
      <c r="AF273" s="175" t="str">
        <f t="shared" si="62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63">IF(B241&lt;100,"",B241-620)</f>
        <v/>
      </c>
      <c r="C274" s="175" t="str">
        <f t="shared" si="63"/>
        <v/>
      </c>
      <c r="D274" s="175" t="str">
        <f t="shared" si="63"/>
        <v/>
      </c>
      <c r="E274" s="175" t="str">
        <f t="shared" si="63"/>
        <v/>
      </c>
      <c r="F274" s="175" t="str">
        <f t="shared" si="63"/>
        <v/>
      </c>
      <c r="G274" s="175" t="str">
        <f t="shared" si="63"/>
        <v/>
      </c>
      <c r="H274" s="175" t="str">
        <f t="shared" si="63"/>
        <v/>
      </c>
      <c r="I274" s="175" t="str">
        <f t="shared" si="63"/>
        <v/>
      </c>
      <c r="J274" s="175" t="str">
        <f t="shared" si="63"/>
        <v/>
      </c>
      <c r="K274" s="175" t="str">
        <f t="shared" si="63"/>
        <v/>
      </c>
      <c r="L274" s="175" t="str">
        <f t="shared" si="63"/>
        <v/>
      </c>
      <c r="M274" s="175" t="str">
        <f t="shared" si="63"/>
        <v/>
      </c>
      <c r="N274" s="175" t="str">
        <f t="shared" si="63"/>
        <v/>
      </c>
      <c r="O274" s="175" t="str">
        <f t="shared" si="63"/>
        <v/>
      </c>
      <c r="P274" s="175" t="str">
        <f t="shared" si="63"/>
        <v/>
      </c>
      <c r="Q274" s="175" t="str">
        <f t="shared" si="63"/>
        <v/>
      </c>
      <c r="R274" s="175" t="str">
        <f t="shared" si="63"/>
        <v/>
      </c>
      <c r="S274" s="175" t="str">
        <f t="shared" si="63"/>
        <v/>
      </c>
      <c r="T274" s="175" t="str">
        <f t="shared" si="63"/>
        <v/>
      </c>
      <c r="U274" s="175" t="str">
        <f t="shared" si="63"/>
        <v/>
      </c>
      <c r="V274" s="175" t="str">
        <f t="shared" si="63"/>
        <v/>
      </c>
      <c r="W274" s="175" t="str">
        <f t="shared" si="63"/>
        <v/>
      </c>
      <c r="X274" s="175" t="str">
        <f t="shared" si="63"/>
        <v/>
      </c>
      <c r="Y274" s="175" t="str">
        <f t="shared" si="63"/>
        <v/>
      </c>
      <c r="Z274" s="175" t="str">
        <f t="shared" si="63"/>
        <v/>
      </c>
      <c r="AA274" s="175" t="str">
        <f t="shared" si="63"/>
        <v/>
      </c>
      <c r="AB274" s="175" t="str">
        <f t="shared" si="63"/>
        <v/>
      </c>
      <c r="AC274" s="175" t="str">
        <f t="shared" si="63"/>
        <v/>
      </c>
      <c r="AD274" s="175" t="str">
        <f t="shared" si="63"/>
        <v/>
      </c>
      <c r="AE274" s="175" t="str">
        <f t="shared" si="63"/>
        <v/>
      </c>
      <c r="AF274" s="175" t="str">
        <f t="shared" si="63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64">IF(B242&lt;100,"",B242-330)</f>
        <v/>
      </c>
      <c r="C275" s="175" t="str">
        <f t="shared" si="64"/>
        <v/>
      </c>
      <c r="D275" s="175" t="str">
        <f t="shared" si="64"/>
        <v/>
      </c>
      <c r="E275" s="175" t="str">
        <f t="shared" si="64"/>
        <v/>
      </c>
      <c r="F275" s="175" t="str">
        <f t="shared" si="64"/>
        <v/>
      </c>
      <c r="G275" s="175" t="str">
        <f t="shared" si="64"/>
        <v/>
      </c>
      <c r="H275" s="175" t="str">
        <f t="shared" si="64"/>
        <v/>
      </c>
      <c r="I275" s="175" t="str">
        <f t="shared" si="64"/>
        <v/>
      </c>
      <c r="J275" s="175" t="str">
        <f t="shared" si="64"/>
        <v/>
      </c>
      <c r="K275" s="175" t="str">
        <f t="shared" si="64"/>
        <v/>
      </c>
      <c r="L275" s="175" t="str">
        <f t="shared" si="64"/>
        <v/>
      </c>
      <c r="M275" s="175" t="str">
        <f t="shared" si="64"/>
        <v/>
      </c>
      <c r="N275" s="175" t="str">
        <f t="shared" si="64"/>
        <v/>
      </c>
      <c r="O275" s="175" t="str">
        <f t="shared" si="64"/>
        <v/>
      </c>
      <c r="P275" s="175" t="str">
        <f t="shared" si="64"/>
        <v/>
      </c>
      <c r="Q275" s="175" t="str">
        <f t="shared" si="64"/>
        <v/>
      </c>
      <c r="R275" s="175" t="str">
        <f t="shared" si="64"/>
        <v/>
      </c>
      <c r="S275" s="175" t="str">
        <f t="shared" si="64"/>
        <v/>
      </c>
      <c r="T275" s="175" t="str">
        <f t="shared" si="64"/>
        <v/>
      </c>
      <c r="U275" s="175" t="str">
        <f t="shared" si="64"/>
        <v/>
      </c>
      <c r="V275" s="175" t="str">
        <f t="shared" si="64"/>
        <v/>
      </c>
      <c r="W275" s="175" t="str">
        <f t="shared" si="64"/>
        <v/>
      </c>
      <c r="X275" s="175" t="str">
        <f t="shared" si="64"/>
        <v/>
      </c>
      <c r="Y275" s="175" t="str">
        <f t="shared" si="64"/>
        <v/>
      </c>
      <c r="Z275" s="175" t="str">
        <f t="shared" si="64"/>
        <v/>
      </c>
      <c r="AA275" s="175" t="str">
        <f t="shared" si="64"/>
        <v/>
      </c>
      <c r="AB275" s="175" t="str">
        <f t="shared" si="64"/>
        <v/>
      </c>
      <c r="AC275" s="175" t="str">
        <f t="shared" si="64"/>
        <v/>
      </c>
      <c r="AD275" s="175" t="str">
        <f t="shared" si="64"/>
        <v/>
      </c>
      <c r="AE275" s="175" t="str">
        <f t="shared" si="64"/>
        <v/>
      </c>
      <c r="AF275" s="175" t="str">
        <f t="shared" si="64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65">IF(B243&lt;100,"",B243-1500)</f>
        <v/>
      </c>
      <c r="C276" s="175" t="str">
        <f t="shared" si="65"/>
        <v/>
      </c>
      <c r="D276" s="175" t="str">
        <f t="shared" si="65"/>
        <v/>
      </c>
      <c r="E276" s="175" t="str">
        <f t="shared" si="65"/>
        <v/>
      </c>
      <c r="F276" s="175" t="str">
        <f t="shared" si="65"/>
        <v/>
      </c>
      <c r="G276" s="175" t="str">
        <f t="shared" si="65"/>
        <v/>
      </c>
      <c r="H276" s="175" t="str">
        <f t="shared" si="65"/>
        <v/>
      </c>
      <c r="I276" s="175" t="str">
        <f t="shared" si="65"/>
        <v/>
      </c>
      <c r="J276" s="175" t="str">
        <f t="shared" si="65"/>
        <v/>
      </c>
      <c r="K276" s="175" t="str">
        <f t="shared" si="65"/>
        <v/>
      </c>
      <c r="L276" s="175" t="str">
        <f t="shared" si="65"/>
        <v/>
      </c>
      <c r="M276" s="175" t="str">
        <f t="shared" si="65"/>
        <v/>
      </c>
      <c r="N276" s="175" t="str">
        <f t="shared" si="65"/>
        <v/>
      </c>
      <c r="O276" s="175" t="str">
        <f t="shared" si="65"/>
        <v/>
      </c>
      <c r="P276" s="175" t="str">
        <f t="shared" si="65"/>
        <v/>
      </c>
      <c r="Q276" s="175" t="str">
        <f t="shared" si="65"/>
        <v/>
      </c>
      <c r="R276" s="175" t="str">
        <f t="shared" si="65"/>
        <v/>
      </c>
      <c r="S276" s="175" t="str">
        <f t="shared" si="65"/>
        <v/>
      </c>
      <c r="T276" s="175" t="str">
        <f t="shared" si="65"/>
        <v/>
      </c>
      <c r="U276" s="175" t="str">
        <f t="shared" si="65"/>
        <v/>
      </c>
      <c r="V276" s="175" t="str">
        <f t="shared" si="65"/>
        <v/>
      </c>
      <c r="W276" s="175" t="str">
        <f t="shared" si="65"/>
        <v/>
      </c>
      <c r="X276" s="175" t="str">
        <f t="shared" si="65"/>
        <v/>
      </c>
      <c r="Y276" s="175" t="str">
        <f t="shared" si="65"/>
        <v/>
      </c>
      <c r="Z276" s="175" t="str">
        <f t="shared" si="65"/>
        <v/>
      </c>
      <c r="AA276" s="175" t="str">
        <f t="shared" si="65"/>
        <v/>
      </c>
      <c r="AB276" s="175" t="str">
        <f t="shared" si="65"/>
        <v/>
      </c>
      <c r="AC276" s="175" t="str">
        <f t="shared" si="65"/>
        <v/>
      </c>
      <c r="AD276" s="175" t="str">
        <f t="shared" si="65"/>
        <v/>
      </c>
      <c r="AE276" s="175" t="str">
        <f t="shared" si="65"/>
        <v/>
      </c>
      <c r="AF276" s="175" t="str">
        <f t="shared" si="65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8:B24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8">
    <cfRule type="expression" dxfId="2765" priority="1">
      <formula>$AH11=0</formula>
    </cfRule>
  </conditionalFormatting>
  <conditionalFormatting sqref="B8 M8 S8 AB8">
    <cfRule type="expression" dxfId="2764" priority="120">
      <formula>AND(C$9&gt;=8/24,C$9&lt;14/24)</formula>
    </cfRule>
    <cfRule type="expression" dxfId="2763" priority="119">
      <formula>AND(C$9&gt;=14/24,C$9&lt;20/24)</formula>
    </cfRule>
    <cfRule type="expression" dxfId="2762" priority="121">
      <formula>C$9&lt;8/24</formula>
    </cfRule>
  </conditionalFormatting>
  <conditionalFormatting sqref="B54:C54">
    <cfRule type="expression" dxfId="2761" priority="43">
      <formula>B$9&gt;=20/24</formula>
    </cfRule>
    <cfRule type="expression" dxfId="2760" priority="44">
      <formula>AND(B$9&gt;=14/24,B$9&lt;20/24)</formula>
    </cfRule>
    <cfRule type="expression" dxfId="2759" priority="45">
      <formula>AND(B$9&gt;=8/24,B$9&lt;14/24)</formula>
    </cfRule>
    <cfRule type="expression" dxfId="2758" priority="46">
      <formula>B$9&lt;8/24</formula>
    </cfRule>
  </conditionalFormatting>
  <conditionalFormatting sqref="B54:C66 C62:U62">
    <cfRule type="expression" dxfId="2757" priority="38">
      <formula>B54&gt;$AG54</formula>
    </cfRule>
  </conditionalFormatting>
  <conditionalFormatting sqref="B55:D59 E58:E59">
    <cfRule type="expression" dxfId="2756" priority="68">
      <formula>B$9&lt;8/24</formula>
    </cfRule>
    <cfRule type="expression" dxfId="2755" priority="67">
      <formula>AND(B$9&gt;=8/24,B$9&lt;14/24)</formula>
    </cfRule>
    <cfRule type="expression" dxfId="2754" priority="66">
      <formula>AND(B$9&gt;=14/24,B$9&lt;20/24)</formula>
    </cfRule>
    <cfRule type="expression" dxfId="2753" priority="65">
      <formula>B$9&gt;=20/24</formula>
    </cfRule>
  </conditionalFormatting>
  <conditionalFormatting sqref="B60:U60">
    <cfRule type="expression" dxfId="2752" priority="59">
      <formula>B$9&lt;8/24</formula>
    </cfRule>
    <cfRule type="expression" dxfId="2751" priority="58">
      <formula>AND(B$9&gt;=8/24,B$9&lt;14/24)</formula>
    </cfRule>
    <cfRule type="expression" dxfId="2750" priority="57">
      <formula>AND(B$9&gt;=14/24,B$9&lt;20/24)</formula>
    </cfRule>
    <cfRule type="expression" dxfId="2749" priority="56">
      <formula>B$9&gt;=20/24</formula>
    </cfRule>
  </conditionalFormatting>
  <conditionalFormatting sqref="B9:AF45">
    <cfRule type="expression" dxfId="2748" priority="29">
      <formula>AND(B$9&gt;=14/24,B$9&lt;20/24)</formula>
    </cfRule>
    <cfRule type="expression" dxfId="2747" priority="28">
      <formula>B$9&gt;=20/24</formula>
    </cfRule>
    <cfRule type="expression" dxfId="2746" priority="30">
      <formula>AND(B$9&gt;=8/24,B$9&lt;14/24)</formula>
    </cfRule>
    <cfRule type="expression" dxfId="2745" priority="31">
      <formula>B$9&lt;8/24</formula>
    </cfRule>
  </conditionalFormatting>
  <conditionalFormatting sqref="B11:AF46">
    <cfRule type="expression" dxfId="2744" priority="27">
      <formula>B11&gt;$AG11</formula>
    </cfRule>
  </conditionalFormatting>
  <conditionalFormatting sqref="B46:AF46">
    <cfRule type="expression" dxfId="2743" priority="23">
      <formula>B$9&gt;=20/24</formula>
    </cfRule>
    <cfRule type="expression" dxfId="2742" priority="24">
      <formula>AND(B$9&gt;=14/24,B$9&lt;20/24)</formula>
    </cfRule>
    <cfRule type="expression" dxfId="2741" priority="25">
      <formula>AND(B$9&gt;=8/24,B$9&lt;14/24)</formula>
    </cfRule>
    <cfRule type="expression" dxfId="2740" priority="26">
      <formula>B$9&lt;8/24</formula>
    </cfRule>
  </conditionalFormatting>
  <conditionalFormatting sqref="B47:AF47">
    <cfRule type="expression" dxfId="2739" priority="37">
      <formula>B47&gt;$AG47</formula>
    </cfRule>
  </conditionalFormatting>
  <conditionalFormatting sqref="B47:AF49">
    <cfRule type="expression" dxfId="2738" priority="33">
      <formula>B$9&gt;=20/24</formula>
    </cfRule>
    <cfRule type="expression" dxfId="2737" priority="34">
      <formula>AND(B$9&gt;=14/24,B$9&lt;20/24)</formula>
    </cfRule>
    <cfRule type="expression" dxfId="2736" priority="35">
      <formula>AND(B$9&gt;=8/24,B$9&lt;14/24)</formula>
    </cfRule>
    <cfRule type="expression" dxfId="2735" priority="36">
      <formula>B$9&lt;8/24</formula>
    </cfRule>
  </conditionalFormatting>
  <conditionalFormatting sqref="B48:AF53">
    <cfRule type="expression" dxfId="2734" priority="32">
      <formula>B48&gt;$AG48</formula>
    </cfRule>
  </conditionalFormatting>
  <conditionalFormatting sqref="B51:AF53">
    <cfRule type="expression" dxfId="2733" priority="53">
      <formula>AND(B$9&gt;=14/24,B$9&lt;20/24)</formula>
    </cfRule>
    <cfRule type="expression" dxfId="2732" priority="54">
      <formula>AND(B$9&gt;=8/24,B$9&lt;14/24)</formula>
    </cfRule>
    <cfRule type="expression" dxfId="2731" priority="55">
      <formula>B$9&lt;8/24</formula>
    </cfRule>
    <cfRule type="expression" dxfId="2730" priority="52">
      <formula>B$9&gt;=20/24</formula>
    </cfRule>
  </conditionalFormatting>
  <conditionalFormatting sqref="B61:AF66">
    <cfRule type="expression" dxfId="2729" priority="42">
      <formula>B$9&lt;8/24</formula>
    </cfRule>
    <cfRule type="expression" dxfId="2728" priority="41">
      <formula>AND(B$9&gt;=8/24,B$9&lt;14/24)</formula>
    </cfRule>
    <cfRule type="expression" dxfId="2727" priority="40">
      <formula>AND(B$9&gt;=14/24,B$9&lt;20/24)</formula>
    </cfRule>
    <cfRule type="expression" dxfId="2726" priority="39">
      <formula>B$9&gt;=20/24</formula>
    </cfRule>
  </conditionalFormatting>
  <conditionalFormatting sqref="B69:AF71">
    <cfRule type="expression" dxfId="2725" priority="60">
      <formula>B69&gt;$AG69</formula>
    </cfRule>
    <cfRule type="expression" dxfId="2724" priority="61">
      <formula>B$9&gt;=20/24</formula>
    </cfRule>
    <cfRule type="expression" dxfId="2723" priority="62">
      <formula>AND(B$9&gt;=14/24,B$9&lt;20/24)</formula>
    </cfRule>
    <cfRule type="expression" dxfId="2722" priority="63">
      <formula>AND(B$9&gt;=8/24,B$9&lt;14/24)</formula>
    </cfRule>
    <cfRule type="expression" dxfId="2721" priority="64">
      <formula>B$9&lt;8/24</formula>
    </cfRule>
  </conditionalFormatting>
  <conditionalFormatting sqref="B73:AF91">
    <cfRule type="expression" dxfId="2720" priority="9">
      <formula>B$9&lt;8/24</formula>
    </cfRule>
    <cfRule type="expression" dxfId="2719" priority="6">
      <formula>B$9&gt;=20/24</formula>
    </cfRule>
    <cfRule type="expression" dxfId="2718" priority="7">
      <formula>AND(B$9&gt;=14/24,B$9&lt;20/24)</formula>
    </cfRule>
    <cfRule type="expression" dxfId="2717" priority="8">
      <formula>AND(B$9&gt;=8/24,B$9&lt;14/24)</formula>
    </cfRule>
  </conditionalFormatting>
  <conditionalFormatting sqref="B93:AF109">
    <cfRule type="expression" dxfId="2716" priority="3">
      <formula>AND(B$9&gt;=14/24,B$9&lt;20/24)</formula>
    </cfRule>
    <cfRule type="expression" dxfId="2715" priority="4">
      <formula>AND(B$9&gt;=8/24,B$9&lt;14/24)</formula>
    </cfRule>
    <cfRule type="expression" dxfId="2714" priority="5">
      <formula>B$9&lt;8/24</formula>
    </cfRule>
    <cfRule type="expression" dxfId="2713" priority="2">
      <formula>B$9&gt;=20/24</formula>
    </cfRule>
  </conditionalFormatting>
  <conditionalFormatting sqref="B111:AF122">
    <cfRule type="expression" dxfId="2712" priority="19">
      <formula>B$9&gt;=20/24</formula>
    </cfRule>
    <cfRule type="expression" dxfId="2711" priority="20">
      <formula>AND(B$9&gt;=14/24,B$9&lt;20/24)</formula>
    </cfRule>
    <cfRule type="expression" dxfId="2710" priority="22">
      <formula>B$9&lt;8/24</formula>
    </cfRule>
    <cfRule type="expression" dxfId="2709" priority="21">
      <formula>AND(B$9&gt;=8/24,B$9&lt;14/24)</formula>
    </cfRule>
  </conditionalFormatting>
  <conditionalFormatting sqref="B229:AF229 B231:B237 D231:AF237 U250:AF250">
    <cfRule type="expression" dxfId="2708" priority="115">
      <formula>B$9&lt;8/24</formula>
    </cfRule>
    <cfRule type="expression" dxfId="2707" priority="114">
      <formula>AND(B$9&gt;=8/24,B$9&lt;14/24)</formula>
    </cfRule>
    <cfRule type="expression" dxfId="2706" priority="112">
      <formula>B$9&gt;=20/24</formula>
    </cfRule>
    <cfRule type="expression" dxfId="2705" priority="113">
      <formula>AND(B$9&gt;=14/24,B$9&lt;20/24)</formula>
    </cfRule>
  </conditionalFormatting>
  <conditionalFormatting sqref="B67:AG68 B72:AG72">
    <cfRule type="expression" dxfId="2704" priority="47">
      <formula>B67&gt;$AG67</formula>
    </cfRule>
  </conditionalFormatting>
  <conditionalFormatting sqref="B72:AG72">
    <cfRule type="expression" dxfId="2703" priority="51">
      <formula>B$9&lt;8/24</formula>
    </cfRule>
    <cfRule type="expression" dxfId="2702" priority="50">
      <formula>AND(B$9&gt;=8/24,B$9&lt;14/24)</formula>
    </cfRule>
    <cfRule type="expression" dxfId="2701" priority="48">
      <formula>B$9&gt;=20/24</formula>
    </cfRule>
    <cfRule type="expression" dxfId="2700" priority="49">
      <formula>AND(B$9&gt;=14/24,B$9&lt;20/24)</formula>
    </cfRule>
  </conditionalFormatting>
  <conditionalFormatting sqref="D55:AF66">
    <cfRule type="expression" dxfId="2699" priority="10">
      <formula>D55&gt;$AG55</formula>
    </cfRule>
  </conditionalFormatting>
  <conditionalFormatting sqref="D54:AG54">
    <cfRule type="expression" dxfId="2698" priority="84">
      <formula>D$9&lt;8/24</formula>
    </cfRule>
    <cfRule type="expression" dxfId="2697" priority="83">
      <formula>AND(D$9&gt;=8/24,D$9&lt;14/24)</formula>
    </cfRule>
    <cfRule type="expression" dxfId="2696" priority="80">
      <formula>D54&gt;$AG54</formula>
    </cfRule>
    <cfRule type="expression" dxfId="2695" priority="81">
      <formula>D$9&gt;=20/24</formula>
    </cfRule>
    <cfRule type="expression" dxfId="2694" priority="82">
      <formula>AND(D$9&gt;=14/24,D$9&lt;20/24)</formula>
    </cfRule>
  </conditionalFormatting>
  <conditionalFormatting sqref="E55:M57">
    <cfRule type="expression" dxfId="2693" priority="93">
      <formula>E$9&gt;=20/24</formula>
    </cfRule>
    <cfRule type="expression" dxfId="2692" priority="94">
      <formula>AND(E$9&gt;=14/24,E$9&lt;20/24)</formula>
    </cfRule>
    <cfRule type="expression" dxfId="2691" priority="95">
      <formula>AND(E$9&gt;=8/24,E$9&lt;14/24)</formula>
    </cfRule>
    <cfRule type="expression" dxfId="2690" priority="96">
      <formula>E$9&lt;8/24</formula>
    </cfRule>
  </conditionalFormatting>
  <conditionalFormatting sqref="M55:R59 S59">
    <cfRule type="expression" dxfId="2689" priority="97">
      <formula>M$9&gt;=20/24</formula>
    </cfRule>
    <cfRule type="expression" dxfId="2688" priority="99">
      <formula>AND(M$9&gt;=8/24,M$9&lt;14/24)</formula>
    </cfRule>
    <cfRule type="expression" dxfId="2687" priority="100">
      <formula>M$9&lt;8/24</formula>
    </cfRule>
    <cfRule type="expression" dxfId="2686" priority="98">
      <formula>AND(M$9&gt;=14/24,M$9&lt;20/24)</formula>
    </cfRule>
  </conditionalFormatting>
  <conditionalFormatting sqref="O3:P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685" priority="118">
      <formula>C$9&gt;=20/24</formula>
    </cfRule>
  </conditionalFormatting>
  <conditionalFormatting sqref="S8">
    <cfRule type="expression" dxfId="2684" priority="107">
      <formula>AND(U$9&gt;=8/24,U$9&lt;14/24)</formula>
    </cfRule>
    <cfRule type="expression" dxfId="2683" priority="106">
      <formula>AND(U$9&gt;=14/24,U$9&lt;20/24)</formula>
    </cfRule>
    <cfRule type="expression" dxfId="2682" priority="105">
      <formula>U$9&gt;=20/24</formula>
    </cfRule>
    <cfRule type="expression" dxfId="2681" priority="108">
      <formula>U$9&lt;8/24</formula>
    </cfRule>
  </conditionalFormatting>
  <conditionalFormatting sqref="S55:AF60">
    <cfRule type="expression" dxfId="2680" priority="15">
      <formula>S$9&gt;=20/24</formula>
    </cfRule>
    <cfRule type="expression" dxfId="2679" priority="16">
      <formula>AND(S$9&gt;=14/24,S$9&lt;20/24)</formula>
    </cfRule>
    <cfRule type="expression" dxfId="2678" priority="18">
      <formula>S$9&lt;8/24</formula>
    </cfRule>
    <cfRule type="expression" dxfId="2677" priority="17">
      <formula>AND(S$9&gt;=8/24,S$9&lt;14/24)</formula>
    </cfRule>
  </conditionalFormatting>
  <conditionalFormatting sqref="T250">
    <cfRule type="expression" dxfId="2676" priority="133">
      <formula>AX$9&lt;8/24</formula>
    </cfRule>
    <cfRule type="expression" dxfId="2675" priority="130">
      <formula>AX$9&gt;=20/24</formula>
    </cfRule>
    <cfRule type="expression" dxfId="2674" priority="131">
      <formula>AND(AX$9&gt;=14/24,AX$9&lt;20/24)</formula>
    </cfRule>
    <cfRule type="expression" dxfId="2673" priority="132">
      <formula>AND(AX$9&gt;=8/24,AX$9&lt;14/24)</formula>
    </cfRule>
  </conditionalFormatting>
  <conditionalFormatting sqref="V3 AB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672" priority="103">
      <formula>AND(AD$9&gt;=8/24,AD$9&lt;14/24)</formula>
    </cfRule>
    <cfRule type="expression" dxfId="2671" priority="102">
      <formula>AND(AD$9&gt;=14/24,AD$9&lt;20/24)</formula>
    </cfRule>
    <cfRule type="expression" dxfId="2670" priority="101">
      <formula>AD$9&gt;=20/24</formula>
    </cfRule>
    <cfRule type="expression" dxfId="2669" priority="104">
      <formula>AD$9&lt;8/24</formula>
    </cfRule>
  </conditionalFormatting>
  <conditionalFormatting sqref="AG50">
    <cfRule type="expression" dxfId="2668" priority="88">
      <formula>AG50&gt;$AG50</formula>
    </cfRule>
  </conditionalFormatting>
  <conditionalFormatting sqref="AG89">
    <cfRule type="expression" dxfId="2667" priority="89">
      <formula>AG$9&gt;=20/24</formula>
    </cfRule>
    <cfRule type="expression" dxfId="2666" priority="90">
      <formula>AND(AG$9&gt;=14/24,AG$9&lt;20/24)</formula>
    </cfRule>
    <cfRule type="expression" dxfId="2665" priority="91">
      <formula>AND(AG$9&gt;=8/24,AG$9&lt;14/24)</formula>
    </cfRule>
    <cfRule type="expression" dxfId="2664" priority="92">
      <formula>AG$9&lt;8/24</formula>
    </cfRule>
  </conditionalFormatting>
  <conditionalFormatting sqref="AG250">
    <cfRule type="expression" dxfId="2663" priority="122">
      <formula>B$9&gt;=20/24</formula>
    </cfRule>
    <cfRule type="expression" dxfId="2662" priority="125">
      <formula>B$9&lt;8/24</formula>
    </cfRule>
    <cfRule type="expression" dxfId="2661" priority="124">
      <formula>AND(B$9&gt;=8/24,B$9&lt;14/24)</formula>
    </cfRule>
    <cfRule type="expression" dxfId="2660" priority="123">
      <formula>AND(B$9&gt;=14/24,B$9&lt;20/24)</formula>
    </cfRule>
  </conditionalFormatting>
  <conditionalFormatting sqref="AH250:AX250">
    <cfRule type="expression" dxfId="2659" priority="129">
      <formula>AG$9&lt;8/24</formula>
    </cfRule>
    <cfRule type="expression" dxfId="2658" priority="128">
      <formula>AND(AG$9&gt;=8/24,AG$9&lt;14/24)</formula>
    </cfRule>
    <cfRule type="expression" dxfId="2657" priority="127">
      <formula>AND(AG$9&gt;=14/24,AG$9&lt;20/24)</formula>
    </cfRule>
    <cfRule type="expression" dxfId="2656" priority="126">
      <formula>AG$9&gt;=20/24</formula>
    </cfRule>
  </conditionalFormatting>
  <conditionalFormatting sqref="AL4:AL6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655" priority="135">
      <formula>AJ$9&gt;=20/24</formula>
    </cfRule>
    <cfRule type="expression" dxfId="2654" priority="136">
      <formula>AND(AJ$9&gt;=14/24,AJ$9&lt;20/24)</formula>
    </cfRule>
    <cfRule type="expression" dxfId="2653" priority="137">
      <formula>AND(AJ$9&gt;=8/24,AJ$9&lt;14/24)</formula>
    </cfRule>
    <cfRule type="expression" dxfId="2652" priority="138">
      <formula>AJ$9&lt;8/24</formula>
    </cfRule>
  </conditionalFormatting>
  <conditionalFormatting sqref="AL80:AN80 AL86:AN86">
    <cfRule type="expression" dxfId="2651" priority="79">
      <formula>AL$9&lt;8/24</formula>
    </cfRule>
    <cfRule type="expression" dxfId="2650" priority="78">
      <formula>AND(AL$9&gt;=8/24,AL$9&lt;14/24)</formula>
    </cfRule>
    <cfRule type="expression" dxfId="2649" priority="77">
      <formula>AND(AL$9&gt;=14/24,AL$9&lt;20/24)</formula>
    </cfRule>
    <cfRule type="expression" dxfId="2648" priority="76">
      <formula>AL$9&gt;=20/24</formula>
    </cfRule>
  </conditionalFormatting>
  <conditionalFormatting sqref="AN81:AN84">
    <cfRule type="expression" dxfId="2647" priority="75">
      <formula>AN$9&lt;8/24</formula>
    </cfRule>
    <cfRule type="expression" dxfId="2646" priority="73">
      <formula>AND(AN$9&gt;=14/24,AN$9&lt;20/24)</formula>
    </cfRule>
    <cfRule type="expression" dxfId="2645" priority="74">
      <formula>AND(AN$9&gt;=8/24,AN$9&lt;14/24)</formula>
    </cfRule>
    <cfRule type="expression" dxfId="2644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082F-C568-4D3A-A3F1-E51511A2C6D5}">
  <sheetPr codeName="Sheet11"/>
  <dimension ref="A1:CJ283"/>
  <sheetViews>
    <sheetView workbookViewId="0">
      <pane xSplit="1" ySplit="10" topLeftCell="T6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B75" activeCellId="6" sqref="C75:G75 I75 K75 M75:V75 X75 Z75 AB75:AF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6" width="6.42578125" style="1" bestFit="1" customWidth="1"/>
    <col min="7" max="7" width="8.7109375" style="1" customWidth="1"/>
    <col min="8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2080/09/10</v>
      </c>
      <c r="C4" s="246"/>
      <c r="D4" s="246"/>
      <c r="E4" s="247" t="str">
        <f ca="1">"2080/"&amp;"09/"&amp;INT(MID(CELL("filename",G6),FIND("]",CELL("filename",G6))+1,200))</f>
        <v>2080/09/10</v>
      </c>
      <c r="F4" s="247"/>
      <c r="G4" s="247"/>
      <c r="H4" s="247" t="str">
        <f ca="1">TEXT(E4,"dddd")</f>
        <v>Tuesday</v>
      </c>
      <c r="I4" s="247"/>
      <c r="J4" s="26"/>
      <c r="K4" s="1" t="str">
        <f>"Total Peak Supply(Inclusive of Export) ("&amp;ROUND(B254,0)&amp;" MW)"&amp;"    IPP   = "&amp;ROUND(B249,0)&amp;" MW     NEA RoR = "&amp;ROUND(B250,0)&amp;" MWImport   = "&amp;ROUND(B252,0)&amp;" MW      KL1+KL2+K3 = "&amp;ROUND(B251,0) &amp;" MW    EXPORT = "&amp;ROUND(B253,0)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148</v>
      </c>
      <c r="C5" s="30">
        <f t="shared" si="0"/>
        <v>97</v>
      </c>
      <c r="D5" s="30">
        <f t="shared" si="0"/>
        <v>111.4</v>
      </c>
      <c r="E5" s="30">
        <f t="shared" si="0"/>
        <v>111.19999999999999</v>
      </c>
      <c r="F5" s="30">
        <f t="shared" si="0"/>
        <v>184.7</v>
      </c>
      <c r="G5" s="30">
        <f t="shared" si="0"/>
        <v>252.7</v>
      </c>
      <c r="H5" s="30">
        <f t="shared" si="0"/>
        <v>261.8</v>
      </c>
      <c r="I5" s="30">
        <f t="shared" si="0"/>
        <v>265.3</v>
      </c>
      <c r="J5" s="30">
        <f t="shared" si="0"/>
        <v>177.6</v>
      </c>
      <c r="K5" s="30">
        <f t="shared" si="0"/>
        <v>48.199999999999996</v>
      </c>
      <c r="L5" s="30">
        <f t="shared" si="0"/>
        <v>37.799999999999997</v>
      </c>
      <c r="M5" s="30">
        <f t="shared" si="0"/>
        <v>36.200000000000003</v>
      </c>
      <c r="N5" s="30">
        <f t="shared" si="0"/>
        <v>146</v>
      </c>
      <c r="O5" s="30">
        <f t="shared" si="0"/>
        <v>241</v>
      </c>
      <c r="P5" s="30">
        <f t="shared" si="0"/>
        <v>294</v>
      </c>
      <c r="Q5" s="30">
        <f t="shared" si="0"/>
        <v>241</v>
      </c>
      <c r="R5" s="30">
        <f t="shared" si="0"/>
        <v>255</v>
      </c>
      <c r="S5" s="30">
        <f t="shared" si="0"/>
        <v>266.3</v>
      </c>
      <c r="T5" s="30">
        <f t="shared" si="0"/>
        <v>215</v>
      </c>
      <c r="U5" s="30">
        <f t="shared" si="0"/>
        <v>66</v>
      </c>
      <c r="V5" s="30">
        <f t="shared" si="0"/>
        <v>25</v>
      </c>
      <c r="W5" s="30">
        <f t="shared" si="0"/>
        <v>26.6</v>
      </c>
      <c r="X5" s="30">
        <f t="shared" si="0"/>
        <v>28</v>
      </c>
      <c r="Y5" s="30">
        <f t="shared" si="0"/>
        <v>27</v>
      </c>
      <c r="Z5" s="30">
        <f t="shared" si="0"/>
        <v>66</v>
      </c>
      <c r="AA5" s="30">
        <f t="shared" si="0"/>
        <v>109</v>
      </c>
      <c r="AB5" s="30">
        <f t="shared" si="0"/>
        <v>185.5</v>
      </c>
      <c r="AC5" s="30">
        <f t="shared" si="0"/>
        <v>167.9</v>
      </c>
      <c r="AD5" s="30">
        <f t="shared" si="0"/>
        <v>165.5</v>
      </c>
      <c r="AE5" s="30">
        <f t="shared" si="0"/>
        <v>147.19999999999999</v>
      </c>
      <c r="AF5" s="30">
        <f>B84</f>
        <v>157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"&amp;ROUND(B254,0)&amp;"MW at "&amp;TRUNC(B255*24,0)&amp;":"&amp;ROUND((B255*24-TRUNC(B255*24,0))*60,0)&amp;"hr at "&amp;ROUND(B256,1)&amp;"Hz     "&amp;A246&amp;" "&amp;ROUND(B246,0)&amp;"MW at "&amp;TRUNC(C246*24,0)&amp;":"&amp;ROUND((C246*24-TRUNC(C246*24,0))*6,0)&amp;"0hr"</f>
        <v>Evening Peak 0MW at 0:0hr at 0Hz     Morning Peak 1618MW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Load=1007</v>
      </c>
      <c r="B7" s="35">
        <f>B92</f>
        <v>1053.04</v>
      </c>
      <c r="C7" s="35">
        <f t="shared" ref="C7:AF7" si="1">C92</f>
        <v>1028.04</v>
      </c>
      <c r="D7" s="35">
        <f t="shared" si="1"/>
        <v>1007.0399999999998</v>
      </c>
      <c r="E7" s="35">
        <f t="shared" si="1"/>
        <v>1023.5399999999998</v>
      </c>
      <c r="F7" s="35">
        <f t="shared" si="1"/>
        <v>1018.3399999999999</v>
      </c>
      <c r="G7" s="35">
        <f t="shared" si="1"/>
        <v>1091.8399999999999</v>
      </c>
      <c r="H7" s="35">
        <f t="shared" si="1"/>
        <v>1203.9399999999998</v>
      </c>
      <c r="I7" s="35">
        <f t="shared" si="1"/>
        <v>1237.7399999999998</v>
      </c>
      <c r="J7" s="35">
        <f t="shared" si="1"/>
        <v>1313.2399999999998</v>
      </c>
      <c r="K7" s="35">
        <f t="shared" si="1"/>
        <v>1462.9399999999998</v>
      </c>
      <c r="L7" s="35">
        <f t="shared" si="1"/>
        <v>1566.24</v>
      </c>
      <c r="M7" s="35">
        <f t="shared" si="1"/>
        <v>1618.1399999999996</v>
      </c>
      <c r="N7" s="35">
        <f t="shared" si="1"/>
        <v>1551.84</v>
      </c>
      <c r="O7" s="35">
        <f t="shared" si="1"/>
        <v>1534.2399999999998</v>
      </c>
      <c r="P7" s="35">
        <f t="shared" si="1"/>
        <v>1429.34</v>
      </c>
      <c r="Q7" s="35">
        <f t="shared" si="1"/>
        <v>1375.34</v>
      </c>
      <c r="R7" s="35">
        <f t="shared" si="1"/>
        <v>1249.2399999999998</v>
      </c>
      <c r="S7" s="35">
        <f t="shared" si="1"/>
        <v>1210.04</v>
      </c>
      <c r="T7" s="35">
        <f t="shared" si="1"/>
        <v>1223.0399999999997</v>
      </c>
      <c r="U7" s="35">
        <f t="shared" si="1"/>
        <v>1335.9399999999998</v>
      </c>
      <c r="V7" s="35">
        <f t="shared" si="1"/>
        <v>1272.4399999999998</v>
      </c>
      <c r="W7" s="35">
        <f t="shared" si="1"/>
        <v>1586.94</v>
      </c>
      <c r="X7" s="35">
        <f t="shared" si="1"/>
        <v>1691.5</v>
      </c>
      <c r="Y7" s="35">
        <f t="shared" si="1"/>
        <v>1634.3400000000001</v>
      </c>
      <c r="Z7" s="35">
        <f t="shared" si="1"/>
        <v>1589.6399999999999</v>
      </c>
      <c r="AA7" s="35">
        <f t="shared" si="1"/>
        <v>1538.6399999999999</v>
      </c>
      <c r="AB7" s="35">
        <f t="shared" si="1"/>
        <v>1434.54</v>
      </c>
      <c r="AC7" s="35">
        <f t="shared" si="1"/>
        <v>1384.94</v>
      </c>
      <c r="AD7" s="35">
        <f t="shared" si="1"/>
        <v>1295.6400000000001</v>
      </c>
      <c r="AE7" s="35">
        <f t="shared" si="1"/>
        <v>1141.94</v>
      </c>
      <c r="AF7" s="35">
        <f t="shared" si="1"/>
        <v>1046.94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38.6</v>
      </c>
      <c r="C11" s="45">
        <v>38.6</v>
      </c>
      <c r="D11" s="45">
        <v>38.6</v>
      </c>
      <c r="E11" s="45">
        <v>38.6</v>
      </c>
      <c r="F11" s="45">
        <v>38.6</v>
      </c>
      <c r="G11" s="45">
        <v>38.6</v>
      </c>
      <c r="H11" s="45">
        <v>38.6</v>
      </c>
      <c r="I11" s="45">
        <v>38.6</v>
      </c>
      <c r="J11" s="45">
        <v>38.6</v>
      </c>
      <c r="K11" s="45">
        <v>38.6</v>
      </c>
      <c r="L11" s="45">
        <v>38.6</v>
      </c>
      <c r="M11" s="45">
        <v>38.6</v>
      </c>
      <c r="N11" s="45">
        <v>38.6</v>
      </c>
      <c r="O11" s="45">
        <v>38.6</v>
      </c>
      <c r="P11" s="45">
        <v>39.799999999999997</v>
      </c>
      <c r="Q11" s="45">
        <v>39.799999999999997</v>
      </c>
      <c r="R11" s="45">
        <v>39.799999999999997</v>
      </c>
      <c r="S11" s="45">
        <v>37.299999999999997</v>
      </c>
      <c r="T11" s="45">
        <v>37.299999999999997</v>
      </c>
      <c r="U11" s="45">
        <v>37.299999999999997</v>
      </c>
      <c r="V11" s="45">
        <v>37.299999999999997</v>
      </c>
      <c r="W11" s="45">
        <v>37.299999999999997</v>
      </c>
      <c r="X11" s="45">
        <v>37.299999999999997</v>
      </c>
      <c r="Y11" s="45">
        <v>37.299999999999997</v>
      </c>
      <c r="Z11" s="45">
        <v>37.299999999999997</v>
      </c>
      <c r="AA11" s="45">
        <v>37.299999999999997</v>
      </c>
      <c r="AB11" s="45">
        <v>38.6</v>
      </c>
      <c r="AC11" s="45">
        <v>38.6</v>
      </c>
      <c r="AD11" s="45">
        <v>38.700000000000003</v>
      </c>
      <c r="AE11" s="45">
        <v>38.6</v>
      </c>
      <c r="AF11" s="45">
        <v>39.200000000000003</v>
      </c>
      <c r="AG11" s="46">
        <v>86</v>
      </c>
      <c r="AH11" s="47">
        <f t="shared" ref="AH11:AH76" si="2">MAX(B11:AF11)</f>
        <v>39.799999999999997</v>
      </c>
      <c r="AI11" s="48">
        <f t="shared" ref="AI11:AI76" si="3">MIN(B11:AF11)</f>
        <v>37.299999999999997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</v>
      </c>
      <c r="C12" s="45">
        <v>18</v>
      </c>
      <c r="D12" s="45">
        <v>18</v>
      </c>
      <c r="E12" s="45">
        <v>18</v>
      </c>
      <c r="F12" s="45">
        <v>18</v>
      </c>
      <c r="G12" s="45">
        <v>18</v>
      </c>
      <c r="H12" s="45">
        <v>18</v>
      </c>
      <c r="I12" s="45">
        <v>18</v>
      </c>
      <c r="J12" s="45">
        <v>18</v>
      </c>
      <c r="K12" s="45">
        <v>18</v>
      </c>
      <c r="L12" s="45">
        <v>18</v>
      </c>
      <c r="M12" s="45">
        <v>18</v>
      </c>
      <c r="N12" s="45">
        <v>18</v>
      </c>
      <c r="O12" s="45">
        <v>18</v>
      </c>
      <c r="P12" s="45">
        <v>18</v>
      </c>
      <c r="Q12" s="45">
        <v>18</v>
      </c>
      <c r="R12" s="45">
        <v>18</v>
      </c>
      <c r="S12" s="184">
        <v>18</v>
      </c>
      <c r="T12" s="184">
        <v>18</v>
      </c>
      <c r="U12" s="184">
        <v>18</v>
      </c>
      <c r="V12" s="184">
        <v>18</v>
      </c>
      <c r="W12" s="184">
        <v>18</v>
      </c>
      <c r="X12" s="45">
        <v>18</v>
      </c>
      <c r="Y12" s="45">
        <v>18</v>
      </c>
      <c r="Z12" s="45">
        <v>18</v>
      </c>
      <c r="AA12" s="45">
        <v>18</v>
      </c>
      <c r="AB12" s="45">
        <v>18</v>
      </c>
      <c r="AC12" s="45">
        <v>18</v>
      </c>
      <c r="AD12" s="45">
        <v>18</v>
      </c>
      <c r="AE12" s="45">
        <v>18</v>
      </c>
      <c r="AF12" s="45">
        <v>18</v>
      </c>
      <c r="AG12" s="49">
        <v>54</v>
      </c>
      <c r="AH12" s="47">
        <f t="shared" si="2"/>
        <v>18</v>
      </c>
      <c r="AI12" s="48">
        <f t="shared" si="3"/>
        <v>18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19.7</v>
      </c>
      <c r="C13" s="45">
        <v>19.7</v>
      </c>
      <c r="D13" s="45">
        <v>19.7</v>
      </c>
      <c r="E13" s="45">
        <v>19.7</v>
      </c>
      <c r="F13" s="45">
        <v>19.7</v>
      </c>
      <c r="G13" s="45">
        <v>19.7</v>
      </c>
      <c r="H13" s="45">
        <v>19.7</v>
      </c>
      <c r="I13" s="45">
        <v>19.7</v>
      </c>
      <c r="J13" s="45">
        <v>19.7</v>
      </c>
      <c r="K13" s="45">
        <v>19.7</v>
      </c>
      <c r="L13" s="45">
        <v>19.7</v>
      </c>
      <c r="M13" s="45">
        <v>19.7</v>
      </c>
      <c r="N13" s="45">
        <v>19.7</v>
      </c>
      <c r="O13" s="45">
        <v>19.7</v>
      </c>
      <c r="P13" s="45">
        <v>20.5</v>
      </c>
      <c r="Q13" s="45">
        <v>20.5</v>
      </c>
      <c r="R13" s="45">
        <v>20.5</v>
      </c>
      <c r="S13" s="45">
        <v>20.5</v>
      </c>
      <c r="T13" s="45">
        <v>20.5</v>
      </c>
      <c r="U13" s="45">
        <v>20.5</v>
      </c>
      <c r="V13" s="45">
        <v>20.5</v>
      </c>
      <c r="W13" s="45">
        <v>20.5</v>
      </c>
      <c r="X13" s="45">
        <v>20.5</v>
      </c>
      <c r="Y13" s="45">
        <v>20.5</v>
      </c>
      <c r="Z13" s="45">
        <v>20.5</v>
      </c>
      <c r="AA13" s="45">
        <v>20.5</v>
      </c>
      <c r="AB13" s="45">
        <v>20.5</v>
      </c>
      <c r="AC13" s="45">
        <v>20.5</v>
      </c>
      <c r="AD13" s="45">
        <v>21.4</v>
      </c>
      <c r="AE13" s="45">
        <v>21.4</v>
      </c>
      <c r="AF13" s="45">
        <v>21.4</v>
      </c>
      <c r="AG13" s="46">
        <v>52.4</v>
      </c>
      <c r="AH13" s="47">
        <f t="shared" si="2"/>
        <v>21.4</v>
      </c>
      <c r="AI13" s="48">
        <f t="shared" si="3"/>
        <v>19.7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1">
        <v>43.5</v>
      </c>
      <c r="C14" s="51">
        <v>43.5</v>
      </c>
      <c r="D14" s="51">
        <v>43.5</v>
      </c>
      <c r="E14" s="51">
        <v>43.5</v>
      </c>
      <c r="F14" s="51">
        <v>43.5</v>
      </c>
      <c r="G14" s="51">
        <v>43.5</v>
      </c>
      <c r="H14" s="51">
        <v>43.5</v>
      </c>
      <c r="I14" s="51">
        <v>43.5</v>
      </c>
      <c r="J14" s="51">
        <v>43.5</v>
      </c>
      <c r="K14" s="51">
        <v>43.5</v>
      </c>
      <c r="L14" s="51">
        <v>43.5</v>
      </c>
      <c r="M14" s="51">
        <v>43.5</v>
      </c>
      <c r="N14" s="51">
        <v>43.5</v>
      </c>
      <c r="O14" s="51">
        <v>43.5</v>
      </c>
      <c r="P14" s="51">
        <v>43.4</v>
      </c>
      <c r="Q14" s="51">
        <v>43.4</v>
      </c>
      <c r="R14" s="51">
        <v>43.4</v>
      </c>
      <c r="S14" s="51">
        <v>43.4</v>
      </c>
      <c r="T14" s="51">
        <v>43.4</v>
      </c>
      <c r="U14" s="51">
        <v>43.4</v>
      </c>
      <c r="V14" s="51">
        <v>43.4</v>
      </c>
      <c r="W14" s="51">
        <v>43.4</v>
      </c>
      <c r="X14" s="51">
        <v>43.4</v>
      </c>
      <c r="Y14" s="51">
        <v>43.4</v>
      </c>
      <c r="Z14" s="51">
        <v>43.4</v>
      </c>
      <c r="AA14" s="51">
        <v>43.4</v>
      </c>
      <c r="AB14" s="51">
        <v>43.4</v>
      </c>
      <c r="AC14" s="51">
        <v>43.4</v>
      </c>
      <c r="AD14" s="51">
        <v>43.4</v>
      </c>
      <c r="AE14" s="51">
        <v>43.4</v>
      </c>
      <c r="AF14" s="51">
        <v>42.6</v>
      </c>
      <c r="AG14" s="49">
        <v>50</v>
      </c>
      <c r="AH14" s="47">
        <f t="shared" si="2"/>
        <v>43.5</v>
      </c>
      <c r="AI14" s="48">
        <f t="shared" si="3"/>
        <v>42.6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22.6</v>
      </c>
      <c r="C15" s="45">
        <v>22.6</v>
      </c>
      <c r="D15" s="45">
        <v>22.6</v>
      </c>
      <c r="E15" s="45">
        <v>22.6</v>
      </c>
      <c r="F15" s="45">
        <v>22.6</v>
      </c>
      <c r="G15" s="45">
        <v>22.6</v>
      </c>
      <c r="H15" s="45">
        <v>22.6</v>
      </c>
      <c r="I15" s="45">
        <v>22.6</v>
      </c>
      <c r="J15" s="45">
        <v>22.6</v>
      </c>
      <c r="K15" s="45">
        <v>22.6</v>
      </c>
      <c r="L15" s="45">
        <v>22.6</v>
      </c>
      <c r="M15" s="45">
        <v>22.6</v>
      </c>
      <c r="N15" s="45">
        <v>22.6</v>
      </c>
      <c r="O15" s="45">
        <v>22.6</v>
      </c>
      <c r="P15" s="45">
        <v>20.8</v>
      </c>
      <c r="Q15" s="45">
        <v>20.8</v>
      </c>
      <c r="R15" s="45">
        <v>20.8</v>
      </c>
      <c r="S15" s="45">
        <v>20.8</v>
      </c>
      <c r="T15" s="45">
        <v>20.8</v>
      </c>
      <c r="U15" s="45">
        <v>20.8</v>
      </c>
      <c r="V15" s="45">
        <v>20.8</v>
      </c>
      <c r="W15" s="45">
        <v>20.8</v>
      </c>
      <c r="X15" s="45">
        <v>20.8</v>
      </c>
      <c r="Y15" s="45">
        <v>20.8</v>
      </c>
      <c r="Z15" s="45">
        <v>20.8</v>
      </c>
      <c r="AA15" s="45">
        <v>20.8</v>
      </c>
      <c r="AB15" s="45">
        <v>20.8</v>
      </c>
      <c r="AC15" s="45">
        <v>20.8</v>
      </c>
      <c r="AD15" s="45">
        <v>20.8</v>
      </c>
      <c r="AE15" s="45">
        <v>22.9</v>
      </c>
      <c r="AF15" s="45">
        <v>23.3</v>
      </c>
      <c r="AG15" s="49">
        <v>45</v>
      </c>
      <c r="AH15" s="47">
        <f t="shared" si="2"/>
        <v>23.3</v>
      </c>
      <c r="AI15" s="48">
        <f t="shared" si="3"/>
        <v>20.8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</v>
      </c>
      <c r="C16" s="45">
        <v>17</v>
      </c>
      <c r="D16" s="45">
        <v>17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49">
        <v>44</v>
      </c>
      <c r="AH16" s="47">
        <f>MAX(B16:AG16)</f>
        <v>44</v>
      </c>
      <c r="AI16" s="48">
        <f>MIN(B16:AG16)</f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12</v>
      </c>
      <c r="C17" s="45">
        <v>12</v>
      </c>
      <c r="D17" s="45">
        <v>12</v>
      </c>
      <c r="E17" s="45">
        <v>12</v>
      </c>
      <c r="F17" s="45">
        <v>12</v>
      </c>
      <c r="G17" s="45">
        <v>12</v>
      </c>
      <c r="H17" s="45">
        <v>12</v>
      </c>
      <c r="I17" s="45">
        <v>12</v>
      </c>
      <c r="J17" s="45">
        <v>12</v>
      </c>
      <c r="K17" s="45">
        <v>12</v>
      </c>
      <c r="L17" s="45">
        <v>12</v>
      </c>
      <c r="M17" s="45">
        <v>12</v>
      </c>
      <c r="N17" s="45">
        <v>12</v>
      </c>
      <c r="O17" s="45">
        <v>12</v>
      </c>
      <c r="P17" s="45">
        <v>12</v>
      </c>
      <c r="Q17" s="45">
        <v>12</v>
      </c>
      <c r="R17" s="45">
        <v>12</v>
      </c>
      <c r="S17" s="45">
        <v>12</v>
      </c>
      <c r="T17" s="45">
        <v>12</v>
      </c>
      <c r="U17" s="45">
        <v>12</v>
      </c>
      <c r="V17" s="45">
        <v>12</v>
      </c>
      <c r="W17" s="45">
        <v>12</v>
      </c>
      <c r="X17" s="45">
        <v>12</v>
      </c>
      <c r="Y17" s="45">
        <v>12</v>
      </c>
      <c r="Z17" s="45">
        <v>12</v>
      </c>
      <c r="AA17" s="45">
        <v>12</v>
      </c>
      <c r="AB17" s="45">
        <v>12</v>
      </c>
      <c r="AC17" s="45">
        <v>12</v>
      </c>
      <c r="AD17" s="45">
        <v>12</v>
      </c>
      <c r="AE17" s="45">
        <v>12.4</v>
      </c>
      <c r="AF17" s="45">
        <v>13.5</v>
      </c>
      <c r="AG17" s="49">
        <v>42</v>
      </c>
      <c r="AH17" s="47">
        <f t="shared" si="2"/>
        <v>13.5</v>
      </c>
      <c r="AI17" s="48">
        <f t="shared" si="3"/>
        <v>12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13.7</v>
      </c>
      <c r="C18" s="45">
        <v>13.7</v>
      </c>
      <c r="D18" s="45">
        <v>13.7</v>
      </c>
      <c r="E18" s="45">
        <v>13.7</v>
      </c>
      <c r="F18" s="45">
        <v>13.7</v>
      </c>
      <c r="G18" s="45">
        <v>13.7</v>
      </c>
      <c r="H18" s="45">
        <v>13.7</v>
      </c>
      <c r="I18" s="45">
        <v>13.7</v>
      </c>
      <c r="J18" s="45">
        <v>13.7</v>
      </c>
      <c r="K18" s="45">
        <v>13.7</v>
      </c>
      <c r="L18" s="45">
        <v>13.7</v>
      </c>
      <c r="M18" s="45">
        <v>13.7</v>
      </c>
      <c r="N18" s="45">
        <v>13.7</v>
      </c>
      <c r="O18" s="45">
        <v>13.7</v>
      </c>
      <c r="P18" s="45">
        <v>13.7</v>
      </c>
      <c r="Q18" s="45">
        <v>13.7</v>
      </c>
      <c r="R18" s="45">
        <v>13.7</v>
      </c>
      <c r="S18" s="45">
        <v>13.7</v>
      </c>
      <c r="T18" s="45">
        <v>13.7</v>
      </c>
      <c r="U18" s="45">
        <v>13.7</v>
      </c>
      <c r="V18" s="45">
        <v>13.7</v>
      </c>
      <c r="W18" s="45">
        <v>13.7</v>
      </c>
      <c r="X18" s="45">
        <v>13.7</v>
      </c>
      <c r="Y18" s="45">
        <v>13.7</v>
      </c>
      <c r="Z18" s="45">
        <v>13.7</v>
      </c>
      <c r="AA18" s="45">
        <v>13.7</v>
      </c>
      <c r="AB18" s="45">
        <v>13.7</v>
      </c>
      <c r="AC18" s="45">
        <v>13.7</v>
      </c>
      <c r="AD18" s="45">
        <v>13.7</v>
      </c>
      <c r="AE18" s="45">
        <v>13.7</v>
      </c>
      <c r="AF18" s="45">
        <v>13.7</v>
      </c>
      <c r="AG18" s="49">
        <v>38.46</v>
      </c>
      <c r="AH18" s="47">
        <f t="shared" si="2"/>
        <v>13.7</v>
      </c>
      <c r="AI18" s="48">
        <f t="shared" si="3"/>
        <v>13.7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17.5</v>
      </c>
      <c r="C19" s="45">
        <v>17.5</v>
      </c>
      <c r="D19" s="45">
        <v>17.5</v>
      </c>
      <c r="E19" s="45">
        <v>17.5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17.5</v>
      </c>
      <c r="AC19" s="45">
        <v>17.5</v>
      </c>
      <c r="AD19" s="45">
        <v>17.5</v>
      </c>
      <c r="AE19" s="45">
        <v>17.5</v>
      </c>
      <c r="AF19" s="45">
        <v>17.5</v>
      </c>
      <c r="AG19" s="49">
        <v>36</v>
      </c>
      <c r="AH19" s="47">
        <f t="shared" si="2"/>
        <v>17.5</v>
      </c>
      <c r="AI19" s="48">
        <f t="shared" si="3"/>
        <v>17.5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11.7</v>
      </c>
      <c r="C20" s="45">
        <v>11.7</v>
      </c>
      <c r="D20" s="45">
        <v>11.7</v>
      </c>
      <c r="E20" s="45">
        <v>11.7</v>
      </c>
      <c r="F20" s="45">
        <v>11.7</v>
      </c>
      <c r="G20" s="45">
        <v>11.7</v>
      </c>
      <c r="H20" s="45">
        <v>11.7</v>
      </c>
      <c r="I20" s="45">
        <v>11.7</v>
      </c>
      <c r="J20" s="45">
        <v>11.7</v>
      </c>
      <c r="K20" s="45">
        <v>11.7</v>
      </c>
      <c r="L20" s="45">
        <v>11.7</v>
      </c>
      <c r="M20" s="45">
        <v>11.7</v>
      </c>
      <c r="N20" s="45">
        <v>11.7</v>
      </c>
      <c r="O20" s="45">
        <v>11.7</v>
      </c>
      <c r="P20" s="45">
        <v>11.7</v>
      </c>
      <c r="Q20" s="45">
        <v>11.7</v>
      </c>
      <c r="R20" s="45">
        <v>11.7</v>
      </c>
      <c r="S20" s="45">
        <v>11.7</v>
      </c>
      <c r="T20" s="45">
        <v>11.7</v>
      </c>
      <c r="U20" s="45">
        <v>11.7</v>
      </c>
      <c r="V20" s="45">
        <v>11.7</v>
      </c>
      <c r="W20" s="45">
        <v>11.7</v>
      </c>
      <c r="X20" s="45">
        <v>11.7</v>
      </c>
      <c r="Y20" s="45">
        <v>11.7</v>
      </c>
      <c r="Z20" s="45">
        <v>11.7</v>
      </c>
      <c r="AA20" s="45">
        <v>11.7</v>
      </c>
      <c r="AB20" s="45">
        <v>11.7</v>
      </c>
      <c r="AC20" s="45">
        <v>11.7</v>
      </c>
      <c r="AD20" s="45">
        <v>11.7</v>
      </c>
      <c r="AE20" s="45">
        <v>11.7</v>
      </c>
      <c r="AF20" s="45">
        <v>11.8</v>
      </c>
      <c r="AG20" s="52">
        <v>30</v>
      </c>
      <c r="AH20" s="47">
        <f t="shared" si="2"/>
        <v>11.8</v>
      </c>
      <c r="AI20" s="48">
        <f t="shared" si="3"/>
        <v>11.7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25</v>
      </c>
      <c r="C21" s="45">
        <v>25</v>
      </c>
      <c r="D21" s="45">
        <v>25</v>
      </c>
      <c r="E21" s="45">
        <v>25</v>
      </c>
      <c r="F21" s="45">
        <v>25</v>
      </c>
      <c r="G21" s="45">
        <v>25</v>
      </c>
      <c r="H21" s="45">
        <v>25</v>
      </c>
      <c r="I21" s="45">
        <v>25</v>
      </c>
      <c r="J21" s="45">
        <v>25</v>
      </c>
      <c r="K21" s="45">
        <v>25</v>
      </c>
      <c r="L21" s="45">
        <v>25</v>
      </c>
      <c r="M21" s="45">
        <v>25</v>
      </c>
      <c r="N21" s="45">
        <v>25</v>
      </c>
      <c r="O21" s="45">
        <v>25</v>
      </c>
      <c r="P21" s="45">
        <v>25</v>
      </c>
      <c r="Q21" s="45">
        <v>25</v>
      </c>
      <c r="R21" s="45">
        <v>25</v>
      </c>
      <c r="S21" s="45">
        <v>25</v>
      </c>
      <c r="T21" s="45">
        <v>25</v>
      </c>
      <c r="U21" s="45">
        <v>25</v>
      </c>
      <c r="V21" s="45">
        <v>25</v>
      </c>
      <c r="W21" s="45">
        <v>25</v>
      </c>
      <c r="X21" s="45">
        <v>25</v>
      </c>
      <c r="Y21" s="45">
        <v>25</v>
      </c>
      <c r="Z21" s="45">
        <v>25</v>
      </c>
      <c r="AA21" s="45">
        <v>25</v>
      </c>
      <c r="AB21" s="45">
        <v>25</v>
      </c>
      <c r="AC21" s="45">
        <v>25</v>
      </c>
      <c r="AD21" s="45">
        <v>25</v>
      </c>
      <c r="AE21" s="45">
        <v>24.5</v>
      </c>
      <c r="AF21" s="45">
        <v>24.5</v>
      </c>
      <c r="AG21" s="49">
        <v>24.2</v>
      </c>
      <c r="AH21" s="47">
        <f t="shared" si="2"/>
        <v>25</v>
      </c>
      <c r="AI21" s="48">
        <f t="shared" si="3"/>
        <v>24.5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11.4</v>
      </c>
      <c r="C22" s="45">
        <v>11.4</v>
      </c>
      <c r="D22" s="45">
        <v>11.4</v>
      </c>
      <c r="E22" s="45">
        <v>11.4</v>
      </c>
      <c r="F22" s="45">
        <v>11.4</v>
      </c>
      <c r="G22" s="45">
        <v>11.4</v>
      </c>
      <c r="H22" s="45">
        <v>11.4</v>
      </c>
      <c r="I22" s="45">
        <v>11.4</v>
      </c>
      <c r="J22" s="45">
        <v>11.4</v>
      </c>
      <c r="K22" s="45">
        <v>11.4</v>
      </c>
      <c r="L22" s="45">
        <v>11.4</v>
      </c>
      <c r="M22" s="45">
        <v>11.4</v>
      </c>
      <c r="N22" s="45">
        <v>11.4</v>
      </c>
      <c r="O22" s="45">
        <v>11.4</v>
      </c>
      <c r="P22" s="45">
        <v>11.4</v>
      </c>
      <c r="Q22" s="45">
        <v>11.4</v>
      </c>
      <c r="R22" s="45">
        <v>11.4</v>
      </c>
      <c r="S22" s="45">
        <v>11.4</v>
      </c>
      <c r="T22" s="45">
        <v>11.4</v>
      </c>
      <c r="U22" s="45">
        <v>11.4</v>
      </c>
      <c r="V22" s="45">
        <v>11.4</v>
      </c>
      <c r="W22" s="45">
        <v>11.4</v>
      </c>
      <c r="X22" s="45">
        <v>11.4</v>
      </c>
      <c r="Y22" s="45">
        <v>11.4</v>
      </c>
      <c r="Z22" s="45">
        <v>11.4</v>
      </c>
      <c r="AA22" s="45">
        <v>11.4</v>
      </c>
      <c r="AB22" s="45">
        <v>11.4</v>
      </c>
      <c r="AC22" s="45">
        <v>11.4</v>
      </c>
      <c r="AD22" s="45">
        <v>11.4</v>
      </c>
      <c r="AE22" s="45">
        <v>11.8</v>
      </c>
      <c r="AF22" s="45">
        <v>12.4</v>
      </c>
      <c r="AG22" s="49">
        <v>28</v>
      </c>
      <c r="AH22" s="47">
        <f t="shared" si="2"/>
        <v>12.4</v>
      </c>
      <c r="AI22" s="48">
        <f t="shared" si="3"/>
        <v>11.4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11</v>
      </c>
      <c r="C23" s="45">
        <v>11</v>
      </c>
      <c r="D23" s="45">
        <v>11</v>
      </c>
      <c r="E23" s="45">
        <v>11</v>
      </c>
      <c r="F23" s="45">
        <v>11</v>
      </c>
      <c r="G23" s="45">
        <v>11</v>
      </c>
      <c r="H23" s="45">
        <v>11</v>
      </c>
      <c r="I23" s="45">
        <v>11</v>
      </c>
      <c r="J23" s="45">
        <v>11</v>
      </c>
      <c r="K23" s="45">
        <v>11</v>
      </c>
      <c r="L23" s="45">
        <v>11</v>
      </c>
      <c r="M23" s="45">
        <v>11</v>
      </c>
      <c r="N23" s="45">
        <v>11</v>
      </c>
      <c r="O23" s="45">
        <v>11</v>
      </c>
      <c r="P23" s="45">
        <v>11</v>
      </c>
      <c r="Q23" s="45">
        <v>11</v>
      </c>
      <c r="R23" s="45">
        <v>11</v>
      </c>
      <c r="S23" s="45">
        <v>11</v>
      </c>
      <c r="T23" s="45">
        <v>11</v>
      </c>
      <c r="U23" s="45">
        <v>11</v>
      </c>
      <c r="V23" s="45">
        <v>11</v>
      </c>
      <c r="W23" s="45">
        <v>11</v>
      </c>
      <c r="X23" s="45">
        <v>11</v>
      </c>
      <c r="Y23" s="45">
        <v>11</v>
      </c>
      <c r="Z23" s="45">
        <v>11</v>
      </c>
      <c r="AA23" s="45">
        <v>11</v>
      </c>
      <c r="AB23" s="45">
        <v>11</v>
      </c>
      <c r="AC23" s="45">
        <v>11</v>
      </c>
      <c r="AD23" s="45">
        <v>11</v>
      </c>
      <c r="AE23" s="45">
        <v>10.199999999999999</v>
      </c>
      <c r="AF23" s="45">
        <v>10.6</v>
      </c>
      <c r="AG23" s="52">
        <v>30</v>
      </c>
      <c r="AH23" s="47">
        <f t="shared" si="2"/>
        <v>11</v>
      </c>
      <c r="AI23" s="48">
        <f t="shared" si="3"/>
        <v>10.199999999999999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11.4</v>
      </c>
      <c r="C24" s="45">
        <v>11.4</v>
      </c>
      <c r="D24" s="45">
        <v>11.4</v>
      </c>
      <c r="E24" s="45">
        <v>11.4</v>
      </c>
      <c r="F24" s="45">
        <v>11.4</v>
      </c>
      <c r="G24" s="45">
        <v>11.4</v>
      </c>
      <c r="H24" s="45">
        <v>11.4</v>
      </c>
      <c r="I24" s="45">
        <v>11.4</v>
      </c>
      <c r="J24" s="45">
        <v>11.4</v>
      </c>
      <c r="K24" s="45">
        <v>11.4</v>
      </c>
      <c r="L24" s="45">
        <v>11.4</v>
      </c>
      <c r="M24" s="45">
        <v>11.4</v>
      </c>
      <c r="N24" s="45">
        <v>11.4</v>
      </c>
      <c r="O24" s="45">
        <v>11.4</v>
      </c>
      <c r="P24" s="45">
        <v>11.4</v>
      </c>
      <c r="Q24" s="45">
        <v>11.4</v>
      </c>
      <c r="R24" s="45">
        <v>11.4</v>
      </c>
      <c r="S24" s="45">
        <v>11.4</v>
      </c>
      <c r="T24" s="45">
        <v>11.4</v>
      </c>
      <c r="U24" s="45">
        <v>11.4</v>
      </c>
      <c r="V24" s="45">
        <v>11.4</v>
      </c>
      <c r="W24" s="45">
        <v>11.4</v>
      </c>
      <c r="X24" s="45">
        <v>11.4</v>
      </c>
      <c r="Y24" s="45">
        <v>11.4</v>
      </c>
      <c r="Z24" s="45">
        <v>11.4</v>
      </c>
      <c r="AA24" s="45">
        <v>11.4</v>
      </c>
      <c r="AB24" s="45">
        <v>11.4</v>
      </c>
      <c r="AC24" s="45">
        <v>11.4</v>
      </c>
      <c r="AD24" s="45">
        <v>11.4</v>
      </c>
      <c r="AE24" s="45">
        <v>13.1</v>
      </c>
      <c r="AF24" s="45">
        <v>13.1</v>
      </c>
      <c r="AG24" s="49">
        <v>25</v>
      </c>
      <c r="AH24" s="47">
        <f t="shared" si="2"/>
        <v>13.1</v>
      </c>
      <c r="AI24" s="48">
        <f t="shared" si="3"/>
        <v>11.4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9.5</v>
      </c>
      <c r="C26" s="45">
        <v>9.5</v>
      </c>
      <c r="D26" s="45">
        <v>9.5</v>
      </c>
      <c r="E26" s="45">
        <v>9.5</v>
      </c>
      <c r="F26" s="45">
        <v>9.5</v>
      </c>
      <c r="G26" s="45">
        <v>9.5</v>
      </c>
      <c r="H26" s="45">
        <v>9.5</v>
      </c>
      <c r="I26" s="45">
        <v>9.5</v>
      </c>
      <c r="J26" s="45">
        <v>9.5</v>
      </c>
      <c r="K26" s="45">
        <v>9.5</v>
      </c>
      <c r="L26" s="45">
        <v>9.5</v>
      </c>
      <c r="M26" s="45">
        <v>9.5</v>
      </c>
      <c r="N26" s="45">
        <v>9.5</v>
      </c>
      <c r="O26" s="45">
        <v>9.5</v>
      </c>
      <c r="P26" s="45">
        <v>9.5</v>
      </c>
      <c r="Q26" s="45">
        <v>9.5</v>
      </c>
      <c r="R26" s="45">
        <v>9.5</v>
      </c>
      <c r="S26" s="45">
        <v>9.5</v>
      </c>
      <c r="T26" s="45">
        <v>9.5</v>
      </c>
      <c r="U26" s="45">
        <v>9.5</v>
      </c>
      <c r="V26" s="45">
        <v>9.5</v>
      </c>
      <c r="W26" s="45">
        <v>9.5</v>
      </c>
      <c r="X26" s="45">
        <v>9.5</v>
      </c>
      <c r="Y26" s="45">
        <v>9.5</v>
      </c>
      <c r="Z26" s="45">
        <v>9.5</v>
      </c>
      <c r="AA26" s="45">
        <v>9.5</v>
      </c>
      <c r="AB26" s="45">
        <v>9.5</v>
      </c>
      <c r="AC26" s="45">
        <v>9.5</v>
      </c>
      <c r="AD26" s="45">
        <v>9.5</v>
      </c>
      <c r="AE26" s="45">
        <v>9.5</v>
      </c>
      <c r="AF26" s="45">
        <v>9.5</v>
      </c>
      <c r="AG26" s="49">
        <v>25</v>
      </c>
      <c r="AH26" s="47">
        <f t="shared" si="2"/>
        <v>9.5</v>
      </c>
      <c r="AI26" s="48">
        <f t="shared" si="3"/>
        <v>9.5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11.9</v>
      </c>
      <c r="C27" s="45">
        <v>11.9</v>
      </c>
      <c r="D27" s="45">
        <v>11.9</v>
      </c>
      <c r="E27" s="45">
        <v>11.9</v>
      </c>
      <c r="F27" s="45">
        <v>11.9</v>
      </c>
      <c r="G27" s="45">
        <v>11.9</v>
      </c>
      <c r="H27" s="45">
        <v>11.9</v>
      </c>
      <c r="I27" s="45">
        <v>11.9</v>
      </c>
      <c r="J27" s="45">
        <v>11.9</v>
      </c>
      <c r="K27" s="45">
        <v>11.9</v>
      </c>
      <c r="L27" s="45">
        <v>11.9</v>
      </c>
      <c r="M27" s="45">
        <v>11.9</v>
      </c>
      <c r="N27" s="45">
        <v>11.9</v>
      </c>
      <c r="O27" s="45">
        <v>11.9</v>
      </c>
      <c r="P27" s="45">
        <v>11.9</v>
      </c>
      <c r="Q27" s="45">
        <v>11.9</v>
      </c>
      <c r="R27" s="45">
        <v>11.9</v>
      </c>
      <c r="S27" s="45">
        <v>11.9</v>
      </c>
      <c r="T27" s="45">
        <v>11.9</v>
      </c>
      <c r="U27" s="45">
        <v>11.9</v>
      </c>
      <c r="V27" s="45">
        <v>11.9</v>
      </c>
      <c r="W27" s="45">
        <v>11.9</v>
      </c>
      <c r="X27" s="45">
        <v>11.9</v>
      </c>
      <c r="Y27" s="45">
        <v>11.9</v>
      </c>
      <c r="Z27" s="45">
        <v>11.9</v>
      </c>
      <c r="AA27" s="45">
        <v>11.9</v>
      </c>
      <c r="AB27" s="45">
        <v>11.9</v>
      </c>
      <c r="AC27" s="45">
        <v>11.9</v>
      </c>
      <c r="AD27" s="45">
        <v>11.9</v>
      </c>
      <c r="AE27" s="45">
        <v>12</v>
      </c>
      <c r="AF27" s="45">
        <v>12.3</v>
      </c>
      <c r="AG27" s="49">
        <v>25</v>
      </c>
      <c r="AH27" s="47">
        <f t="shared" si="2"/>
        <v>12.3</v>
      </c>
      <c r="AI27" s="48">
        <f t="shared" si="3"/>
        <v>11.9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11.2</v>
      </c>
      <c r="C28" s="45">
        <v>11.2</v>
      </c>
      <c r="D28" s="45">
        <v>11.2</v>
      </c>
      <c r="E28" s="45">
        <v>11.2</v>
      </c>
      <c r="F28" s="45">
        <v>11.2</v>
      </c>
      <c r="G28" s="45">
        <v>11.2</v>
      </c>
      <c r="H28" s="45">
        <v>11.2</v>
      </c>
      <c r="I28" s="45">
        <v>11.2</v>
      </c>
      <c r="J28" s="45">
        <v>11.2</v>
      </c>
      <c r="K28" s="45">
        <v>11.2</v>
      </c>
      <c r="L28" s="45">
        <v>11.2</v>
      </c>
      <c r="M28" s="45">
        <v>11.2</v>
      </c>
      <c r="N28" s="45">
        <v>11.2</v>
      </c>
      <c r="O28" s="45">
        <v>11.2</v>
      </c>
      <c r="P28" s="45">
        <v>11.2</v>
      </c>
      <c r="Q28" s="45">
        <v>11.2</v>
      </c>
      <c r="R28" s="45">
        <v>11.2</v>
      </c>
      <c r="S28" s="45">
        <v>11.2</v>
      </c>
      <c r="T28" s="45">
        <v>11.2</v>
      </c>
      <c r="U28" s="45">
        <v>11.2</v>
      </c>
      <c r="V28" s="45">
        <v>11.2</v>
      </c>
      <c r="W28" s="45">
        <v>11.2</v>
      </c>
      <c r="X28" s="45">
        <v>11.2</v>
      </c>
      <c r="Y28" s="45">
        <v>11.2</v>
      </c>
      <c r="Z28" s="45">
        <v>11.2</v>
      </c>
      <c r="AA28" s="45">
        <v>11.2</v>
      </c>
      <c r="AB28" s="45">
        <v>11.2</v>
      </c>
      <c r="AC28" s="45">
        <v>11.2</v>
      </c>
      <c r="AD28" s="45">
        <v>11.2</v>
      </c>
      <c r="AE28" s="45">
        <v>11.3</v>
      </c>
      <c r="AF28" s="45">
        <v>11.3</v>
      </c>
      <c r="AG28" s="49">
        <v>23.5</v>
      </c>
      <c r="AH28" s="47">
        <f t="shared" si="2"/>
        <v>11.3</v>
      </c>
      <c r="AI28" s="48">
        <f t="shared" si="3"/>
        <v>11.2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49">
        <v>22.2</v>
      </c>
      <c r="AH29" s="47">
        <f t="shared" si="2"/>
        <v>6</v>
      </c>
      <c r="AI29" s="48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9</v>
      </c>
      <c r="C30" s="45">
        <v>9</v>
      </c>
      <c r="D30" s="45">
        <v>9</v>
      </c>
      <c r="E30" s="45">
        <v>9</v>
      </c>
      <c r="F30" s="45">
        <v>9</v>
      </c>
      <c r="G30" s="45">
        <v>9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9</v>
      </c>
      <c r="V30" s="45">
        <v>9</v>
      </c>
      <c r="W30" s="45">
        <v>9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9</v>
      </c>
      <c r="AF30" s="45">
        <v>9</v>
      </c>
      <c r="AG30" s="49">
        <v>22.1</v>
      </c>
      <c r="AH30" s="47">
        <f t="shared" si="2"/>
        <v>9</v>
      </c>
      <c r="AI30" s="48">
        <f t="shared" si="3"/>
        <v>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49">
        <v>22</v>
      </c>
      <c r="AH31" s="47">
        <f t="shared" si="2"/>
        <v>10</v>
      </c>
      <c r="AI31" s="48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9.8000000000000007</v>
      </c>
      <c r="AF32" s="45">
        <v>11.3</v>
      </c>
      <c r="AG32" s="49">
        <v>22</v>
      </c>
      <c r="AH32" s="47">
        <f t="shared" si="2"/>
        <v>11.3</v>
      </c>
      <c r="AI32" s="48">
        <f t="shared" si="3"/>
        <v>8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8.6999999999999993</v>
      </c>
      <c r="C33" s="45">
        <v>8.6999999999999993</v>
      </c>
      <c r="D33" s="45">
        <v>8.6999999999999993</v>
      </c>
      <c r="E33" s="45">
        <v>8.6999999999999993</v>
      </c>
      <c r="F33" s="45">
        <v>8.6999999999999993</v>
      </c>
      <c r="G33" s="45">
        <v>8.6999999999999993</v>
      </c>
      <c r="H33" s="45">
        <v>8.6999999999999993</v>
      </c>
      <c r="I33" s="45">
        <v>8.6999999999999993</v>
      </c>
      <c r="J33" s="45">
        <v>8.6999999999999993</v>
      </c>
      <c r="K33" s="45">
        <v>8.6999999999999993</v>
      </c>
      <c r="L33" s="45">
        <v>8.6999999999999993</v>
      </c>
      <c r="M33" s="45">
        <v>8.6999999999999993</v>
      </c>
      <c r="N33" s="45">
        <v>8.6999999999999993</v>
      </c>
      <c r="O33" s="45">
        <v>8.6999999999999993</v>
      </c>
      <c r="P33" s="45">
        <v>8.6999999999999993</v>
      </c>
      <c r="Q33" s="45">
        <v>8.6999999999999993</v>
      </c>
      <c r="R33" s="45">
        <v>8.6999999999999993</v>
      </c>
      <c r="S33" s="45">
        <v>8.6999999999999993</v>
      </c>
      <c r="T33" s="45">
        <v>8.6999999999999993</v>
      </c>
      <c r="U33" s="45">
        <v>8.6999999999999993</v>
      </c>
      <c r="V33" s="45">
        <v>8.6999999999999993</v>
      </c>
      <c r="W33" s="45">
        <v>8.6999999999999993</v>
      </c>
      <c r="X33" s="45">
        <v>8.6999999999999993</v>
      </c>
      <c r="Y33" s="45">
        <v>8.6999999999999993</v>
      </c>
      <c r="Z33" s="45">
        <v>8.6999999999999993</v>
      </c>
      <c r="AA33" s="45">
        <v>8.6999999999999993</v>
      </c>
      <c r="AB33" s="45">
        <v>8.6999999999999993</v>
      </c>
      <c r="AC33" s="45">
        <v>8.6999999999999993</v>
      </c>
      <c r="AD33" s="45">
        <v>8.6999999999999993</v>
      </c>
      <c r="AE33" s="45">
        <v>8.6999999999999993</v>
      </c>
      <c r="AF33" s="45">
        <v>8.6999999999999993</v>
      </c>
      <c r="AG33" s="49">
        <v>20</v>
      </c>
      <c r="AH33" s="47">
        <f t="shared" si="2"/>
        <v>8.6999999999999993</v>
      </c>
      <c r="AI33" s="48">
        <f t="shared" si="3"/>
        <v>8.6999999999999993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49">
        <v>18</v>
      </c>
      <c r="AH34" s="47">
        <f t="shared" si="2"/>
        <v>6</v>
      </c>
      <c r="AI34" s="48">
        <f t="shared" si="3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8.1999999999999993</v>
      </c>
      <c r="C35" s="45">
        <v>8.1999999999999993</v>
      </c>
      <c r="D35" s="45">
        <v>8.1999999999999993</v>
      </c>
      <c r="E35" s="45">
        <v>8.1999999999999993</v>
      </c>
      <c r="F35" s="45">
        <v>8.1999999999999993</v>
      </c>
      <c r="G35" s="45">
        <v>8.1999999999999993</v>
      </c>
      <c r="H35" s="45">
        <v>8.1999999999999993</v>
      </c>
      <c r="I35" s="45">
        <v>8.1999999999999993</v>
      </c>
      <c r="J35" s="45">
        <v>8.1999999999999993</v>
      </c>
      <c r="K35" s="45">
        <v>8.1999999999999993</v>
      </c>
      <c r="L35" s="45">
        <v>8.1999999999999993</v>
      </c>
      <c r="M35" s="45">
        <v>8.1999999999999993</v>
      </c>
      <c r="N35" s="45">
        <v>8.1999999999999993</v>
      </c>
      <c r="O35" s="45">
        <v>8.1999999999999993</v>
      </c>
      <c r="P35" s="45">
        <v>8.1999999999999993</v>
      </c>
      <c r="Q35" s="45">
        <v>8.1999999999999993</v>
      </c>
      <c r="R35" s="45">
        <v>8.1999999999999993</v>
      </c>
      <c r="S35" s="45">
        <v>8.1999999999999993</v>
      </c>
      <c r="T35" s="45">
        <v>8.1999999999999993</v>
      </c>
      <c r="U35" s="45">
        <v>8.1999999999999993</v>
      </c>
      <c r="V35" s="45">
        <v>8.1999999999999993</v>
      </c>
      <c r="W35" s="45">
        <v>8.1999999999999993</v>
      </c>
      <c r="X35" s="45">
        <v>8.1999999999999993</v>
      </c>
      <c r="Y35" s="45">
        <v>8.1999999999999993</v>
      </c>
      <c r="Z35" s="45">
        <v>8.1999999999999993</v>
      </c>
      <c r="AA35" s="45">
        <v>8.1999999999999993</v>
      </c>
      <c r="AB35" s="45">
        <v>8.1999999999999993</v>
      </c>
      <c r="AC35" s="45">
        <v>8.1999999999999993</v>
      </c>
      <c r="AD35" s="45">
        <v>8.1999999999999993</v>
      </c>
      <c r="AE35" s="45">
        <v>8.1999999999999993</v>
      </c>
      <c r="AF35" s="45">
        <v>8.1999999999999993</v>
      </c>
      <c r="AG35" s="49">
        <v>14.9</v>
      </c>
      <c r="AH35" s="47">
        <f t="shared" si="2"/>
        <v>8.1999999999999993</v>
      </c>
      <c r="AI35" s="48">
        <f t="shared" si="3"/>
        <v>8.1999999999999993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1.8</v>
      </c>
      <c r="C37" s="45">
        <v>1.8</v>
      </c>
      <c r="D37" s="45">
        <v>1.8</v>
      </c>
      <c r="E37" s="45">
        <v>1.8</v>
      </c>
      <c r="F37" s="45">
        <v>1.8</v>
      </c>
      <c r="G37" s="45">
        <v>1.8</v>
      </c>
      <c r="H37" s="45">
        <v>1.8</v>
      </c>
      <c r="I37" s="45">
        <v>1.8</v>
      </c>
      <c r="J37" s="45">
        <v>1.8</v>
      </c>
      <c r="K37" s="45">
        <v>1.8</v>
      </c>
      <c r="L37" s="45">
        <v>1.8</v>
      </c>
      <c r="M37" s="45">
        <v>1.8</v>
      </c>
      <c r="N37" s="45">
        <v>1.8</v>
      </c>
      <c r="O37" s="45">
        <v>1.8</v>
      </c>
      <c r="P37" s="45">
        <v>1.8</v>
      </c>
      <c r="Q37" s="45">
        <v>1.8</v>
      </c>
      <c r="R37" s="45">
        <v>1.8</v>
      </c>
      <c r="S37" s="45">
        <v>1.8</v>
      </c>
      <c r="T37" s="45">
        <v>1.8</v>
      </c>
      <c r="U37" s="45">
        <v>1.8</v>
      </c>
      <c r="V37" s="45">
        <v>1.8</v>
      </c>
      <c r="W37" s="45">
        <v>1.8</v>
      </c>
      <c r="X37" s="45">
        <v>1.8</v>
      </c>
      <c r="Y37" s="45">
        <v>1.8</v>
      </c>
      <c r="Z37" s="45">
        <v>1.8</v>
      </c>
      <c r="AA37" s="45">
        <v>1.8</v>
      </c>
      <c r="AB37" s="45">
        <v>1.8</v>
      </c>
      <c r="AC37" s="45">
        <v>1.8</v>
      </c>
      <c r="AD37" s="45">
        <v>1.8</v>
      </c>
      <c r="AE37" s="45">
        <v>1.8</v>
      </c>
      <c r="AF37" s="45">
        <v>1.8</v>
      </c>
      <c r="AG37" s="49">
        <v>13.6</v>
      </c>
      <c r="AH37" s="47">
        <f t="shared" si="2"/>
        <v>1.8</v>
      </c>
      <c r="AI37" s="48">
        <f t="shared" si="3"/>
        <v>1.8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5.5</v>
      </c>
      <c r="C39" s="45">
        <v>5.5</v>
      </c>
      <c r="D39" s="45">
        <v>5.5</v>
      </c>
      <c r="E39" s="45">
        <v>5.5</v>
      </c>
      <c r="F39" s="45">
        <v>5.5</v>
      </c>
      <c r="G39" s="45">
        <v>5.5</v>
      </c>
      <c r="H39" s="45">
        <v>5.5</v>
      </c>
      <c r="I39" s="45">
        <v>5.5</v>
      </c>
      <c r="J39" s="45">
        <v>5.5</v>
      </c>
      <c r="K39" s="45">
        <v>5.5</v>
      </c>
      <c r="L39" s="45">
        <v>5.5</v>
      </c>
      <c r="M39" s="45">
        <v>5.5</v>
      </c>
      <c r="N39" s="45">
        <v>5.5</v>
      </c>
      <c r="O39" s="45">
        <v>5.5</v>
      </c>
      <c r="P39" s="45">
        <v>5.5</v>
      </c>
      <c r="Q39" s="45">
        <v>5.5</v>
      </c>
      <c r="R39" s="45">
        <v>5.5</v>
      </c>
      <c r="S39" s="45">
        <v>5.5</v>
      </c>
      <c r="T39" s="45">
        <v>5.5</v>
      </c>
      <c r="U39" s="45">
        <v>5.5</v>
      </c>
      <c r="V39" s="45">
        <v>5.5</v>
      </c>
      <c r="W39" s="45">
        <v>5.5</v>
      </c>
      <c r="X39" s="45">
        <v>5.5</v>
      </c>
      <c r="Y39" s="45">
        <v>5.5</v>
      </c>
      <c r="Z39" s="45">
        <v>5.5</v>
      </c>
      <c r="AA39" s="45">
        <v>5.5</v>
      </c>
      <c r="AB39" s="45">
        <v>5.5</v>
      </c>
      <c r="AC39" s="45">
        <v>5.5</v>
      </c>
      <c r="AD39" s="45">
        <v>5.5</v>
      </c>
      <c r="AE39" s="45">
        <v>5.5</v>
      </c>
      <c r="AF39" s="45">
        <v>5.5</v>
      </c>
      <c r="AG39" s="49">
        <v>12</v>
      </c>
      <c r="AH39" s="47">
        <f t="shared" si="2"/>
        <v>5.5</v>
      </c>
      <c r="AI39" s="48">
        <f t="shared" si="3"/>
        <v>5.5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11</v>
      </c>
      <c r="C40" s="45">
        <v>11</v>
      </c>
      <c r="D40" s="45">
        <v>11</v>
      </c>
      <c r="E40" s="45">
        <v>11</v>
      </c>
      <c r="F40" s="45">
        <v>11</v>
      </c>
      <c r="G40" s="45">
        <v>11</v>
      </c>
      <c r="H40" s="45">
        <v>11</v>
      </c>
      <c r="I40" s="45">
        <v>11</v>
      </c>
      <c r="J40" s="45">
        <v>11</v>
      </c>
      <c r="K40" s="45">
        <v>11</v>
      </c>
      <c r="L40" s="45">
        <v>11</v>
      </c>
      <c r="M40" s="45">
        <v>11</v>
      </c>
      <c r="N40" s="45">
        <v>11</v>
      </c>
      <c r="O40" s="45">
        <v>11</v>
      </c>
      <c r="P40" s="45">
        <v>11</v>
      </c>
      <c r="Q40" s="45">
        <v>11</v>
      </c>
      <c r="R40" s="45">
        <v>11</v>
      </c>
      <c r="S40" s="45">
        <v>11</v>
      </c>
      <c r="T40" s="45">
        <v>11</v>
      </c>
      <c r="U40" s="45">
        <v>11</v>
      </c>
      <c r="V40" s="45">
        <v>11</v>
      </c>
      <c r="W40" s="45">
        <v>11</v>
      </c>
      <c r="X40" s="45">
        <v>11</v>
      </c>
      <c r="Y40" s="45">
        <v>11</v>
      </c>
      <c r="Z40" s="45">
        <v>11</v>
      </c>
      <c r="AA40" s="45">
        <v>11</v>
      </c>
      <c r="AB40" s="45">
        <v>11</v>
      </c>
      <c r="AC40" s="45">
        <v>11</v>
      </c>
      <c r="AD40" s="45">
        <v>11</v>
      </c>
      <c r="AE40" s="45">
        <v>11</v>
      </c>
      <c r="AF40" s="45">
        <v>11</v>
      </c>
      <c r="AG40" s="49">
        <v>12</v>
      </c>
      <c r="AH40" s="47">
        <f t="shared" si="2"/>
        <v>11</v>
      </c>
      <c r="AI40" s="48">
        <f t="shared" si="3"/>
        <v>11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3">
        <v>22</v>
      </c>
      <c r="AH42" s="47">
        <f t="shared" si="2"/>
        <v>6</v>
      </c>
      <c r="AI42" s="48">
        <f t="shared" si="3"/>
        <v>6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5.5</v>
      </c>
      <c r="C43" s="45">
        <v>5.5</v>
      </c>
      <c r="D43" s="45">
        <v>5.5</v>
      </c>
      <c r="E43" s="45">
        <v>5.5</v>
      </c>
      <c r="F43" s="45">
        <v>5.5</v>
      </c>
      <c r="G43" s="45">
        <v>5.5</v>
      </c>
      <c r="H43" s="45">
        <v>5.5</v>
      </c>
      <c r="I43" s="45">
        <v>5.5</v>
      </c>
      <c r="J43" s="45">
        <v>5.5</v>
      </c>
      <c r="K43" s="45">
        <v>5.5</v>
      </c>
      <c r="L43" s="45">
        <v>5.5</v>
      </c>
      <c r="M43" s="45">
        <v>5.5</v>
      </c>
      <c r="N43" s="45">
        <v>5.5</v>
      </c>
      <c r="O43" s="45">
        <v>5.5</v>
      </c>
      <c r="P43" s="45">
        <v>5.5</v>
      </c>
      <c r="Q43" s="45">
        <v>5.5</v>
      </c>
      <c r="R43" s="45">
        <v>5.5</v>
      </c>
      <c r="S43" s="45">
        <v>5.5</v>
      </c>
      <c r="T43" s="45">
        <v>5.5</v>
      </c>
      <c r="U43" s="45">
        <v>5.5</v>
      </c>
      <c r="V43" s="45">
        <v>5.5</v>
      </c>
      <c r="W43" s="45">
        <v>5.5</v>
      </c>
      <c r="X43" s="45">
        <v>5.5</v>
      </c>
      <c r="Y43" s="45">
        <v>5.5</v>
      </c>
      <c r="Z43" s="45">
        <v>5.5</v>
      </c>
      <c r="AA43" s="45">
        <v>5.5</v>
      </c>
      <c r="AB43" s="45">
        <v>5.5</v>
      </c>
      <c r="AC43" s="45">
        <v>5.5</v>
      </c>
      <c r="AD43" s="45">
        <v>5.5</v>
      </c>
      <c r="AE43" s="45">
        <v>5.5</v>
      </c>
      <c r="AF43" s="45">
        <v>5.5</v>
      </c>
      <c r="AG43" s="52">
        <v>11.88</v>
      </c>
      <c r="AH43" s="47">
        <f t="shared" si="2"/>
        <v>5.5</v>
      </c>
      <c r="AI43" s="48">
        <f t="shared" si="3"/>
        <v>5.5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4" t="s">
        <v>52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5">
        <v>11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4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5">
        <v>10</v>
      </c>
      <c r="AH45" s="47">
        <f t="shared" si="2"/>
        <v>0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4" t="s">
        <v>54</v>
      </c>
      <c r="B46" s="45">
        <v>6</v>
      </c>
      <c r="C46" s="45">
        <v>6</v>
      </c>
      <c r="D46" s="45">
        <v>6</v>
      </c>
      <c r="E46" s="45">
        <v>6</v>
      </c>
      <c r="F46" s="45">
        <v>6</v>
      </c>
      <c r="G46" s="45">
        <v>6</v>
      </c>
      <c r="H46" s="45">
        <v>6</v>
      </c>
      <c r="I46" s="45">
        <v>6</v>
      </c>
      <c r="J46" s="45">
        <v>6</v>
      </c>
      <c r="K46" s="45">
        <v>6</v>
      </c>
      <c r="L46" s="45">
        <v>6</v>
      </c>
      <c r="M46" s="45">
        <v>6</v>
      </c>
      <c r="N46" s="45">
        <v>6</v>
      </c>
      <c r="O46" s="45">
        <v>6</v>
      </c>
      <c r="P46" s="45">
        <v>6</v>
      </c>
      <c r="Q46" s="45">
        <v>6</v>
      </c>
      <c r="R46" s="45">
        <v>6</v>
      </c>
      <c r="S46" s="45">
        <v>6</v>
      </c>
      <c r="T46" s="45">
        <v>6</v>
      </c>
      <c r="U46" s="45">
        <v>6</v>
      </c>
      <c r="V46" s="45">
        <v>6</v>
      </c>
      <c r="W46" s="45">
        <v>6</v>
      </c>
      <c r="X46" s="45">
        <v>6</v>
      </c>
      <c r="Y46" s="45">
        <v>6</v>
      </c>
      <c r="Z46" s="45">
        <v>6</v>
      </c>
      <c r="AA46" s="45">
        <v>6</v>
      </c>
      <c r="AB46" s="45">
        <v>6</v>
      </c>
      <c r="AC46" s="45">
        <v>6</v>
      </c>
      <c r="AD46" s="45">
        <v>6</v>
      </c>
      <c r="AE46" s="45">
        <v>6</v>
      </c>
      <c r="AF46" s="45">
        <v>6</v>
      </c>
      <c r="AG46" s="55">
        <v>10</v>
      </c>
      <c r="AH46" s="47">
        <f t="shared" si="2"/>
        <v>6</v>
      </c>
      <c r="AI46" s="48">
        <f t="shared" si="3"/>
        <v>6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4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5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6" t="s">
        <v>56</v>
      </c>
      <c r="B48" s="57">
        <v>250</v>
      </c>
      <c r="C48" s="57">
        <v>250</v>
      </c>
      <c r="D48" s="57">
        <v>250</v>
      </c>
      <c r="E48" s="57">
        <v>250</v>
      </c>
      <c r="F48" s="57">
        <v>250</v>
      </c>
      <c r="G48" s="57">
        <v>250</v>
      </c>
      <c r="H48" s="57">
        <v>250</v>
      </c>
      <c r="I48" s="57">
        <v>250</v>
      </c>
      <c r="J48" s="57">
        <v>250</v>
      </c>
      <c r="K48" s="57">
        <v>250</v>
      </c>
      <c r="L48" s="57">
        <v>250</v>
      </c>
      <c r="M48" s="57">
        <v>250</v>
      </c>
      <c r="N48" s="57">
        <v>250</v>
      </c>
      <c r="O48" s="57">
        <v>250</v>
      </c>
      <c r="P48" s="57">
        <v>250</v>
      </c>
      <c r="Q48" s="57">
        <v>250</v>
      </c>
      <c r="R48" s="57">
        <v>250</v>
      </c>
      <c r="S48" s="57">
        <v>250</v>
      </c>
      <c r="T48" s="57">
        <v>250</v>
      </c>
      <c r="U48" s="57">
        <v>250</v>
      </c>
      <c r="V48" s="57">
        <v>250</v>
      </c>
      <c r="W48" s="57">
        <v>250</v>
      </c>
      <c r="X48" s="57">
        <v>250</v>
      </c>
      <c r="Y48" s="57">
        <v>250</v>
      </c>
      <c r="Z48" s="57">
        <v>250</v>
      </c>
      <c r="AA48" s="57">
        <v>250</v>
      </c>
      <c r="AB48" s="57">
        <v>250</v>
      </c>
      <c r="AC48" s="57">
        <v>250</v>
      </c>
      <c r="AD48" s="57">
        <v>250</v>
      </c>
      <c r="AE48" s="57">
        <v>250</v>
      </c>
      <c r="AF48" s="57">
        <v>250</v>
      </c>
      <c r="AG48" s="55">
        <v>85</v>
      </c>
      <c r="AH48" s="47">
        <f t="shared" si="2"/>
        <v>250</v>
      </c>
      <c r="AI48" s="48">
        <f t="shared" si="3"/>
        <v>250</v>
      </c>
      <c r="AK48" s="50"/>
    </row>
    <row r="49" spans="1:41" ht="15.75" thickBot="1" x14ac:dyDescent="0.3">
      <c r="A49" s="58" t="s">
        <v>57</v>
      </c>
      <c r="B49" s="57">
        <v>31.3</v>
      </c>
      <c r="C49" s="57">
        <v>31.3</v>
      </c>
      <c r="D49" s="57">
        <v>31.3</v>
      </c>
      <c r="E49" s="57">
        <v>31.3</v>
      </c>
      <c r="F49" s="57">
        <v>31.3</v>
      </c>
      <c r="G49" s="57">
        <v>31.3</v>
      </c>
      <c r="H49" s="57">
        <v>31.3</v>
      </c>
      <c r="I49" s="57">
        <v>31.3</v>
      </c>
      <c r="J49" s="57">
        <v>31.3</v>
      </c>
      <c r="K49" s="57">
        <v>31.3</v>
      </c>
      <c r="L49" s="57">
        <v>31.3</v>
      </c>
      <c r="M49" s="57">
        <v>31.3</v>
      </c>
      <c r="N49" s="57">
        <v>31.3</v>
      </c>
      <c r="O49" s="57">
        <f>8.2+23.5</f>
        <v>31.7</v>
      </c>
      <c r="P49" s="57">
        <f>8.2+23.5</f>
        <v>31.7</v>
      </c>
      <c r="Q49" s="57">
        <f>8.2+23.5</f>
        <v>31.7</v>
      </c>
      <c r="R49" s="57">
        <f>8.2+23.5</f>
        <v>31.7</v>
      </c>
      <c r="S49" s="51">
        <f>8.6+24.1</f>
        <v>32.700000000000003</v>
      </c>
      <c r="T49" s="51">
        <f>8.6+24.1</f>
        <v>32.700000000000003</v>
      </c>
      <c r="U49" s="51">
        <f t="shared" ref="U49:W49" si="4">8.6+24.1</f>
        <v>32.700000000000003</v>
      </c>
      <c r="V49" s="51">
        <f t="shared" si="4"/>
        <v>32.700000000000003</v>
      </c>
      <c r="W49" s="51">
        <f t="shared" si="4"/>
        <v>32.700000000000003</v>
      </c>
      <c r="X49" s="57">
        <v>32.700000000000003</v>
      </c>
      <c r="Y49" s="57">
        <v>32.700000000000003</v>
      </c>
      <c r="Z49" s="57">
        <v>32.700000000000003</v>
      </c>
      <c r="AA49" s="57">
        <v>32.700000000000003</v>
      </c>
      <c r="AB49" s="57">
        <f>25.4+8.4</f>
        <v>33.799999999999997</v>
      </c>
      <c r="AC49" s="57">
        <f>25.4+8.4</f>
        <v>33.799999999999997</v>
      </c>
      <c r="AD49" s="57">
        <f>25+8.4</f>
        <v>33.4</v>
      </c>
      <c r="AE49" s="57">
        <f>26+8.8</f>
        <v>34.799999999999997</v>
      </c>
      <c r="AF49" s="57">
        <f>9.4+28.3</f>
        <v>37.700000000000003</v>
      </c>
      <c r="AG49" s="55">
        <v>240</v>
      </c>
      <c r="AH49" s="47">
        <f t="shared" si="2"/>
        <v>37.700000000000003</v>
      </c>
      <c r="AI49" s="48">
        <f t="shared" si="3"/>
        <v>31.3</v>
      </c>
      <c r="AK49" s="50"/>
    </row>
    <row r="50" spans="1:41" ht="15.75" thickBot="1" x14ac:dyDescent="0.3">
      <c r="A50" s="59" t="s">
        <v>58</v>
      </c>
      <c r="B50" s="60">
        <f t="shared" ref="B50:C50" si="5">SUM(B11:B48)</f>
        <v>665.39999999999986</v>
      </c>
      <c r="C50" s="60">
        <f t="shared" si="5"/>
        <v>665.39999999999986</v>
      </c>
      <c r="D50" s="60">
        <f t="shared" ref="D50:E50" si="6">SUM(D11:D48)</f>
        <v>665.39999999999986</v>
      </c>
      <c r="E50" s="60">
        <f t="shared" si="6"/>
        <v>665.39999999999986</v>
      </c>
      <c r="F50" s="60">
        <f t="shared" ref="F50:G50" si="7">SUM(F11:F48)</f>
        <v>665.39999999999986</v>
      </c>
      <c r="G50" s="60">
        <f t="shared" si="7"/>
        <v>665.39999999999986</v>
      </c>
      <c r="H50" s="60">
        <f t="shared" ref="H50:I50" si="8">SUM(H11:H48)</f>
        <v>665.39999999999986</v>
      </c>
      <c r="I50" s="60">
        <f t="shared" si="8"/>
        <v>665.39999999999986</v>
      </c>
      <c r="J50" s="60">
        <f t="shared" ref="J50:K50" si="9">SUM(J11:J48)</f>
        <v>665.39999999999986</v>
      </c>
      <c r="K50" s="60">
        <f t="shared" si="9"/>
        <v>665.39999999999986</v>
      </c>
      <c r="L50" s="60">
        <f t="shared" ref="L50" si="10">SUM(L11:L48)</f>
        <v>665.39999999999986</v>
      </c>
      <c r="M50" s="60">
        <f t="shared" ref="M50:AD50" si="11">SUM(M11:M48)</f>
        <v>665.39999999999986</v>
      </c>
      <c r="N50" s="60">
        <f t="shared" si="11"/>
        <v>665.39999999999986</v>
      </c>
      <c r="O50" s="60">
        <f t="shared" si="11"/>
        <v>665.39999999999986</v>
      </c>
      <c r="P50" s="60">
        <f t="shared" ref="P50:Q50" si="12">SUM(P11:P48)</f>
        <v>665.49999999999989</v>
      </c>
      <c r="Q50" s="60">
        <f t="shared" si="12"/>
        <v>665.49999999999989</v>
      </c>
      <c r="R50" s="60">
        <f>SUM(R11:R48)</f>
        <v>665.49999999999989</v>
      </c>
      <c r="S50" s="60">
        <f t="shared" si="11"/>
        <v>662.99999999999989</v>
      </c>
      <c r="T50" s="60">
        <f t="shared" si="11"/>
        <v>662.99999999999989</v>
      </c>
      <c r="U50" s="60">
        <f t="shared" si="11"/>
        <v>662.99999999999989</v>
      </c>
      <c r="V50" s="60">
        <f t="shared" si="11"/>
        <v>662.99999999999989</v>
      </c>
      <c r="W50" s="60">
        <f t="shared" si="11"/>
        <v>662.99999999999989</v>
      </c>
      <c r="X50" s="60">
        <f t="shared" si="11"/>
        <v>662.99999999999989</v>
      </c>
      <c r="Y50" s="60">
        <f t="shared" si="11"/>
        <v>662.99999999999989</v>
      </c>
      <c r="Z50" s="60">
        <f t="shared" si="11"/>
        <v>662.99999999999989</v>
      </c>
      <c r="AA50" s="60">
        <f t="shared" si="11"/>
        <v>662.99999999999989</v>
      </c>
      <c r="AB50" s="60">
        <f t="shared" si="11"/>
        <v>664.3</v>
      </c>
      <c r="AC50" s="60">
        <f t="shared" si="11"/>
        <v>664.3</v>
      </c>
      <c r="AD50" s="60">
        <f t="shared" si="11"/>
        <v>665.3</v>
      </c>
      <c r="AE50" s="60">
        <f t="shared" ref="AE50:AF50" si="13">SUM(AE11:AE48)</f>
        <v>670.5</v>
      </c>
      <c r="AF50" s="60">
        <f t="shared" si="13"/>
        <v>674.7</v>
      </c>
      <c r="AG50" s="61">
        <f>SUM(AG13:AG48)</f>
        <v>922.14</v>
      </c>
      <c r="AH50" s="47">
        <f t="shared" si="2"/>
        <v>674.7</v>
      </c>
      <c r="AI50" s="48">
        <f t="shared" si="3"/>
        <v>662.99999999999989</v>
      </c>
      <c r="AK50" s="50"/>
    </row>
    <row r="51" spans="1:41" x14ac:dyDescent="0.25">
      <c r="A51" s="62" t="s">
        <v>59</v>
      </c>
      <c r="B51" s="45">
        <v>0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11</v>
      </c>
      <c r="K51" s="45">
        <v>200</v>
      </c>
      <c r="L51" s="45">
        <v>380</v>
      </c>
      <c r="M51" s="45">
        <v>380</v>
      </c>
      <c r="N51" s="63">
        <v>320</v>
      </c>
      <c r="O51" s="63">
        <v>200</v>
      </c>
      <c r="P51" s="63">
        <v>70</v>
      </c>
      <c r="Q51" s="63">
        <v>70</v>
      </c>
      <c r="R51" s="63">
        <v>70</v>
      </c>
      <c r="S51" s="45">
        <v>15</v>
      </c>
      <c r="T51" s="45">
        <v>15</v>
      </c>
      <c r="U51" s="45">
        <v>110</v>
      </c>
      <c r="V51" s="45">
        <v>110</v>
      </c>
      <c r="W51" s="45">
        <v>380</v>
      </c>
      <c r="X51" s="45">
        <v>380</v>
      </c>
      <c r="Y51" s="45">
        <v>380</v>
      </c>
      <c r="Z51" s="45">
        <v>380</v>
      </c>
      <c r="AA51" s="45">
        <v>330</v>
      </c>
      <c r="AB51" s="45">
        <v>200</v>
      </c>
      <c r="AC51" s="45">
        <v>120</v>
      </c>
      <c r="AD51" s="45">
        <v>60</v>
      </c>
      <c r="AE51" s="45">
        <v>20</v>
      </c>
      <c r="AF51" s="45">
        <v>0</v>
      </c>
      <c r="AG51" s="52">
        <v>456</v>
      </c>
      <c r="AH51" s="47">
        <f t="shared" si="2"/>
        <v>380</v>
      </c>
      <c r="AI51" s="48">
        <f t="shared" si="3"/>
        <v>0</v>
      </c>
      <c r="AK51" s="50"/>
    </row>
    <row r="52" spans="1:41" x14ac:dyDescent="0.25">
      <c r="A52" s="64" t="s">
        <v>60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42</v>
      </c>
      <c r="N52" s="65">
        <v>42</v>
      </c>
      <c r="O52" s="65">
        <v>42</v>
      </c>
      <c r="P52" s="65">
        <v>42</v>
      </c>
      <c r="Q52" s="65">
        <v>42</v>
      </c>
      <c r="R52" s="65">
        <v>42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5">
        <v>60</v>
      </c>
      <c r="AH52" s="47">
        <f t="shared" si="2"/>
        <v>42</v>
      </c>
      <c r="AI52" s="48">
        <f t="shared" si="3"/>
        <v>42</v>
      </c>
      <c r="AK52" s="50"/>
    </row>
    <row r="53" spans="1:41" ht="15.75" thickBot="1" x14ac:dyDescent="0.3">
      <c r="A53" s="66" t="s">
        <v>61</v>
      </c>
      <c r="B53" s="67">
        <v>20</v>
      </c>
      <c r="C53" s="67">
        <v>20</v>
      </c>
      <c r="D53" s="67">
        <v>20</v>
      </c>
      <c r="E53" s="67">
        <v>20</v>
      </c>
      <c r="F53" s="67">
        <v>20</v>
      </c>
      <c r="G53" s="67">
        <v>20</v>
      </c>
      <c r="H53" s="67">
        <v>20</v>
      </c>
      <c r="I53" s="67">
        <v>20</v>
      </c>
      <c r="J53" s="67">
        <v>20</v>
      </c>
      <c r="K53" s="67">
        <v>20</v>
      </c>
      <c r="L53" s="67">
        <v>20</v>
      </c>
      <c r="M53" s="67">
        <v>19.899999999999999</v>
      </c>
      <c r="N53" s="67">
        <v>14.5</v>
      </c>
      <c r="O53" s="67">
        <v>14.5</v>
      </c>
      <c r="P53" s="67">
        <v>14.5</v>
      </c>
      <c r="Q53" s="67">
        <v>14.5</v>
      </c>
      <c r="R53" s="67">
        <v>14.5</v>
      </c>
      <c r="S53" s="67">
        <v>15.8</v>
      </c>
      <c r="T53" s="67">
        <v>15.8</v>
      </c>
      <c r="U53" s="67">
        <v>15</v>
      </c>
      <c r="V53" s="67">
        <v>15</v>
      </c>
      <c r="W53" s="67">
        <v>15</v>
      </c>
      <c r="X53" s="67">
        <v>20</v>
      </c>
      <c r="Y53" s="67">
        <v>20</v>
      </c>
      <c r="Z53" s="67">
        <v>20</v>
      </c>
      <c r="AA53" s="67">
        <v>20</v>
      </c>
      <c r="AB53" s="67">
        <v>20</v>
      </c>
      <c r="AC53" s="67">
        <v>19.5</v>
      </c>
      <c r="AD53" s="67">
        <v>14.2</v>
      </c>
      <c r="AE53" s="67">
        <v>14.2</v>
      </c>
      <c r="AF53" s="67">
        <v>14.2</v>
      </c>
      <c r="AG53" s="68">
        <v>22.1</v>
      </c>
      <c r="AH53" s="47">
        <f t="shared" si="2"/>
        <v>20</v>
      </c>
      <c r="AI53" s="48">
        <f t="shared" si="3"/>
        <v>14.2</v>
      </c>
      <c r="AK53" s="50"/>
    </row>
    <row r="54" spans="1:41" ht="15.75" thickBot="1" x14ac:dyDescent="0.3">
      <c r="A54" s="69" t="s">
        <v>62</v>
      </c>
      <c r="B54" s="60">
        <f t="shared" ref="B54:C54" si="14">SUM(B51:B53)</f>
        <v>62</v>
      </c>
      <c r="C54" s="60">
        <f t="shared" si="14"/>
        <v>62</v>
      </c>
      <c r="D54" s="60">
        <f t="shared" ref="D54:E54" si="15">SUM(D51:D53)</f>
        <v>62</v>
      </c>
      <c r="E54" s="60">
        <f t="shared" si="15"/>
        <v>62</v>
      </c>
      <c r="F54" s="60">
        <f t="shared" ref="F54:G54" si="16">SUM(F51:F53)</f>
        <v>62</v>
      </c>
      <c r="G54" s="60">
        <f t="shared" si="16"/>
        <v>62</v>
      </c>
      <c r="H54" s="60">
        <f t="shared" ref="H54:I54" si="17">SUM(H51:H53)</f>
        <v>62</v>
      </c>
      <c r="I54" s="60">
        <f t="shared" si="17"/>
        <v>62</v>
      </c>
      <c r="J54" s="60">
        <f t="shared" ref="J54:K54" si="18">SUM(J51:J53)</f>
        <v>73</v>
      </c>
      <c r="K54" s="60">
        <f t="shared" si="18"/>
        <v>262</v>
      </c>
      <c r="L54" s="60">
        <f t="shared" ref="L54" si="19">SUM(L51:L53)</f>
        <v>442</v>
      </c>
      <c r="M54" s="60">
        <f t="shared" ref="M54:AG54" si="20">SUM(M51:M53)</f>
        <v>441.9</v>
      </c>
      <c r="N54" s="60">
        <f t="shared" si="20"/>
        <v>376.5</v>
      </c>
      <c r="O54" s="60">
        <f t="shared" si="20"/>
        <v>256.5</v>
      </c>
      <c r="P54" s="60">
        <f t="shared" ref="P54:Q54" si="21">SUM(P51:P53)</f>
        <v>126.5</v>
      </c>
      <c r="Q54" s="60">
        <f t="shared" si="21"/>
        <v>126.5</v>
      </c>
      <c r="R54" s="60">
        <f t="shared" ref="R54" si="22">SUM(R51:R53)</f>
        <v>126.5</v>
      </c>
      <c r="S54" s="60">
        <f t="shared" si="20"/>
        <v>72.8</v>
      </c>
      <c r="T54" s="60">
        <f t="shared" si="20"/>
        <v>72.8</v>
      </c>
      <c r="U54" s="60">
        <f t="shared" si="20"/>
        <v>167</v>
      </c>
      <c r="V54" s="60">
        <f t="shared" si="20"/>
        <v>167</v>
      </c>
      <c r="W54" s="60">
        <f t="shared" si="20"/>
        <v>437</v>
      </c>
      <c r="X54" s="60">
        <v>437</v>
      </c>
      <c r="Y54" s="60">
        <f t="shared" si="20"/>
        <v>442</v>
      </c>
      <c r="Z54" s="60">
        <f t="shared" si="20"/>
        <v>442</v>
      </c>
      <c r="AA54" s="60">
        <f t="shared" si="20"/>
        <v>392</v>
      </c>
      <c r="AB54" s="60">
        <f t="shared" si="20"/>
        <v>262</v>
      </c>
      <c r="AC54" s="60">
        <f t="shared" si="20"/>
        <v>181.5</v>
      </c>
      <c r="AD54" s="60">
        <f t="shared" si="20"/>
        <v>116.2</v>
      </c>
      <c r="AE54" s="60">
        <f t="shared" ref="AE54:AF54" si="23">SUM(AE51:AE53)</f>
        <v>76.2</v>
      </c>
      <c r="AF54" s="60">
        <f t="shared" si="23"/>
        <v>56.2</v>
      </c>
      <c r="AG54" s="61">
        <f t="shared" si="20"/>
        <v>538.1</v>
      </c>
      <c r="AH54" s="47">
        <f t="shared" si="2"/>
        <v>442</v>
      </c>
      <c r="AI54" s="48">
        <f t="shared" si="3"/>
        <v>56.2</v>
      </c>
      <c r="AK54" s="50"/>
    </row>
    <row r="55" spans="1:41" x14ac:dyDescent="0.25">
      <c r="A55" s="44" t="s">
        <v>63</v>
      </c>
      <c r="B55" s="45">
        <v>30</v>
      </c>
      <c r="C55" s="45">
        <v>30</v>
      </c>
      <c r="D55" s="45">
        <v>30</v>
      </c>
      <c r="E55" s="45">
        <v>30</v>
      </c>
      <c r="F55" s="45">
        <v>30</v>
      </c>
      <c r="G55" s="45">
        <v>30</v>
      </c>
      <c r="H55" s="45">
        <v>30</v>
      </c>
      <c r="I55" s="45">
        <v>30</v>
      </c>
      <c r="J55" s="45">
        <v>90</v>
      </c>
      <c r="K55" s="45">
        <v>138.4</v>
      </c>
      <c r="L55" s="45">
        <v>145.69999999999999</v>
      </c>
      <c r="M55" s="45">
        <v>145.19999999999999</v>
      </c>
      <c r="N55" s="45">
        <v>145.19999999999999</v>
      </c>
      <c r="O55" s="45">
        <v>145.19999999999999</v>
      </c>
      <c r="P55" s="45">
        <v>145.19999999999999</v>
      </c>
      <c r="Q55" s="45">
        <v>110</v>
      </c>
      <c r="R55" s="45">
        <v>60</v>
      </c>
      <c r="S55" s="45">
        <v>48.8</v>
      </c>
      <c r="T55" s="45">
        <v>30</v>
      </c>
      <c r="U55" s="45">
        <v>48</v>
      </c>
      <c r="V55" s="45">
        <v>139</v>
      </c>
      <c r="W55" s="45">
        <v>145</v>
      </c>
      <c r="X55" s="45">
        <v>145</v>
      </c>
      <c r="Y55" s="45">
        <v>145</v>
      </c>
      <c r="Z55" s="45">
        <v>145</v>
      </c>
      <c r="AA55" s="45">
        <v>145</v>
      </c>
      <c r="AB55" s="45">
        <v>145</v>
      </c>
      <c r="AC55" s="45">
        <v>110.7</v>
      </c>
      <c r="AD55" s="45">
        <v>101.1</v>
      </c>
      <c r="AE55" s="45">
        <v>40</v>
      </c>
      <c r="AF55" s="45">
        <v>0</v>
      </c>
      <c r="AG55" s="52">
        <v>144</v>
      </c>
      <c r="AH55" s="47">
        <f t="shared" si="2"/>
        <v>145.69999999999999</v>
      </c>
      <c r="AI55" s="48">
        <f t="shared" si="3"/>
        <v>0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25</v>
      </c>
      <c r="E56" s="65">
        <v>25</v>
      </c>
      <c r="F56" s="65">
        <v>25</v>
      </c>
      <c r="G56" s="65">
        <v>25</v>
      </c>
      <c r="H56" s="65">
        <v>30</v>
      </c>
      <c r="I56" s="65">
        <v>35.1</v>
      </c>
      <c r="J56" s="65">
        <v>36.1</v>
      </c>
      <c r="K56" s="65">
        <v>36.1</v>
      </c>
      <c r="L56" s="65">
        <v>69.900000000000006</v>
      </c>
      <c r="M56" s="65">
        <v>70.3</v>
      </c>
      <c r="N56" s="65">
        <v>70.3</v>
      </c>
      <c r="O56" s="65">
        <v>70.3</v>
      </c>
      <c r="P56" s="65">
        <v>70.3</v>
      </c>
      <c r="Q56" s="65">
        <v>35</v>
      </c>
      <c r="R56" s="65">
        <v>25.9</v>
      </c>
      <c r="S56" s="45">
        <v>35.6</v>
      </c>
      <c r="T56" s="45">
        <v>35</v>
      </c>
      <c r="U56" s="45">
        <v>65</v>
      </c>
      <c r="V56" s="45">
        <v>63.6</v>
      </c>
      <c r="W56" s="45">
        <v>70</v>
      </c>
      <c r="X56" s="45">
        <v>70</v>
      </c>
      <c r="Y56" s="45">
        <v>71</v>
      </c>
      <c r="Z56" s="45">
        <v>71</v>
      </c>
      <c r="AA56" s="45">
        <v>71</v>
      </c>
      <c r="AB56" s="45">
        <v>69.5</v>
      </c>
      <c r="AC56" s="45">
        <v>59.2</v>
      </c>
      <c r="AD56" s="65">
        <v>70.3</v>
      </c>
      <c r="AE56" s="65">
        <v>25</v>
      </c>
      <c r="AF56" s="65">
        <v>25.1</v>
      </c>
      <c r="AG56" s="55">
        <v>70</v>
      </c>
      <c r="AH56" s="47">
        <f t="shared" si="2"/>
        <v>71</v>
      </c>
      <c r="AI56" s="48">
        <f t="shared" si="3"/>
        <v>0</v>
      </c>
      <c r="AK56" s="50"/>
    </row>
    <row r="57" spans="1:41" x14ac:dyDescent="0.25">
      <c r="A57" s="54" t="s">
        <v>65</v>
      </c>
      <c r="B57" s="65">
        <v>32</v>
      </c>
      <c r="C57" s="65">
        <v>16</v>
      </c>
      <c r="D57" s="65">
        <v>16</v>
      </c>
      <c r="E57" s="65">
        <v>16</v>
      </c>
      <c r="F57" s="65">
        <v>16</v>
      </c>
      <c r="G57" s="65">
        <v>16</v>
      </c>
      <c r="H57" s="65">
        <v>48.4</v>
      </c>
      <c r="I57" s="65">
        <v>60</v>
      </c>
      <c r="J57" s="65">
        <v>60</v>
      </c>
      <c r="K57" s="65">
        <v>60</v>
      </c>
      <c r="L57" s="65">
        <v>68.8</v>
      </c>
      <c r="M57" s="65">
        <v>68.5</v>
      </c>
      <c r="N57" s="65">
        <v>68.5</v>
      </c>
      <c r="O57" s="65">
        <v>68.5</v>
      </c>
      <c r="P57" s="65">
        <v>68.5</v>
      </c>
      <c r="Q57" s="65">
        <v>32</v>
      </c>
      <c r="R57" s="65">
        <v>18</v>
      </c>
      <c r="S57" s="45">
        <v>22.5</v>
      </c>
      <c r="T57" s="45">
        <v>46</v>
      </c>
      <c r="U57" s="45">
        <v>68</v>
      </c>
      <c r="V57" s="45">
        <v>63.9</v>
      </c>
      <c r="W57" s="45">
        <v>67</v>
      </c>
      <c r="X57" s="45">
        <v>68</v>
      </c>
      <c r="Y57" s="45">
        <v>68.7</v>
      </c>
      <c r="Z57" s="45">
        <v>68.7</v>
      </c>
      <c r="AA57" s="45">
        <v>68.7</v>
      </c>
      <c r="AB57" s="45">
        <v>67.8</v>
      </c>
      <c r="AC57" s="45">
        <v>66.8</v>
      </c>
      <c r="AD57" s="65">
        <v>67.900000000000006</v>
      </c>
      <c r="AE57" s="65">
        <v>55</v>
      </c>
      <c r="AF57" s="65">
        <v>32.700000000000003</v>
      </c>
      <c r="AG57" s="55">
        <v>69</v>
      </c>
      <c r="AH57" s="47">
        <f t="shared" si="2"/>
        <v>68.8</v>
      </c>
      <c r="AI57" s="48">
        <f t="shared" si="3"/>
        <v>16</v>
      </c>
      <c r="AK57" s="50"/>
    </row>
    <row r="58" spans="1:41" x14ac:dyDescent="0.25">
      <c r="A58" s="54" t="s">
        <v>66</v>
      </c>
      <c r="B58" s="65">
        <v>52.6</v>
      </c>
      <c r="C58" s="65">
        <v>52.6</v>
      </c>
      <c r="D58" s="65">
        <v>52.6</v>
      </c>
      <c r="E58" s="65">
        <v>54.7</v>
      </c>
      <c r="F58" s="65">
        <v>54.7</v>
      </c>
      <c r="G58" s="65">
        <v>54.7</v>
      </c>
      <c r="H58" s="65">
        <v>56.4</v>
      </c>
      <c r="I58" s="65">
        <v>56.4</v>
      </c>
      <c r="J58" s="65">
        <v>56.4</v>
      </c>
      <c r="K58" s="65">
        <v>56.4</v>
      </c>
      <c r="L58" s="65">
        <v>58.5</v>
      </c>
      <c r="M58" s="65">
        <v>56.4</v>
      </c>
      <c r="N58" s="65">
        <v>56.4</v>
      </c>
      <c r="O58" s="65">
        <v>56.4</v>
      </c>
      <c r="P58" s="65">
        <v>56.4</v>
      </c>
      <c r="Q58" s="65">
        <v>56.4</v>
      </c>
      <c r="R58" s="65">
        <v>56.4</v>
      </c>
      <c r="S58" s="65">
        <v>56.4</v>
      </c>
      <c r="T58" s="65">
        <v>54</v>
      </c>
      <c r="U58" s="65">
        <v>54</v>
      </c>
      <c r="V58" s="65">
        <v>54</v>
      </c>
      <c r="W58" s="65">
        <v>54</v>
      </c>
      <c r="X58" s="45">
        <v>54</v>
      </c>
      <c r="Y58" s="45">
        <v>54</v>
      </c>
      <c r="Z58" s="45">
        <v>54</v>
      </c>
      <c r="AA58" s="45">
        <v>54</v>
      </c>
      <c r="AB58" s="45">
        <v>58</v>
      </c>
      <c r="AC58" s="45">
        <v>58</v>
      </c>
      <c r="AD58" s="65">
        <v>58</v>
      </c>
      <c r="AE58" s="65">
        <v>58.9</v>
      </c>
      <c r="AF58" s="65">
        <v>60.2</v>
      </c>
      <c r="AG58" s="55">
        <v>60</v>
      </c>
      <c r="AH58" s="47">
        <f t="shared" si="2"/>
        <v>60.2</v>
      </c>
      <c r="AI58" s="48">
        <f t="shared" si="3"/>
        <v>52.6</v>
      </c>
      <c r="AK58" s="50"/>
    </row>
    <row r="59" spans="1:41" x14ac:dyDescent="0.25">
      <c r="A59" s="54" t="s">
        <v>67</v>
      </c>
      <c r="B59" s="65">
        <v>10</v>
      </c>
      <c r="C59" s="65">
        <v>10</v>
      </c>
      <c r="D59" s="65">
        <v>15</v>
      </c>
      <c r="E59" s="65">
        <v>15</v>
      </c>
      <c r="F59" s="65">
        <v>10</v>
      </c>
      <c r="G59" s="65">
        <v>10</v>
      </c>
      <c r="H59" s="65">
        <v>15</v>
      </c>
      <c r="I59" s="65">
        <v>23</v>
      </c>
      <c r="J59" s="65">
        <v>23</v>
      </c>
      <c r="K59" s="65">
        <v>23</v>
      </c>
      <c r="L59" s="65">
        <v>23</v>
      </c>
      <c r="M59" s="65">
        <v>23</v>
      </c>
      <c r="N59" s="65">
        <v>23</v>
      </c>
      <c r="O59" s="65">
        <v>10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45">
        <v>30</v>
      </c>
      <c r="Y59" s="45">
        <v>30</v>
      </c>
      <c r="Z59" s="45">
        <v>30</v>
      </c>
      <c r="AA59" s="45">
        <v>30</v>
      </c>
      <c r="AB59" s="45">
        <v>10</v>
      </c>
      <c r="AC59" s="45">
        <v>10</v>
      </c>
      <c r="AD59" s="65">
        <v>0</v>
      </c>
      <c r="AE59" s="65">
        <v>0</v>
      </c>
      <c r="AF59" s="65">
        <v>0</v>
      </c>
      <c r="AG59" s="55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0.7</v>
      </c>
      <c r="M60" s="65">
        <v>1.4</v>
      </c>
      <c r="N60" s="65">
        <v>1.4</v>
      </c>
      <c r="O60" s="65">
        <v>7</v>
      </c>
      <c r="P60" s="65">
        <v>7</v>
      </c>
      <c r="Q60" s="65">
        <v>7</v>
      </c>
      <c r="R60" s="65">
        <v>7</v>
      </c>
      <c r="S60" s="65">
        <v>7</v>
      </c>
      <c r="T60" s="65">
        <v>7</v>
      </c>
      <c r="U60" s="65">
        <v>7</v>
      </c>
      <c r="V60" s="65">
        <v>7</v>
      </c>
      <c r="W60" s="65">
        <v>7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5">
        <v>25</v>
      </c>
      <c r="AH60" s="47">
        <f t="shared" si="2"/>
        <v>7</v>
      </c>
      <c r="AI60" s="48">
        <f t="shared" si="3"/>
        <v>0</v>
      </c>
      <c r="AK60" s="50"/>
    </row>
    <row r="61" spans="1:41" x14ac:dyDescent="0.25">
      <c r="A61" s="54" t="s">
        <v>69</v>
      </c>
      <c r="B61" s="65">
        <v>16</v>
      </c>
      <c r="C61" s="65">
        <v>16</v>
      </c>
      <c r="D61" s="65">
        <v>16</v>
      </c>
      <c r="E61" s="65">
        <v>16</v>
      </c>
      <c r="F61" s="65">
        <v>16</v>
      </c>
      <c r="G61" s="65">
        <v>16</v>
      </c>
      <c r="H61" s="65">
        <v>16</v>
      </c>
      <c r="I61" s="65">
        <v>16</v>
      </c>
      <c r="J61" s="65">
        <v>16</v>
      </c>
      <c r="K61" s="65">
        <v>16</v>
      </c>
      <c r="L61" s="65">
        <v>16</v>
      </c>
      <c r="M61" s="65">
        <v>16</v>
      </c>
      <c r="N61" s="65">
        <v>16</v>
      </c>
      <c r="O61" s="65">
        <v>16</v>
      </c>
      <c r="P61" s="65">
        <v>16</v>
      </c>
      <c r="Q61" s="65">
        <v>16</v>
      </c>
      <c r="R61" s="65">
        <v>16</v>
      </c>
      <c r="S61" s="65">
        <v>16</v>
      </c>
      <c r="T61" s="65">
        <v>16</v>
      </c>
      <c r="U61" s="65">
        <v>16</v>
      </c>
      <c r="V61" s="65">
        <v>16</v>
      </c>
      <c r="W61" s="65">
        <v>16</v>
      </c>
      <c r="X61" s="65">
        <v>16</v>
      </c>
      <c r="Y61" s="65">
        <v>16</v>
      </c>
      <c r="Z61" s="65">
        <v>16</v>
      </c>
      <c r="AA61" s="65">
        <v>16</v>
      </c>
      <c r="AB61" s="65">
        <v>16</v>
      </c>
      <c r="AC61" s="65">
        <v>16</v>
      </c>
      <c r="AD61" s="65">
        <v>16</v>
      </c>
      <c r="AE61" s="65">
        <v>16</v>
      </c>
      <c r="AF61" s="65">
        <v>16</v>
      </c>
      <c r="AG61" s="55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4" t="s">
        <v>70</v>
      </c>
      <c r="B62" s="65">
        <v>2</v>
      </c>
      <c r="C62" s="65">
        <v>2</v>
      </c>
      <c r="D62" s="65">
        <v>2</v>
      </c>
      <c r="E62" s="65">
        <v>2</v>
      </c>
      <c r="F62" s="65">
        <v>2</v>
      </c>
      <c r="G62" s="65">
        <v>2</v>
      </c>
      <c r="H62" s="65">
        <v>2</v>
      </c>
      <c r="I62" s="65">
        <v>2</v>
      </c>
      <c r="J62" s="65">
        <v>2</v>
      </c>
      <c r="K62" s="65">
        <v>2</v>
      </c>
      <c r="L62" s="65">
        <v>2</v>
      </c>
      <c r="M62" s="65">
        <v>2.4</v>
      </c>
      <c r="N62" s="65">
        <v>2.4</v>
      </c>
      <c r="O62" s="65">
        <v>2.4</v>
      </c>
      <c r="P62" s="65">
        <v>2.4</v>
      </c>
      <c r="Q62" s="65">
        <v>2.4</v>
      </c>
      <c r="R62" s="65">
        <v>2.4</v>
      </c>
      <c r="S62" s="65">
        <v>2.4</v>
      </c>
      <c r="T62" s="65">
        <v>2.4</v>
      </c>
      <c r="U62" s="65">
        <v>2.4</v>
      </c>
      <c r="V62" s="65">
        <v>2.4</v>
      </c>
      <c r="W62" s="65">
        <v>2.4</v>
      </c>
      <c r="X62" s="65">
        <v>2.4</v>
      </c>
      <c r="Y62" s="65">
        <v>2.4</v>
      </c>
      <c r="Z62" s="65">
        <v>2.4</v>
      </c>
      <c r="AA62" s="65">
        <v>2.4</v>
      </c>
      <c r="AB62" s="65">
        <v>2.4</v>
      </c>
      <c r="AC62" s="65">
        <v>2.4</v>
      </c>
      <c r="AD62" s="65">
        <v>2.4</v>
      </c>
      <c r="AE62" s="65">
        <v>2.4</v>
      </c>
      <c r="AF62" s="65">
        <v>2.4</v>
      </c>
      <c r="AG62" s="55">
        <v>15</v>
      </c>
      <c r="AH62" s="47">
        <f t="shared" si="2"/>
        <v>2.4</v>
      </c>
      <c r="AI62" s="48">
        <f t="shared" si="3"/>
        <v>2</v>
      </c>
      <c r="AK62" s="50"/>
      <c r="AL62" s="70"/>
      <c r="AO62" s="70"/>
    </row>
    <row r="63" spans="1:41" s="70" customFormat="1" x14ac:dyDescent="0.25">
      <c r="A63" s="54" t="s">
        <v>71</v>
      </c>
      <c r="B63" s="65">
        <v>9.3000000000000007</v>
      </c>
      <c r="C63" s="65">
        <v>9.3000000000000007</v>
      </c>
      <c r="D63" s="65">
        <v>9.3000000000000007</v>
      </c>
      <c r="E63" s="65">
        <v>9.3000000000000007</v>
      </c>
      <c r="F63" s="65">
        <v>9.3000000000000007</v>
      </c>
      <c r="G63" s="65">
        <v>9.3000000000000007</v>
      </c>
      <c r="H63" s="65">
        <v>9.3000000000000007</v>
      </c>
      <c r="I63" s="65">
        <v>9.3000000000000007</v>
      </c>
      <c r="J63" s="65">
        <v>9.3000000000000007</v>
      </c>
      <c r="K63" s="65">
        <v>9.3000000000000007</v>
      </c>
      <c r="L63" s="65">
        <v>9.3000000000000007</v>
      </c>
      <c r="M63" s="65">
        <v>11.7</v>
      </c>
      <c r="N63" s="65">
        <v>11.7</v>
      </c>
      <c r="O63" s="65">
        <v>11.7</v>
      </c>
      <c r="P63" s="65">
        <v>11.7</v>
      </c>
      <c r="Q63" s="65">
        <v>11.7</v>
      </c>
      <c r="R63" s="65">
        <v>11.7</v>
      </c>
      <c r="S63" s="65">
        <v>11.7</v>
      </c>
      <c r="T63" s="65">
        <v>11.7</v>
      </c>
      <c r="U63" s="65">
        <v>11.7</v>
      </c>
      <c r="V63" s="65">
        <v>11.7</v>
      </c>
      <c r="W63" s="65">
        <v>11.7</v>
      </c>
      <c r="X63" s="65">
        <v>11.7</v>
      </c>
      <c r="Y63" s="65">
        <v>11.7</v>
      </c>
      <c r="Z63" s="65">
        <v>11.7</v>
      </c>
      <c r="AA63" s="65">
        <v>11.7</v>
      </c>
      <c r="AB63" s="65">
        <v>11.7</v>
      </c>
      <c r="AC63" s="65">
        <v>11.7</v>
      </c>
      <c r="AD63" s="65">
        <v>11.7</v>
      </c>
      <c r="AE63" s="65">
        <v>13.6</v>
      </c>
      <c r="AF63" s="65">
        <v>13.6</v>
      </c>
      <c r="AG63" s="55">
        <v>14.1</v>
      </c>
      <c r="AH63" s="47">
        <f t="shared" si="2"/>
        <v>13.6</v>
      </c>
      <c r="AI63" s="48">
        <f t="shared" si="3"/>
        <v>9.3000000000000007</v>
      </c>
      <c r="AJ63" s="1"/>
      <c r="AK63" s="50"/>
      <c r="AL63" s="1"/>
      <c r="AM63" s="1"/>
      <c r="AN63" s="1"/>
      <c r="AO63" s="1"/>
    </row>
    <row r="64" spans="1:41" x14ac:dyDescent="0.25">
      <c r="A64" s="71" t="s">
        <v>72</v>
      </c>
      <c r="B64" s="65">
        <v>5.7</v>
      </c>
      <c r="C64" s="65">
        <v>5.7</v>
      </c>
      <c r="D64" s="65">
        <v>5.7</v>
      </c>
      <c r="E64" s="65">
        <v>5.7</v>
      </c>
      <c r="F64" s="65">
        <v>5.7</v>
      </c>
      <c r="G64" s="65">
        <v>5.7</v>
      </c>
      <c r="H64" s="65">
        <v>5.7</v>
      </c>
      <c r="I64" s="65">
        <v>5.7</v>
      </c>
      <c r="J64" s="65">
        <v>5.7</v>
      </c>
      <c r="K64" s="65">
        <v>5.7</v>
      </c>
      <c r="L64" s="65">
        <v>5.7</v>
      </c>
      <c r="M64" s="65">
        <v>6.8</v>
      </c>
      <c r="N64" s="65">
        <v>6.8</v>
      </c>
      <c r="O64" s="65">
        <v>6.8</v>
      </c>
      <c r="P64" s="65">
        <v>6.8</v>
      </c>
      <c r="Q64" s="65">
        <v>6.8</v>
      </c>
      <c r="R64" s="65">
        <v>6.8</v>
      </c>
      <c r="S64" s="65">
        <v>6.8</v>
      </c>
      <c r="T64" s="65">
        <v>6.8</v>
      </c>
      <c r="U64" s="65">
        <v>6.8</v>
      </c>
      <c r="V64" s="65">
        <v>6.8</v>
      </c>
      <c r="W64" s="65">
        <v>6.8</v>
      </c>
      <c r="X64" s="65">
        <v>6.8</v>
      </c>
      <c r="Y64" s="65">
        <v>6.8</v>
      </c>
      <c r="Z64" s="65">
        <v>6.8</v>
      </c>
      <c r="AA64" s="65">
        <v>6.8</v>
      </c>
      <c r="AB64" s="65">
        <v>6.8</v>
      </c>
      <c r="AC64" s="65">
        <v>6.8</v>
      </c>
      <c r="AD64" s="65">
        <v>6.8</v>
      </c>
      <c r="AE64" s="65">
        <v>6.8</v>
      </c>
      <c r="AF64" s="65">
        <v>6.8</v>
      </c>
      <c r="AG64" s="55">
        <v>14</v>
      </c>
      <c r="AH64" s="47">
        <f t="shared" si="2"/>
        <v>6.8</v>
      </c>
      <c r="AI64" s="48">
        <f t="shared" si="3"/>
        <v>5.7</v>
      </c>
      <c r="AK64" s="50"/>
    </row>
    <row r="65" spans="1:40" x14ac:dyDescent="0.25">
      <c r="A65" s="54" t="s">
        <v>73</v>
      </c>
      <c r="B65" s="65">
        <v>5</v>
      </c>
      <c r="C65" s="65">
        <v>5</v>
      </c>
      <c r="D65" s="65">
        <v>5</v>
      </c>
      <c r="E65" s="65">
        <v>5</v>
      </c>
      <c r="F65" s="65">
        <v>5</v>
      </c>
      <c r="G65" s="65">
        <v>5</v>
      </c>
      <c r="H65" s="65">
        <v>5</v>
      </c>
      <c r="I65" s="65">
        <v>5</v>
      </c>
      <c r="J65" s="65">
        <v>5</v>
      </c>
      <c r="K65" s="65">
        <v>5</v>
      </c>
      <c r="L65" s="65">
        <v>5</v>
      </c>
      <c r="M65" s="65">
        <v>6</v>
      </c>
      <c r="N65" s="65">
        <v>6</v>
      </c>
      <c r="O65" s="65">
        <v>6</v>
      </c>
      <c r="P65" s="65">
        <v>6</v>
      </c>
      <c r="Q65" s="65">
        <v>6</v>
      </c>
      <c r="R65" s="65">
        <v>6</v>
      </c>
      <c r="S65" s="65">
        <v>6</v>
      </c>
      <c r="T65" s="65">
        <v>6</v>
      </c>
      <c r="U65" s="65">
        <v>6</v>
      </c>
      <c r="V65" s="65">
        <v>6</v>
      </c>
      <c r="W65" s="65">
        <v>6</v>
      </c>
      <c r="X65" s="65">
        <v>6</v>
      </c>
      <c r="Y65" s="65">
        <v>6</v>
      </c>
      <c r="Z65" s="65">
        <v>6</v>
      </c>
      <c r="AA65" s="65">
        <v>6</v>
      </c>
      <c r="AB65" s="65">
        <v>6</v>
      </c>
      <c r="AC65" s="65">
        <v>6</v>
      </c>
      <c r="AD65" s="65">
        <v>6</v>
      </c>
      <c r="AE65" s="65">
        <v>6</v>
      </c>
      <c r="AF65" s="65">
        <v>6</v>
      </c>
      <c r="AG65" s="55">
        <v>10.050000000000001</v>
      </c>
      <c r="AH65" s="47">
        <f t="shared" si="2"/>
        <v>6</v>
      </c>
      <c r="AI65" s="48">
        <f t="shared" si="3"/>
        <v>5</v>
      </c>
      <c r="AK65" s="50"/>
    </row>
    <row r="66" spans="1:40" x14ac:dyDescent="0.25">
      <c r="A66" s="54" t="s">
        <v>74</v>
      </c>
      <c r="B66" s="65">
        <v>2.5</v>
      </c>
      <c r="C66" s="65">
        <v>2.5</v>
      </c>
      <c r="D66" s="65">
        <v>2.5</v>
      </c>
      <c r="E66" s="65">
        <v>2.5</v>
      </c>
      <c r="F66" s="65">
        <v>2.5</v>
      </c>
      <c r="G66" s="65">
        <v>2.5</v>
      </c>
      <c r="H66" s="65">
        <v>2.5</v>
      </c>
      <c r="I66" s="65">
        <v>2.5</v>
      </c>
      <c r="J66" s="65">
        <v>2.5</v>
      </c>
      <c r="K66" s="65">
        <v>2.5</v>
      </c>
      <c r="L66" s="65">
        <v>2.5</v>
      </c>
      <c r="M66" s="65">
        <v>2.5</v>
      </c>
      <c r="N66" s="65">
        <v>2.5</v>
      </c>
      <c r="O66" s="65">
        <v>2.5</v>
      </c>
      <c r="P66" s="65">
        <v>2.5</v>
      </c>
      <c r="Q66" s="65">
        <v>2.5</v>
      </c>
      <c r="R66" s="65">
        <v>2.5</v>
      </c>
      <c r="S66" s="65">
        <v>2.5</v>
      </c>
      <c r="T66" s="65">
        <v>2.5</v>
      </c>
      <c r="U66" s="65">
        <v>2.5</v>
      </c>
      <c r="V66" s="65">
        <v>2.5</v>
      </c>
      <c r="W66" s="65">
        <v>2.5</v>
      </c>
      <c r="X66" s="65">
        <v>2.5</v>
      </c>
      <c r="Y66" s="65">
        <v>2.5</v>
      </c>
      <c r="Z66" s="65">
        <v>2.5</v>
      </c>
      <c r="AA66" s="65">
        <v>2.5</v>
      </c>
      <c r="AB66" s="65">
        <v>2.5</v>
      </c>
      <c r="AC66" s="65">
        <v>2.5</v>
      </c>
      <c r="AD66" s="65">
        <v>2.5</v>
      </c>
      <c r="AE66" s="65">
        <v>2.5</v>
      </c>
      <c r="AF66" s="65">
        <v>2.5</v>
      </c>
      <c r="AG66" s="55">
        <v>6.2</v>
      </c>
      <c r="AH66" s="47">
        <f t="shared" si="2"/>
        <v>2.5</v>
      </c>
      <c r="AI66" s="48">
        <f t="shared" si="3"/>
        <v>2.5</v>
      </c>
      <c r="AK66" s="50"/>
    </row>
    <row r="67" spans="1:40" ht="15.75" thickBot="1" x14ac:dyDescent="0.3">
      <c r="A67" s="56" t="s">
        <v>75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AG237</f>
        <v>8.56</v>
      </c>
      <c r="AH67" s="47">
        <f t="shared" si="2"/>
        <v>3.54</v>
      </c>
      <c r="AI67" s="48">
        <f t="shared" si="3"/>
        <v>3.5</v>
      </c>
      <c r="AK67" s="50"/>
    </row>
    <row r="68" spans="1:40" ht="15.75" thickBot="1" x14ac:dyDescent="0.3">
      <c r="A68" s="74" t="s">
        <v>76</v>
      </c>
      <c r="B68" s="60">
        <f t="shared" ref="B68:C68" si="24">SUM(B55:B67)</f>
        <v>168.64</v>
      </c>
      <c r="C68" s="60">
        <f t="shared" si="24"/>
        <v>152.63999999999999</v>
      </c>
      <c r="D68" s="60">
        <f t="shared" ref="D68:E68" si="25">SUM(D55:D67)</f>
        <v>182.64</v>
      </c>
      <c r="E68" s="60">
        <f t="shared" si="25"/>
        <v>184.73999999999998</v>
      </c>
      <c r="F68" s="60">
        <f t="shared" ref="F68:G68" si="26">SUM(F55:F67)</f>
        <v>179.73999999999998</v>
      </c>
      <c r="G68" s="60">
        <f t="shared" si="26"/>
        <v>179.73999999999998</v>
      </c>
      <c r="H68" s="60">
        <f t="shared" ref="H68:I68" si="27">SUM(H55:H67)</f>
        <v>223.84</v>
      </c>
      <c r="I68" s="60">
        <f t="shared" si="27"/>
        <v>248.54</v>
      </c>
      <c r="J68" s="60">
        <f t="shared" ref="J68:K68" si="28">SUM(J55:J67)</f>
        <v>309.54000000000002</v>
      </c>
      <c r="K68" s="60">
        <f t="shared" si="28"/>
        <v>357.94</v>
      </c>
      <c r="L68" s="60">
        <f t="shared" ref="L68" si="29">SUM(L55:L67)</f>
        <v>410.64</v>
      </c>
      <c r="M68" s="60">
        <f t="shared" ref="M68:AG68" si="30">SUM(M55:M67)</f>
        <v>413.73999999999995</v>
      </c>
      <c r="N68" s="60">
        <f t="shared" si="30"/>
        <v>413.73999999999995</v>
      </c>
      <c r="O68" s="60">
        <f t="shared" si="30"/>
        <v>406.34</v>
      </c>
      <c r="P68" s="60">
        <f t="shared" ref="P68" si="31">SUM(P55:P67)</f>
        <v>396.34</v>
      </c>
      <c r="Q68" s="60">
        <f t="shared" si="30"/>
        <v>289.33999999999997</v>
      </c>
      <c r="R68" s="60">
        <f t="shared" si="30"/>
        <v>216.24</v>
      </c>
      <c r="S68" s="60">
        <f t="shared" si="30"/>
        <v>219.24</v>
      </c>
      <c r="T68" s="60">
        <f t="shared" si="30"/>
        <v>220.94</v>
      </c>
      <c r="U68" s="60">
        <f t="shared" si="30"/>
        <v>290.94</v>
      </c>
      <c r="V68" s="60">
        <f t="shared" si="30"/>
        <v>376.44</v>
      </c>
      <c r="W68" s="60">
        <f t="shared" si="30"/>
        <v>391.94</v>
      </c>
      <c r="X68" s="60">
        <f t="shared" si="30"/>
        <v>415.9</v>
      </c>
      <c r="Y68" s="60">
        <f t="shared" si="30"/>
        <v>417.64</v>
      </c>
      <c r="Z68" s="60">
        <f t="shared" si="30"/>
        <v>417.64</v>
      </c>
      <c r="AA68" s="60">
        <f t="shared" si="30"/>
        <v>417.64</v>
      </c>
      <c r="AB68" s="60">
        <f t="shared" si="30"/>
        <v>399.24</v>
      </c>
      <c r="AC68" s="60">
        <f t="shared" si="30"/>
        <v>353.64</v>
      </c>
      <c r="AD68" s="60">
        <f t="shared" si="30"/>
        <v>346.23999999999995</v>
      </c>
      <c r="AE68" s="60">
        <f t="shared" ref="AE68:AF68" si="32">SUM(AE55:AE67)</f>
        <v>229.74</v>
      </c>
      <c r="AF68" s="60">
        <f t="shared" si="32"/>
        <v>168.84</v>
      </c>
      <c r="AG68" s="61">
        <f t="shared" si="30"/>
        <v>489.91</v>
      </c>
      <c r="AH68" s="47">
        <f t="shared" si="2"/>
        <v>417.64</v>
      </c>
      <c r="AI68" s="48">
        <f t="shared" si="3"/>
        <v>152.63999999999999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/>
      <c r="W69" s="45"/>
      <c r="X69" s="45">
        <v>60</v>
      </c>
      <c r="Y69" s="45">
        <v>30</v>
      </c>
      <c r="Z69" s="45">
        <v>0</v>
      </c>
      <c r="AA69" s="45">
        <v>0</v>
      </c>
      <c r="AB69" s="45"/>
      <c r="AC69" s="45"/>
      <c r="AD69" s="45"/>
      <c r="AE69" s="45">
        <v>0</v>
      </c>
      <c r="AF69" s="45">
        <v>0</v>
      </c>
      <c r="AG69" s="52">
        <v>60</v>
      </c>
      <c r="AH69" s="47">
        <f t="shared" si="2"/>
        <v>60</v>
      </c>
      <c r="AI69" s="48">
        <f t="shared" si="3"/>
        <v>0</v>
      </c>
      <c r="AK69" s="50"/>
    </row>
    <row r="70" spans="1:40" x14ac:dyDescent="0.25">
      <c r="A70" s="54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65">
        <v>6.8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/>
      <c r="W70" s="65"/>
      <c r="X70" s="65">
        <v>14</v>
      </c>
      <c r="Y70" s="65">
        <v>10</v>
      </c>
      <c r="Z70" s="65">
        <v>0</v>
      </c>
      <c r="AA70" s="65">
        <v>0</v>
      </c>
      <c r="AB70" s="65"/>
      <c r="AC70" s="65"/>
      <c r="AD70" s="65"/>
      <c r="AE70" s="65">
        <v>0</v>
      </c>
      <c r="AF70" s="65">
        <v>0</v>
      </c>
      <c r="AG70" s="55">
        <v>32</v>
      </c>
      <c r="AH70" s="47">
        <f t="shared" si="2"/>
        <v>14</v>
      </c>
      <c r="AI70" s="48">
        <f t="shared" si="3"/>
        <v>0</v>
      </c>
      <c r="AK70" s="50"/>
    </row>
    <row r="71" spans="1:40" ht="15.75" thickBot="1" x14ac:dyDescent="0.3">
      <c r="A71" s="71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67">
        <v>2.5</v>
      </c>
      <c r="N71" s="67">
        <v>0</v>
      </c>
      <c r="O71" s="67">
        <v>0</v>
      </c>
      <c r="P71" s="67">
        <v>0</v>
      </c>
      <c r="Q71" s="67">
        <v>0</v>
      </c>
      <c r="R71" s="67">
        <v>0</v>
      </c>
      <c r="S71" s="67">
        <v>0</v>
      </c>
      <c r="T71" s="67">
        <v>0</v>
      </c>
      <c r="U71" s="67">
        <v>0</v>
      </c>
      <c r="V71" s="67"/>
      <c r="W71" s="67"/>
      <c r="X71" s="67">
        <v>5</v>
      </c>
      <c r="Y71" s="67">
        <v>3.7</v>
      </c>
      <c r="Z71" s="67">
        <v>0</v>
      </c>
      <c r="AA71" s="67">
        <v>0</v>
      </c>
      <c r="AB71" s="67"/>
      <c r="AC71" s="67"/>
      <c r="AD71" s="67"/>
      <c r="AE71" s="67">
        <v>0</v>
      </c>
      <c r="AF71" s="67">
        <v>0</v>
      </c>
      <c r="AG71" s="68">
        <v>14</v>
      </c>
      <c r="AH71" s="47">
        <f t="shared" si="2"/>
        <v>5</v>
      </c>
      <c r="AI71" s="48">
        <f t="shared" si="3"/>
        <v>0</v>
      </c>
      <c r="AK71" s="50"/>
    </row>
    <row r="72" spans="1:40" ht="15.75" thickBot="1" x14ac:dyDescent="0.3">
      <c r="A72" s="74" t="s">
        <v>80</v>
      </c>
      <c r="B72" s="60">
        <f t="shared" ref="B72:C72" si="33">B69+B70+B71</f>
        <v>0</v>
      </c>
      <c r="C72" s="60">
        <f t="shared" si="33"/>
        <v>0</v>
      </c>
      <c r="D72" s="60">
        <f t="shared" ref="D72:E72" si="34">D69+D70+D71</f>
        <v>0</v>
      </c>
      <c r="E72" s="60">
        <f t="shared" si="34"/>
        <v>0</v>
      </c>
      <c r="F72" s="60">
        <f t="shared" ref="F72:G72" si="35">F69+F70+F71</f>
        <v>0</v>
      </c>
      <c r="G72" s="60">
        <f t="shared" si="35"/>
        <v>0</v>
      </c>
      <c r="H72" s="60">
        <f t="shared" ref="H72:I72" si="36">H69+H70+H71</f>
        <v>0</v>
      </c>
      <c r="I72" s="60">
        <f t="shared" si="36"/>
        <v>0</v>
      </c>
      <c r="J72" s="60">
        <f t="shared" ref="J72:K72" si="37">J69+J70+J71</f>
        <v>0</v>
      </c>
      <c r="K72" s="60">
        <f t="shared" si="37"/>
        <v>0</v>
      </c>
      <c r="L72" s="60">
        <f t="shared" ref="L72" si="38">L69+L70+L71</f>
        <v>0</v>
      </c>
      <c r="M72" s="60">
        <f t="shared" ref="M72:AD72" si="39">M69+M70+M71</f>
        <v>9.3000000000000007</v>
      </c>
      <c r="N72" s="60">
        <f t="shared" si="39"/>
        <v>0</v>
      </c>
      <c r="O72" s="60">
        <f t="shared" si="39"/>
        <v>0</v>
      </c>
      <c r="P72" s="60">
        <f t="shared" ref="P72" si="40">P69+P70+P71</f>
        <v>0</v>
      </c>
      <c r="Q72" s="60">
        <f t="shared" si="39"/>
        <v>0</v>
      </c>
      <c r="R72" s="60">
        <f t="shared" si="39"/>
        <v>0</v>
      </c>
      <c r="S72" s="60">
        <f t="shared" si="39"/>
        <v>0</v>
      </c>
      <c r="T72" s="60">
        <f t="shared" si="39"/>
        <v>0</v>
      </c>
      <c r="U72" s="60">
        <f t="shared" si="39"/>
        <v>0</v>
      </c>
      <c r="V72" s="60">
        <f t="shared" si="39"/>
        <v>0</v>
      </c>
      <c r="W72" s="60">
        <f t="shared" si="39"/>
        <v>0</v>
      </c>
      <c r="X72" s="60">
        <v>79</v>
      </c>
      <c r="Y72" s="60">
        <f t="shared" si="39"/>
        <v>43.7</v>
      </c>
      <c r="Z72" s="60">
        <f t="shared" si="39"/>
        <v>0</v>
      </c>
      <c r="AA72" s="60">
        <f t="shared" si="39"/>
        <v>0</v>
      </c>
      <c r="AB72" s="60">
        <f t="shared" si="39"/>
        <v>0</v>
      </c>
      <c r="AC72" s="60">
        <f t="shared" si="39"/>
        <v>0</v>
      </c>
      <c r="AD72" s="60">
        <f t="shared" si="39"/>
        <v>0</v>
      </c>
      <c r="AE72" s="60">
        <f t="shared" ref="AE72:AF72" si="41">AE69+AE70+AE71</f>
        <v>0</v>
      </c>
      <c r="AF72" s="60">
        <f t="shared" si="41"/>
        <v>0</v>
      </c>
      <c r="AG72" s="61">
        <f>SUM(AG69:AG71)</f>
        <v>106</v>
      </c>
      <c r="AH72" s="47">
        <f t="shared" si="2"/>
        <v>79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46</v>
      </c>
      <c r="C73" s="45">
        <v>33</v>
      </c>
      <c r="D73" s="45">
        <v>41</v>
      </c>
      <c r="E73" s="45">
        <v>44.6</v>
      </c>
      <c r="F73" s="45">
        <v>48.9</v>
      </c>
      <c r="G73" s="45">
        <v>50.1</v>
      </c>
      <c r="H73" s="45">
        <v>58.1</v>
      </c>
      <c r="I73" s="45">
        <v>56.9</v>
      </c>
      <c r="J73" s="45">
        <v>60.4</v>
      </c>
      <c r="K73" s="45">
        <v>61.8</v>
      </c>
      <c r="L73" s="45">
        <v>42.4</v>
      </c>
      <c r="M73" s="45">
        <v>37.799999999999997</v>
      </c>
      <c r="N73" s="45">
        <v>33.6</v>
      </c>
      <c r="O73" s="45">
        <v>41</v>
      </c>
      <c r="P73" s="45">
        <v>63</v>
      </c>
      <c r="Q73" s="45">
        <v>59</v>
      </c>
      <c r="R73" s="45">
        <v>49</v>
      </c>
      <c r="S73" s="45">
        <v>58</v>
      </c>
      <c r="T73" s="45">
        <v>56.3</v>
      </c>
      <c r="U73" s="45">
        <v>66</v>
      </c>
      <c r="V73" s="45">
        <v>-27</v>
      </c>
      <c r="W73" s="45">
        <v>25</v>
      </c>
      <c r="X73" s="45">
        <v>25</v>
      </c>
      <c r="Y73" s="45">
        <v>28</v>
      </c>
      <c r="Z73" s="45">
        <v>27</v>
      </c>
      <c r="AA73" s="45">
        <v>30</v>
      </c>
      <c r="AB73" s="45">
        <v>34</v>
      </c>
      <c r="AC73" s="45">
        <v>59</v>
      </c>
      <c r="AD73" s="45">
        <v>54</v>
      </c>
      <c r="AE73" s="45">
        <v>45</v>
      </c>
      <c r="AF73" s="45">
        <v>32</v>
      </c>
      <c r="AG73" s="52"/>
      <c r="AH73" s="47">
        <f t="shared" si="2"/>
        <v>66</v>
      </c>
      <c r="AI73" s="48">
        <f t="shared" si="3"/>
        <v>-27</v>
      </c>
      <c r="AK73" s="50"/>
    </row>
    <row r="74" spans="1:40" x14ac:dyDescent="0.25">
      <c r="A74" s="54" t="s">
        <v>82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>
        <v>0</v>
      </c>
      <c r="N74" s="65">
        <v>0</v>
      </c>
      <c r="O74" s="65">
        <v>0</v>
      </c>
      <c r="P74" s="65">
        <v>0</v>
      </c>
      <c r="Q74" s="65"/>
      <c r="R74" s="65"/>
      <c r="S74" s="65">
        <v>0</v>
      </c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4" t="s">
        <v>83</v>
      </c>
      <c r="B75" s="65">
        <v>111</v>
      </c>
      <c r="C75" s="65">
        <v>115</v>
      </c>
      <c r="D75" s="65">
        <v>56</v>
      </c>
      <c r="E75" s="65">
        <v>66.8</v>
      </c>
      <c r="F75" s="65">
        <v>62.3</v>
      </c>
      <c r="G75" s="65">
        <v>134.6</v>
      </c>
      <c r="H75" s="65">
        <v>194.6</v>
      </c>
      <c r="I75" s="65">
        <v>204.9</v>
      </c>
      <c r="J75" s="65">
        <v>204.9</v>
      </c>
      <c r="K75" s="65">
        <v>115.8</v>
      </c>
      <c r="L75" s="65">
        <v>5.8</v>
      </c>
      <c r="M75" s="65">
        <v>-1.2</v>
      </c>
      <c r="N75" s="65">
        <v>2.6</v>
      </c>
      <c r="O75" s="65">
        <v>105</v>
      </c>
      <c r="P75" s="65">
        <v>178</v>
      </c>
      <c r="Q75" s="65">
        <v>235</v>
      </c>
      <c r="R75" s="65">
        <v>192</v>
      </c>
      <c r="S75" s="65">
        <v>197</v>
      </c>
      <c r="T75" s="65">
        <v>210</v>
      </c>
      <c r="U75" s="65">
        <v>149</v>
      </c>
      <c r="V75" s="65">
        <v>66</v>
      </c>
      <c r="W75" s="65">
        <v>-9.6</v>
      </c>
      <c r="X75" s="65">
        <v>1.6</v>
      </c>
      <c r="Y75" s="65">
        <v>0</v>
      </c>
      <c r="Z75" s="65">
        <v>0</v>
      </c>
      <c r="AA75" s="65">
        <v>36</v>
      </c>
      <c r="AB75" s="65">
        <v>75</v>
      </c>
      <c r="AC75" s="65">
        <v>126.5</v>
      </c>
      <c r="AD75" s="65">
        <v>113.9</v>
      </c>
      <c r="AE75" s="65">
        <v>120.5</v>
      </c>
      <c r="AF75" s="65">
        <v>115.2</v>
      </c>
      <c r="AG75" s="75"/>
      <c r="AH75" s="47">
        <f t="shared" si="2"/>
        <v>235</v>
      </c>
      <c r="AI75" s="48">
        <f t="shared" si="3"/>
        <v>-9.6</v>
      </c>
      <c r="AK75" s="50"/>
    </row>
    <row r="76" spans="1:40" x14ac:dyDescent="0.25">
      <c r="A76" s="54" t="s">
        <v>84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76">
        <v>0</v>
      </c>
      <c r="N76" s="76">
        <v>0</v>
      </c>
      <c r="O76" s="76">
        <v>0</v>
      </c>
      <c r="P76" s="76"/>
      <c r="Q76" s="76">
        <v>0</v>
      </c>
      <c r="R76" s="76">
        <v>0</v>
      </c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65"/>
      <c r="AE76" s="65"/>
      <c r="AF76" s="65"/>
      <c r="AG76" s="75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4" t="s">
        <v>85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0</v>
      </c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2" si="42">MAX(B77:AF77)</f>
        <v>0</v>
      </c>
      <c r="AI77" s="48">
        <f t="shared" ref="AI77:AI122" si="43">MIN(B77:AF77)</f>
        <v>0</v>
      </c>
      <c r="AK77" s="50"/>
    </row>
    <row r="78" spans="1:40" x14ac:dyDescent="0.25">
      <c r="A78" s="54" t="s">
        <v>86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77">
        <v>0</v>
      </c>
      <c r="N78" s="77">
        <v>0</v>
      </c>
      <c r="O78" s="77">
        <v>0</v>
      </c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42"/>
        <v>0</v>
      </c>
      <c r="AI78" s="48">
        <f t="shared" si="43"/>
        <v>0</v>
      </c>
      <c r="AK78" s="50"/>
    </row>
    <row r="79" spans="1:40" ht="15.75" thickBot="1" x14ac:dyDescent="0.3">
      <c r="A79" s="54" t="s">
        <v>87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77">
        <v>0</v>
      </c>
      <c r="N79" s="77">
        <v>0</v>
      </c>
      <c r="O79" s="77">
        <v>0</v>
      </c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42"/>
        <v>0</v>
      </c>
      <c r="AI79" s="48">
        <f t="shared" si="43"/>
        <v>0</v>
      </c>
      <c r="AK79" s="50"/>
      <c r="AL79" s="78" t="s">
        <v>88</v>
      </c>
      <c r="AM79" s="78"/>
    </row>
    <row r="80" spans="1:40" x14ac:dyDescent="0.25">
      <c r="A80" s="54" t="s">
        <v>89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77">
        <v>0</v>
      </c>
      <c r="N80" s="77">
        <v>0</v>
      </c>
      <c r="O80" s="77">
        <v>0</v>
      </c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42"/>
        <v>0</v>
      </c>
      <c r="AI80" s="48">
        <f t="shared" si="43"/>
        <v>0</v>
      </c>
      <c r="AK80" s="79"/>
      <c r="AL80" s="80"/>
      <c r="AM80" s="80"/>
      <c r="AN80" s="81"/>
    </row>
    <row r="81" spans="1:40" x14ac:dyDescent="0.25">
      <c r="A81" s="54" t="s">
        <v>90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77">
        <v>0</v>
      </c>
      <c r="N81" s="77">
        <v>0</v>
      </c>
      <c r="O81" s="77">
        <v>0</v>
      </c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42"/>
        <v>0</v>
      </c>
      <c r="AI81" s="48">
        <f t="shared" si="43"/>
        <v>0</v>
      </c>
      <c r="AK81" s="82" t="s">
        <v>91</v>
      </c>
      <c r="AL81" s="65"/>
      <c r="AM81" s="76"/>
      <c r="AN81" s="83"/>
    </row>
    <row r="82" spans="1:40" x14ac:dyDescent="0.25">
      <c r="A82" s="84" t="s">
        <v>92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77">
        <v>0</v>
      </c>
      <c r="N82" s="77">
        <v>0</v>
      </c>
      <c r="O82" s="77">
        <v>0</v>
      </c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42"/>
        <v>0</v>
      </c>
      <c r="AI82" s="48">
        <f t="shared" si="43"/>
        <v>0</v>
      </c>
      <c r="AK82" s="82" t="s">
        <v>93</v>
      </c>
      <c r="AL82" s="76"/>
      <c r="AM82" s="76"/>
      <c r="AN82" s="83"/>
    </row>
    <row r="83" spans="1:40" ht="15.75" thickBot="1" x14ac:dyDescent="0.3">
      <c r="A83" s="84" t="s">
        <v>94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77">
        <v>0</v>
      </c>
      <c r="N83" s="77">
        <v>0</v>
      </c>
      <c r="O83" s="77">
        <v>0</v>
      </c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42"/>
        <v>0</v>
      </c>
      <c r="AI83" s="48">
        <f t="shared" si="43"/>
        <v>0</v>
      </c>
      <c r="AK83" s="86"/>
      <c r="AL83" s="45"/>
      <c r="AM83" s="45"/>
      <c r="AN83" s="87"/>
    </row>
    <row r="84" spans="1:40" ht="15.75" thickBot="1" x14ac:dyDescent="0.3">
      <c r="A84" s="74" t="s">
        <v>95</v>
      </c>
      <c r="B84" s="60">
        <f t="shared" ref="B84:C84" si="44">SUMIF(B73:B83,"&gt;0")</f>
        <v>157</v>
      </c>
      <c r="C84" s="60">
        <f t="shared" si="44"/>
        <v>148</v>
      </c>
      <c r="D84" s="60">
        <f t="shared" ref="D84:E84" si="45">SUMIF(D73:D83,"&gt;0")</f>
        <v>97</v>
      </c>
      <c r="E84" s="60">
        <f t="shared" si="45"/>
        <v>111.4</v>
      </c>
      <c r="F84" s="60">
        <f t="shared" ref="F84:G84" si="46">SUMIF(F73:F83,"&gt;0")</f>
        <v>111.19999999999999</v>
      </c>
      <c r="G84" s="60">
        <f t="shared" si="46"/>
        <v>184.7</v>
      </c>
      <c r="H84" s="60">
        <f t="shared" ref="H84:I84" si="47">SUMIF(H73:H83,"&gt;0")</f>
        <v>252.7</v>
      </c>
      <c r="I84" s="60">
        <f t="shared" si="47"/>
        <v>261.8</v>
      </c>
      <c r="J84" s="60">
        <f t="shared" ref="J84:K84" si="48">SUMIF(J73:J83,"&gt;0")</f>
        <v>265.3</v>
      </c>
      <c r="K84" s="60">
        <f t="shared" si="48"/>
        <v>177.6</v>
      </c>
      <c r="L84" s="60">
        <f t="shared" ref="L84" si="49">SUMIF(L73:L83,"&gt;0")</f>
        <v>48.199999999999996</v>
      </c>
      <c r="M84" s="60">
        <f t="shared" ref="M84:AD84" si="50">SUMIF(M73:M83,"&gt;0")</f>
        <v>37.799999999999997</v>
      </c>
      <c r="N84" s="60">
        <f t="shared" si="50"/>
        <v>36.200000000000003</v>
      </c>
      <c r="O84" s="60">
        <f t="shared" si="50"/>
        <v>146</v>
      </c>
      <c r="P84" s="60">
        <f t="shared" si="50"/>
        <v>241</v>
      </c>
      <c r="Q84" s="60">
        <f t="shared" si="50"/>
        <v>294</v>
      </c>
      <c r="R84" s="60">
        <f t="shared" si="50"/>
        <v>241</v>
      </c>
      <c r="S84" s="60">
        <f t="shared" si="50"/>
        <v>255</v>
      </c>
      <c r="T84" s="60">
        <f t="shared" si="50"/>
        <v>266.3</v>
      </c>
      <c r="U84" s="60">
        <f t="shared" si="50"/>
        <v>215</v>
      </c>
      <c r="V84" s="60">
        <f t="shared" si="50"/>
        <v>66</v>
      </c>
      <c r="W84" s="60">
        <f t="shared" si="50"/>
        <v>25</v>
      </c>
      <c r="X84" s="60">
        <f t="shared" si="50"/>
        <v>26.6</v>
      </c>
      <c r="Y84" s="60">
        <f t="shared" si="50"/>
        <v>28</v>
      </c>
      <c r="Z84" s="60">
        <f t="shared" si="50"/>
        <v>27</v>
      </c>
      <c r="AA84" s="60">
        <f t="shared" si="50"/>
        <v>66</v>
      </c>
      <c r="AB84" s="60">
        <f t="shared" si="50"/>
        <v>109</v>
      </c>
      <c r="AC84" s="60">
        <f t="shared" si="50"/>
        <v>185.5</v>
      </c>
      <c r="AD84" s="60">
        <f t="shared" si="50"/>
        <v>167.9</v>
      </c>
      <c r="AE84" s="60">
        <f t="shared" ref="AE84:AF84" si="51">SUMIF(AE73:AE83,"&gt;0")</f>
        <v>165.5</v>
      </c>
      <c r="AF84" s="60">
        <f t="shared" si="51"/>
        <v>147.19999999999999</v>
      </c>
      <c r="AG84" s="88">
        <f>SUM(AG73:AG83)</f>
        <v>0</v>
      </c>
      <c r="AH84" s="47">
        <f t="shared" si="42"/>
        <v>294</v>
      </c>
      <c r="AI84" s="48">
        <f t="shared" si="43"/>
        <v>25</v>
      </c>
      <c r="AK84" s="86"/>
      <c r="AL84" s="77"/>
      <c r="AM84" s="89"/>
      <c r="AN84" s="231"/>
    </row>
    <row r="85" spans="1:40" x14ac:dyDescent="0.25">
      <c r="A85" s="44" t="s">
        <v>96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42"/>
        <v>0</v>
      </c>
      <c r="AI85" s="48">
        <f t="shared" si="43"/>
        <v>0</v>
      </c>
      <c r="AK85" s="86"/>
      <c r="AL85" s="77"/>
      <c r="AM85" s="77"/>
      <c r="AN85" s="232"/>
    </row>
    <row r="86" spans="1:40" ht="15.75" thickBot="1" x14ac:dyDescent="0.3">
      <c r="A86" s="54" t="s">
        <v>97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42"/>
        <v>0</v>
      </c>
      <c r="AI86" s="48">
        <f t="shared" si="43"/>
        <v>0</v>
      </c>
      <c r="AK86" s="91"/>
      <c r="AL86" s="92"/>
      <c r="AM86" s="92"/>
      <c r="AN86" s="93"/>
    </row>
    <row r="87" spans="1:40" ht="15.75" thickBot="1" x14ac:dyDescent="0.3">
      <c r="A87" s="84" t="s">
        <v>98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42"/>
        <v>0</v>
      </c>
      <c r="AI87" s="48">
        <f t="shared" si="43"/>
        <v>0</v>
      </c>
    </row>
    <row r="88" spans="1:40" ht="15.75" thickBot="1" x14ac:dyDescent="0.3">
      <c r="A88" s="74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42"/>
        <v>0</v>
      </c>
      <c r="AI88" s="48">
        <f t="shared" si="43"/>
        <v>0</v>
      </c>
    </row>
    <row r="89" spans="1:40" ht="15.75" thickBot="1" x14ac:dyDescent="0.3">
      <c r="A89" s="74" t="s">
        <v>100</v>
      </c>
      <c r="B89" s="95">
        <f t="shared" ref="B89:C89" si="52">B50+B54+B72+B68+B84+B88</f>
        <v>1053.04</v>
      </c>
      <c r="C89" s="95">
        <f t="shared" si="52"/>
        <v>1028.04</v>
      </c>
      <c r="D89" s="95">
        <f t="shared" ref="D89:E89" si="53">D50+D54+D72+D68+D84+D88</f>
        <v>1007.0399999999998</v>
      </c>
      <c r="E89" s="95">
        <f t="shared" si="53"/>
        <v>1023.5399999999998</v>
      </c>
      <c r="F89" s="95">
        <f t="shared" ref="F89:G89" si="54">F50+F54+F72+F68+F84+F88</f>
        <v>1018.3399999999999</v>
      </c>
      <c r="G89" s="95">
        <f t="shared" si="54"/>
        <v>1091.8399999999999</v>
      </c>
      <c r="H89" s="95">
        <f t="shared" ref="H89:I89" si="55">H50+H54+H72+H68+H84+H88</f>
        <v>1203.9399999999998</v>
      </c>
      <c r="I89" s="95">
        <f t="shared" si="55"/>
        <v>1237.7399999999998</v>
      </c>
      <c r="J89" s="95">
        <f t="shared" ref="J89:K89" si="56">J50+J54+J72+J68+J84+J88</f>
        <v>1313.2399999999998</v>
      </c>
      <c r="K89" s="95">
        <f t="shared" si="56"/>
        <v>1462.9399999999998</v>
      </c>
      <c r="L89" s="95">
        <f t="shared" ref="L89" si="57">L50+L54+L72+L68+L84+L88</f>
        <v>1566.24</v>
      </c>
      <c r="M89" s="95">
        <f t="shared" ref="M89:AG89" si="58">M50+M54+M72+M68+M84+M88</f>
        <v>1568.1399999999996</v>
      </c>
      <c r="N89" s="95">
        <f t="shared" si="58"/>
        <v>1491.84</v>
      </c>
      <c r="O89" s="95">
        <f t="shared" si="58"/>
        <v>1474.2399999999998</v>
      </c>
      <c r="P89" s="95">
        <f t="shared" si="58"/>
        <v>1429.34</v>
      </c>
      <c r="Q89" s="95">
        <f t="shared" si="58"/>
        <v>1375.34</v>
      </c>
      <c r="R89" s="95">
        <f t="shared" si="58"/>
        <v>1249.2399999999998</v>
      </c>
      <c r="S89" s="95">
        <f t="shared" si="58"/>
        <v>1210.04</v>
      </c>
      <c r="T89" s="95">
        <f t="shared" si="58"/>
        <v>1223.0399999999997</v>
      </c>
      <c r="U89" s="95">
        <f t="shared" si="58"/>
        <v>1335.9399999999998</v>
      </c>
      <c r="V89" s="95">
        <f t="shared" si="58"/>
        <v>1272.4399999999998</v>
      </c>
      <c r="W89" s="95">
        <f t="shared" si="58"/>
        <v>1516.94</v>
      </c>
      <c r="X89" s="95">
        <f t="shared" si="58"/>
        <v>1621.5</v>
      </c>
      <c r="Y89" s="95">
        <f t="shared" si="58"/>
        <v>1594.3400000000001</v>
      </c>
      <c r="Z89" s="95">
        <f t="shared" si="58"/>
        <v>1549.6399999999999</v>
      </c>
      <c r="AA89" s="95">
        <f t="shared" si="58"/>
        <v>1538.6399999999999</v>
      </c>
      <c r="AB89" s="95">
        <f t="shared" si="58"/>
        <v>1434.54</v>
      </c>
      <c r="AC89" s="95">
        <f t="shared" si="58"/>
        <v>1384.94</v>
      </c>
      <c r="AD89" s="95">
        <f t="shared" si="58"/>
        <v>1295.6400000000001</v>
      </c>
      <c r="AE89" s="95">
        <f t="shared" ref="AE89:AF89" si="59">AE50+AE54+AE72+AE68+AE84+AE88</f>
        <v>1141.94</v>
      </c>
      <c r="AF89" s="95">
        <f t="shared" si="59"/>
        <v>1046.94</v>
      </c>
      <c r="AG89" s="61">
        <f t="shared" si="58"/>
        <v>2111.5500000000002</v>
      </c>
      <c r="AH89" s="47">
        <f t="shared" si="42"/>
        <v>1621.5</v>
      </c>
      <c r="AI89" s="48">
        <f t="shared" si="43"/>
        <v>1007.0399999999998</v>
      </c>
    </row>
    <row r="90" spans="1:40" ht="15.75" thickBot="1" x14ac:dyDescent="0.3">
      <c r="A90" s="96" t="s">
        <v>101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>
        <v>50</v>
      </c>
      <c r="N90" s="97">
        <v>60</v>
      </c>
      <c r="O90" s="97">
        <v>60</v>
      </c>
      <c r="P90" s="97"/>
      <c r="Q90" s="97"/>
      <c r="R90" s="97"/>
      <c r="S90" s="97"/>
      <c r="T90" s="97"/>
      <c r="U90" s="97"/>
      <c r="V90" s="97"/>
      <c r="W90" s="97">
        <v>70</v>
      </c>
      <c r="X90" s="97">
        <v>70</v>
      </c>
      <c r="Y90" s="97">
        <v>40</v>
      </c>
      <c r="Z90" s="97">
        <v>40</v>
      </c>
      <c r="AA90" s="97"/>
      <c r="AB90" s="97"/>
      <c r="AC90" s="97"/>
      <c r="AD90" s="97"/>
      <c r="AE90" s="97"/>
      <c r="AF90" s="97"/>
      <c r="AG90" s="88"/>
      <c r="AH90" s="47">
        <f t="shared" si="42"/>
        <v>70</v>
      </c>
      <c r="AI90" s="48">
        <f t="shared" si="43"/>
        <v>40</v>
      </c>
    </row>
    <row r="91" spans="1:40" ht="15.75" thickBot="1" x14ac:dyDescent="0.3">
      <c r="A91" s="74" t="s">
        <v>102</v>
      </c>
      <c r="B91" s="95">
        <f t="shared" ref="B91:C91" si="60">B89+B90</f>
        <v>1053.04</v>
      </c>
      <c r="C91" s="95">
        <f t="shared" si="60"/>
        <v>1028.04</v>
      </c>
      <c r="D91" s="95">
        <f t="shared" ref="D91:E91" si="61">D89+D90</f>
        <v>1007.0399999999998</v>
      </c>
      <c r="E91" s="95">
        <f t="shared" si="61"/>
        <v>1023.5399999999998</v>
      </c>
      <c r="F91" s="95">
        <f t="shared" ref="F91:G91" si="62">F89+F90</f>
        <v>1018.3399999999999</v>
      </c>
      <c r="G91" s="95">
        <f t="shared" si="62"/>
        <v>1091.8399999999999</v>
      </c>
      <c r="H91" s="95">
        <f t="shared" ref="H91:I91" si="63">H89+H90</f>
        <v>1203.9399999999998</v>
      </c>
      <c r="I91" s="95">
        <f t="shared" si="63"/>
        <v>1237.7399999999998</v>
      </c>
      <c r="J91" s="95">
        <f t="shared" ref="J91:K91" si="64">J89+J90</f>
        <v>1313.2399999999998</v>
      </c>
      <c r="K91" s="95">
        <f t="shared" si="64"/>
        <v>1462.9399999999998</v>
      </c>
      <c r="L91" s="95">
        <f t="shared" ref="L91" si="65">L89+L90</f>
        <v>1566.24</v>
      </c>
      <c r="M91" s="95">
        <f t="shared" ref="M91:AD91" si="66">M89+M90</f>
        <v>1618.1399999999996</v>
      </c>
      <c r="N91" s="95">
        <f t="shared" si="66"/>
        <v>1551.84</v>
      </c>
      <c r="O91" s="95">
        <f t="shared" si="66"/>
        <v>1534.2399999999998</v>
      </c>
      <c r="P91" s="95">
        <f t="shared" si="66"/>
        <v>1429.34</v>
      </c>
      <c r="Q91" s="95">
        <f t="shared" si="66"/>
        <v>1375.34</v>
      </c>
      <c r="R91" s="95">
        <f t="shared" si="66"/>
        <v>1249.2399999999998</v>
      </c>
      <c r="S91" s="95">
        <f t="shared" si="66"/>
        <v>1210.04</v>
      </c>
      <c r="T91" s="95">
        <f t="shared" si="66"/>
        <v>1223.0399999999997</v>
      </c>
      <c r="U91" s="95">
        <f t="shared" si="66"/>
        <v>1335.9399999999998</v>
      </c>
      <c r="V91" s="95">
        <f t="shared" si="66"/>
        <v>1272.4399999999998</v>
      </c>
      <c r="W91" s="95">
        <f t="shared" si="66"/>
        <v>1586.94</v>
      </c>
      <c r="X91" s="95">
        <f t="shared" si="66"/>
        <v>1691.5</v>
      </c>
      <c r="Y91" s="95">
        <f t="shared" si="66"/>
        <v>1634.3400000000001</v>
      </c>
      <c r="Z91" s="95">
        <f t="shared" si="66"/>
        <v>1589.6399999999999</v>
      </c>
      <c r="AA91" s="95">
        <f t="shared" si="66"/>
        <v>1538.6399999999999</v>
      </c>
      <c r="AB91" s="95">
        <f t="shared" si="66"/>
        <v>1434.54</v>
      </c>
      <c r="AC91" s="95">
        <f t="shared" si="66"/>
        <v>1384.94</v>
      </c>
      <c r="AD91" s="95">
        <f t="shared" si="66"/>
        <v>1295.6400000000001</v>
      </c>
      <c r="AE91" s="95">
        <f t="shared" ref="AE91:AF91" si="67">AE89+AE90</f>
        <v>1141.94</v>
      </c>
      <c r="AF91" s="95">
        <f t="shared" si="67"/>
        <v>1046.94</v>
      </c>
      <c r="AG91" s="88">
        <f>AG88+AG84+AG72+AG68+AG50+AG90</f>
        <v>1573.45</v>
      </c>
      <c r="AH91" s="47">
        <f t="shared" si="42"/>
        <v>1691.5</v>
      </c>
      <c r="AI91" s="48">
        <f t="shared" si="43"/>
        <v>1007.0399999999998</v>
      </c>
    </row>
    <row r="92" spans="1:40" ht="15.75" thickBot="1" x14ac:dyDescent="0.3">
      <c r="A92" s="74" t="s">
        <v>103</v>
      </c>
      <c r="B92" s="95">
        <f t="shared" ref="B92:C92" si="68">B91-(-B99)</f>
        <v>1053.04</v>
      </c>
      <c r="C92" s="95">
        <f t="shared" si="68"/>
        <v>1028.04</v>
      </c>
      <c r="D92" s="95">
        <f t="shared" ref="D92:E92" si="69">D91-(-D99)</f>
        <v>1007.0399999999998</v>
      </c>
      <c r="E92" s="95">
        <f t="shared" si="69"/>
        <v>1023.5399999999998</v>
      </c>
      <c r="F92" s="95">
        <f t="shared" ref="F92:G92" si="70">F91-(-F99)</f>
        <v>1018.3399999999999</v>
      </c>
      <c r="G92" s="95">
        <f t="shared" si="70"/>
        <v>1091.8399999999999</v>
      </c>
      <c r="H92" s="95">
        <f t="shared" ref="H92:I92" si="71">H91-(-H99)</f>
        <v>1203.9399999999998</v>
      </c>
      <c r="I92" s="95">
        <f t="shared" si="71"/>
        <v>1237.7399999999998</v>
      </c>
      <c r="J92" s="95">
        <f t="shared" ref="J92:K92" si="72">J91-(-J99)</f>
        <v>1313.2399999999998</v>
      </c>
      <c r="K92" s="95">
        <f t="shared" si="72"/>
        <v>1462.9399999999998</v>
      </c>
      <c r="L92" s="95">
        <f t="shared" ref="L92" si="73">L91-(-L99)</f>
        <v>1566.24</v>
      </c>
      <c r="M92" s="95">
        <f t="shared" ref="M92:AD92" si="74">M91-(-M99)</f>
        <v>1618.1399999999996</v>
      </c>
      <c r="N92" s="95">
        <f t="shared" si="74"/>
        <v>1551.84</v>
      </c>
      <c r="O92" s="95">
        <f t="shared" si="74"/>
        <v>1534.2399999999998</v>
      </c>
      <c r="P92" s="95">
        <f t="shared" si="74"/>
        <v>1429.34</v>
      </c>
      <c r="Q92" s="95">
        <f t="shared" si="74"/>
        <v>1375.34</v>
      </c>
      <c r="R92" s="95">
        <f t="shared" si="74"/>
        <v>1249.2399999999998</v>
      </c>
      <c r="S92" s="95">
        <f t="shared" si="74"/>
        <v>1210.04</v>
      </c>
      <c r="T92" s="95">
        <f t="shared" si="74"/>
        <v>1223.0399999999997</v>
      </c>
      <c r="U92" s="95">
        <f t="shared" si="74"/>
        <v>1335.9399999999998</v>
      </c>
      <c r="V92" s="95">
        <f t="shared" si="74"/>
        <v>1272.4399999999998</v>
      </c>
      <c r="W92" s="95">
        <f t="shared" si="74"/>
        <v>1586.94</v>
      </c>
      <c r="X92" s="95">
        <f t="shared" si="74"/>
        <v>1691.5</v>
      </c>
      <c r="Y92" s="95">
        <f t="shared" si="74"/>
        <v>1634.3400000000001</v>
      </c>
      <c r="Z92" s="95">
        <f t="shared" si="74"/>
        <v>1589.6399999999999</v>
      </c>
      <c r="AA92" s="95">
        <f t="shared" si="74"/>
        <v>1538.6399999999999</v>
      </c>
      <c r="AB92" s="95">
        <f t="shared" si="74"/>
        <v>1434.54</v>
      </c>
      <c r="AC92" s="95">
        <f t="shared" si="74"/>
        <v>1384.94</v>
      </c>
      <c r="AD92" s="95">
        <f t="shared" si="74"/>
        <v>1295.6400000000001</v>
      </c>
      <c r="AE92" s="95">
        <f t="shared" ref="AE92:AF92" si="75">AE91-(-AE99)</f>
        <v>1141.94</v>
      </c>
      <c r="AF92" s="95">
        <f t="shared" si="75"/>
        <v>1046.94</v>
      </c>
      <c r="AG92" s="88"/>
      <c r="AH92" s="47">
        <f t="shared" si="42"/>
        <v>1691.5</v>
      </c>
      <c r="AI92" s="48">
        <f t="shared" si="43"/>
        <v>1007.0399999999998</v>
      </c>
    </row>
    <row r="93" spans="1:40" x14ac:dyDescent="0.25">
      <c r="A93" s="44" t="s">
        <v>84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2"/>
      <c r="AH93" s="47">
        <f t="shared" si="42"/>
        <v>0</v>
      </c>
      <c r="AI93" s="48">
        <f t="shared" si="43"/>
        <v>0</v>
      </c>
    </row>
    <row r="94" spans="1:40" x14ac:dyDescent="0.25">
      <c r="A94" s="54" t="s">
        <v>82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5"/>
      <c r="AH94" s="47">
        <f t="shared" si="42"/>
        <v>0</v>
      </c>
      <c r="AI94" s="48">
        <f t="shared" si="43"/>
        <v>0</v>
      </c>
    </row>
    <row r="95" spans="1:40" x14ac:dyDescent="0.25">
      <c r="A95" s="84" t="s">
        <v>104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42"/>
        <v>0</v>
      </c>
      <c r="AI95" s="48">
        <f t="shared" si="43"/>
        <v>0</v>
      </c>
    </row>
    <row r="96" spans="1:40" x14ac:dyDescent="0.25">
      <c r="A96" s="84" t="s">
        <v>105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42"/>
        <v>0</v>
      </c>
      <c r="AI96" s="48">
        <f t="shared" si="43"/>
        <v>0</v>
      </c>
    </row>
    <row r="97" spans="1:37" x14ac:dyDescent="0.25">
      <c r="A97" s="84" t="s">
        <v>81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42"/>
        <v>0</v>
      </c>
      <c r="AI97" s="48">
        <f t="shared" si="43"/>
        <v>0</v>
      </c>
    </row>
    <row r="98" spans="1:37" ht="15.75" thickBot="1" x14ac:dyDescent="0.3">
      <c r="A98" s="84" t="s">
        <v>106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42"/>
        <v>0</v>
      </c>
      <c r="AI98" s="48">
        <f t="shared" si="43"/>
        <v>0</v>
      </c>
    </row>
    <row r="99" spans="1:37" ht="15.75" thickBot="1" x14ac:dyDescent="0.3">
      <c r="A99" s="99" t="s">
        <v>107</v>
      </c>
      <c r="B99" s="60">
        <f t="shared" ref="B99:C99" si="76">IF(B84&lt;0,B75+B73,0)</f>
        <v>0</v>
      </c>
      <c r="C99" s="60">
        <f t="shared" si="76"/>
        <v>0</v>
      </c>
      <c r="D99" s="60">
        <f t="shared" ref="D99:E99" si="77">IF(D84&lt;0,D75+D73,0)</f>
        <v>0</v>
      </c>
      <c r="E99" s="60">
        <f t="shared" si="77"/>
        <v>0</v>
      </c>
      <c r="F99" s="60">
        <f t="shared" ref="F99:G99" si="78">IF(F84&lt;0,F75+F73,0)</f>
        <v>0</v>
      </c>
      <c r="G99" s="60">
        <f t="shared" si="78"/>
        <v>0</v>
      </c>
      <c r="H99" s="60">
        <f t="shared" ref="H99:I99" si="79">IF(H84&lt;0,H75+H73,0)</f>
        <v>0</v>
      </c>
      <c r="I99" s="60">
        <f t="shared" si="79"/>
        <v>0</v>
      </c>
      <c r="J99" s="60">
        <f t="shared" ref="J99:K99" si="80">IF(J84&lt;0,J75+J73,0)</f>
        <v>0</v>
      </c>
      <c r="K99" s="60">
        <f t="shared" si="80"/>
        <v>0</v>
      </c>
      <c r="L99" s="60">
        <f t="shared" ref="L99" si="81">IF(L84&lt;0,L75+L73,0)</f>
        <v>0</v>
      </c>
      <c r="M99" s="60">
        <f t="shared" ref="M99:AD99" si="82">IF(M84&lt;0,M75+M73,0)</f>
        <v>0</v>
      </c>
      <c r="N99" s="60">
        <f t="shared" si="82"/>
        <v>0</v>
      </c>
      <c r="O99" s="60">
        <f t="shared" si="82"/>
        <v>0</v>
      </c>
      <c r="P99" s="60">
        <f t="shared" si="82"/>
        <v>0</v>
      </c>
      <c r="Q99" s="60">
        <f t="shared" si="82"/>
        <v>0</v>
      </c>
      <c r="R99" s="60">
        <f t="shared" si="82"/>
        <v>0</v>
      </c>
      <c r="S99" s="60">
        <f t="shared" si="82"/>
        <v>0</v>
      </c>
      <c r="T99" s="60">
        <f t="shared" si="82"/>
        <v>0</v>
      </c>
      <c r="U99" s="60">
        <f t="shared" si="82"/>
        <v>0</v>
      </c>
      <c r="V99" s="60">
        <f t="shared" si="82"/>
        <v>0</v>
      </c>
      <c r="W99" s="60">
        <f t="shared" si="82"/>
        <v>0</v>
      </c>
      <c r="X99" s="60">
        <f t="shared" si="82"/>
        <v>0</v>
      </c>
      <c r="Y99" s="60">
        <f t="shared" si="82"/>
        <v>0</v>
      </c>
      <c r="Z99" s="60">
        <f t="shared" si="82"/>
        <v>0</v>
      </c>
      <c r="AA99" s="60">
        <f t="shared" si="82"/>
        <v>0</v>
      </c>
      <c r="AB99" s="60">
        <f t="shared" si="82"/>
        <v>0</v>
      </c>
      <c r="AC99" s="60">
        <f t="shared" si="82"/>
        <v>0</v>
      </c>
      <c r="AD99" s="60">
        <f t="shared" si="82"/>
        <v>0</v>
      </c>
      <c r="AE99" s="60">
        <f t="shared" ref="AE99:AF99" si="83">IF(AE84&lt;0,AE75+AE73,0)</f>
        <v>0</v>
      </c>
      <c r="AF99" s="60">
        <f t="shared" si="83"/>
        <v>0</v>
      </c>
      <c r="AG99" s="88"/>
      <c r="AH99" s="47">
        <f t="shared" si="42"/>
        <v>0</v>
      </c>
      <c r="AI99" s="48">
        <f t="shared" si="43"/>
        <v>0</v>
      </c>
      <c r="AK99" s="50"/>
    </row>
    <row r="100" spans="1:37" ht="15.75" thickBot="1" x14ac:dyDescent="0.3">
      <c r="A100" s="74" t="s">
        <v>108</v>
      </c>
      <c r="B100" s="60">
        <f t="shared" ref="B100:C100" si="84">B84-B99</f>
        <v>157</v>
      </c>
      <c r="C100" s="60">
        <f t="shared" si="84"/>
        <v>148</v>
      </c>
      <c r="D100" s="60">
        <f t="shared" ref="D100:E100" si="85">D84-D99</f>
        <v>97</v>
      </c>
      <c r="E100" s="60">
        <f t="shared" si="85"/>
        <v>111.4</v>
      </c>
      <c r="F100" s="60">
        <f t="shared" ref="F100:G100" si="86">F84-F99</f>
        <v>111.19999999999999</v>
      </c>
      <c r="G100" s="60">
        <f t="shared" si="86"/>
        <v>184.7</v>
      </c>
      <c r="H100" s="60">
        <f t="shared" ref="H100:I100" si="87">H84-H99</f>
        <v>252.7</v>
      </c>
      <c r="I100" s="60">
        <f t="shared" si="87"/>
        <v>261.8</v>
      </c>
      <c r="J100" s="60">
        <f t="shared" ref="J100:K100" si="88">J84-J99</f>
        <v>265.3</v>
      </c>
      <c r="K100" s="60">
        <f t="shared" si="88"/>
        <v>177.6</v>
      </c>
      <c r="L100" s="60">
        <f t="shared" ref="L100" si="89">L84-L99</f>
        <v>48.199999999999996</v>
      </c>
      <c r="M100" s="60">
        <f t="shared" ref="M100:AD100" si="90">M84-M99</f>
        <v>37.799999999999997</v>
      </c>
      <c r="N100" s="60">
        <f t="shared" si="90"/>
        <v>36.200000000000003</v>
      </c>
      <c r="O100" s="60">
        <f t="shared" si="90"/>
        <v>146</v>
      </c>
      <c r="P100" s="60">
        <f t="shared" si="90"/>
        <v>241</v>
      </c>
      <c r="Q100" s="60">
        <f t="shared" si="90"/>
        <v>294</v>
      </c>
      <c r="R100" s="60">
        <f t="shared" si="90"/>
        <v>241</v>
      </c>
      <c r="S100" s="60">
        <f t="shared" si="90"/>
        <v>255</v>
      </c>
      <c r="T100" s="60">
        <f t="shared" si="90"/>
        <v>266.3</v>
      </c>
      <c r="U100" s="60">
        <f t="shared" si="90"/>
        <v>215</v>
      </c>
      <c r="V100" s="60">
        <f t="shared" si="90"/>
        <v>66</v>
      </c>
      <c r="W100" s="60">
        <f t="shared" si="90"/>
        <v>25</v>
      </c>
      <c r="X100" s="60">
        <f t="shared" si="90"/>
        <v>26.6</v>
      </c>
      <c r="Y100" s="60">
        <f t="shared" si="90"/>
        <v>28</v>
      </c>
      <c r="Z100" s="60">
        <f t="shared" si="90"/>
        <v>27</v>
      </c>
      <c r="AA100" s="60">
        <f t="shared" si="90"/>
        <v>66</v>
      </c>
      <c r="AB100" s="60">
        <f t="shared" si="90"/>
        <v>109</v>
      </c>
      <c r="AC100" s="60">
        <f t="shared" si="90"/>
        <v>185.5</v>
      </c>
      <c r="AD100" s="60">
        <f t="shared" si="90"/>
        <v>167.9</v>
      </c>
      <c r="AE100" s="60">
        <f t="shared" ref="AE100:AF100" si="91">AE84-AE99</f>
        <v>165.5</v>
      </c>
      <c r="AF100" s="60">
        <f t="shared" si="91"/>
        <v>147.19999999999999</v>
      </c>
      <c r="AG100" s="88"/>
      <c r="AH100" s="47">
        <f t="shared" si="42"/>
        <v>294</v>
      </c>
      <c r="AI100" s="48">
        <f t="shared" si="43"/>
        <v>25</v>
      </c>
    </row>
    <row r="101" spans="1:37" x14ac:dyDescent="0.25">
      <c r="A101" s="100" t="s">
        <v>109</v>
      </c>
      <c r="B101" s="101">
        <v>50.02</v>
      </c>
      <c r="C101" s="101">
        <v>50</v>
      </c>
      <c r="D101" s="101">
        <v>49.923000000000002</v>
      </c>
      <c r="E101" s="101">
        <v>49.96</v>
      </c>
      <c r="F101" s="101">
        <v>49.95</v>
      </c>
      <c r="G101" s="101">
        <v>50.04</v>
      </c>
      <c r="H101" s="101">
        <v>50.113</v>
      </c>
      <c r="I101" s="101">
        <v>50.06</v>
      </c>
      <c r="J101" s="101">
        <v>50.06</v>
      </c>
      <c r="K101" s="101">
        <v>50</v>
      </c>
      <c r="L101" s="101">
        <v>50</v>
      </c>
      <c r="M101" s="101">
        <v>50.06</v>
      </c>
      <c r="N101" s="101">
        <v>49.972000000000001</v>
      </c>
      <c r="O101" s="101">
        <v>50.034999999999997</v>
      </c>
      <c r="P101" s="101">
        <v>50.045000000000002</v>
      </c>
      <c r="Q101" s="101">
        <v>49.994999999999997</v>
      </c>
      <c r="R101" s="101">
        <v>50.072000000000003</v>
      </c>
      <c r="S101" s="101">
        <v>49.927</v>
      </c>
      <c r="T101" s="101">
        <v>49.97</v>
      </c>
      <c r="U101" s="101">
        <v>50.055</v>
      </c>
      <c r="V101" s="101">
        <v>49.966000000000001</v>
      </c>
      <c r="W101" s="101">
        <v>50.006999999999998</v>
      </c>
      <c r="X101" s="101">
        <v>50.006999999999998</v>
      </c>
      <c r="Y101" s="101">
        <v>49.996000000000002</v>
      </c>
      <c r="Z101" s="101">
        <v>49.996000000000002</v>
      </c>
      <c r="AA101" s="101">
        <v>49.911999999999999</v>
      </c>
      <c r="AB101" s="101">
        <v>50.088999999999999</v>
      </c>
      <c r="AC101" s="101">
        <v>50.095999999999997</v>
      </c>
      <c r="AD101" s="101">
        <v>50.005000000000003</v>
      </c>
      <c r="AE101" s="101">
        <v>49.99</v>
      </c>
      <c r="AF101" s="101">
        <v>50.01</v>
      </c>
      <c r="AG101" s="102"/>
      <c r="AH101" s="47">
        <f t="shared" si="42"/>
        <v>50.113</v>
      </c>
      <c r="AI101" s="48">
        <f t="shared" si="43"/>
        <v>49.911999999999999</v>
      </c>
    </row>
    <row r="102" spans="1:37" x14ac:dyDescent="0.25">
      <c r="A102" s="103" t="s">
        <v>110</v>
      </c>
      <c r="B102" s="65">
        <v>129.6</v>
      </c>
      <c r="C102" s="65">
        <v>129.6</v>
      </c>
      <c r="D102" s="65">
        <v>129.6</v>
      </c>
      <c r="E102" s="65">
        <v>131</v>
      </c>
      <c r="F102" s="65">
        <v>131</v>
      </c>
      <c r="G102" s="65">
        <v>129.5</v>
      </c>
      <c r="H102" s="65">
        <v>128.4</v>
      </c>
      <c r="I102" s="65">
        <v>127.7</v>
      </c>
      <c r="J102" s="65">
        <v>127.7</v>
      </c>
      <c r="K102" s="65">
        <v>125.4</v>
      </c>
      <c r="L102" s="65">
        <v>123</v>
      </c>
      <c r="M102" s="65">
        <v>124.4</v>
      </c>
      <c r="N102" s="65">
        <v>125.1</v>
      </c>
      <c r="O102" s="65">
        <v>125.3</v>
      </c>
      <c r="P102" s="65">
        <v>126.1</v>
      </c>
      <c r="Q102" s="65">
        <v>126.4</v>
      </c>
      <c r="R102" s="65">
        <v>127.6</v>
      </c>
      <c r="S102" s="65">
        <v>127</v>
      </c>
      <c r="T102" s="65">
        <v>126.2</v>
      </c>
      <c r="U102" s="65">
        <v>123.8</v>
      </c>
      <c r="V102" s="65">
        <v>124.5</v>
      </c>
      <c r="W102" s="65">
        <v>125</v>
      </c>
      <c r="X102" s="65">
        <v>125</v>
      </c>
      <c r="Y102" s="65">
        <v>126.9</v>
      </c>
      <c r="Z102" s="65">
        <v>126.9</v>
      </c>
      <c r="AA102" s="65">
        <v>126.9</v>
      </c>
      <c r="AB102" s="65">
        <v>127.6</v>
      </c>
      <c r="AC102" s="65">
        <v>126.5</v>
      </c>
      <c r="AD102" s="65">
        <v>127.1</v>
      </c>
      <c r="AE102" s="65">
        <v>129.19999999999999</v>
      </c>
      <c r="AF102" s="65">
        <v>129.80000000000001</v>
      </c>
      <c r="AG102" s="104"/>
      <c r="AH102" s="47">
        <f t="shared" si="42"/>
        <v>131</v>
      </c>
      <c r="AI102" s="48">
        <f t="shared" si="43"/>
        <v>123</v>
      </c>
    </row>
    <row r="103" spans="1:37" x14ac:dyDescent="0.25">
      <c r="A103" s="103" t="s">
        <v>111</v>
      </c>
      <c r="B103" s="65">
        <v>131</v>
      </c>
      <c r="C103" s="65">
        <v>131</v>
      </c>
      <c r="D103" s="65">
        <v>131</v>
      </c>
      <c r="E103" s="65">
        <v>134.69999999999999</v>
      </c>
      <c r="F103" s="65">
        <v>134.69999999999999</v>
      </c>
      <c r="G103" s="65">
        <v>133.4</v>
      </c>
      <c r="H103" s="65">
        <v>131.9</v>
      </c>
      <c r="I103" s="65">
        <v>131.19999999999999</v>
      </c>
      <c r="J103" s="65">
        <v>131.19999999999999</v>
      </c>
      <c r="K103" s="65">
        <v>128.19999999999999</v>
      </c>
      <c r="L103" s="65">
        <v>126.1</v>
      </c>
      <c r="M103" s="65">
        <v>126.8</v>
      </c>
      <c r="N103" s="65">
        <v>126.9</v>
      </c>
      <c r="O103" s="65">
        <v>128.1</v>
      </c>
      <c r="P103" s="65">
        <v>129.19999999999999</v>
      </c>
      <c r="Q103" s="65">
        <v>129.69999999999999</v>
      </c>
      <c r="R103" s="65">
        <v>130.4</v>
      </c>
      <c r="S103" s="65">
        <v>130</v>
      </c>
      <c r="T103" s="65">
        <v>129.5</v>
      </c>
      <c r="U103" s="65">
        <v>128</v>
      </c>
      <c r="V103" s="65">
        <v>128.1</v>
      </c>
      <c r="W103" s="65">
        <v>127.9</v>
      </c>
      <c r="X103" s="65">
        <v>127.9</v>
      </c>
      <c r="Y103" s="65">
        <v>128.5</v>
      </c>
      <c r="Z103" s="65">
        <v>128.5</v>
      </c>
      <c r="AA103" s="65">
        <v>128.5</v>
      </c>
      <c r="AB103" s="65">
        <v>130.4</v>
      </c>
      <c r="AC103" s="65">
        <v>129.69999999999999</v>
      </c>
      <c r="AD103" s="65">
        <v>130.19999999999999</v>
      </c>
      <c r="AE103" s="65">
        <v>132.5</v>
      </c>
      <c r="AF103" s="65">
        <v>133.6</v>
      </c>
      <c r="AG103" s="104"/>
      <c r="AH103" s="47">
        <f t="shared" si="42"/>
        <v>134.69999999999999</v>
      </c>
      <c r="AI103" s="48">
        <f t="shared" si="43"/>
        <v>126.1</v>
      </c>
    </row>
    <row r="104" spans="1:37" x14ac:dyDescent="0.25">
      <c r="A104" s="103" t="s">
        <v>112</v>
      </c>
      <c r="B104" s="65">
        <v>130</v>
      </c>
      <c r="C104" s="65">
        <v>130</v>
      </c>
      <c r="D104" s="65">
        <v>130</v>
      </c>
      <c r="E104" s="65">
        <v>130</v>
      </c>
      <c r="F104" s="65">
        <v>130</v>
      </c>
      <c r="G104" s="65">
        <v>128.1</v>
      </c>
      <c r="H104" s="65">
        <v>129.5</v>
      </c>
      <c r="I104" s="65">
        <v>126.8</v>
      </c>
      <c r="J104" s="65">
        <v>126.8</v>
      </c>
      <c r="K104" s="65">
        <v>126.3</v>
      </c>
      <c r="L104" s="65">
        <v>127.4</v>
      </c>
      <c r="M104" s="65">
        <v>129.19999999999999</v>
      </c>
      <c r="N104" s="65">
        <v>126.2</v>
      </c>
      <c r="O104" s="65">
        <v>126.9</v>
      </c>
      <c r="P104" s="65">
        <v>128.1</v>
      </c>
      <c r="Q104" s="65">
        <v>127</v>
      </c>
      <c r="R104" s="65">
        <v>127.9</v>
      </c>
      <c r="S104" s="65">
        <v>126.3</v>
      </c>
      <c r="T104" s="65">
        <v>130.4</v>
      </c>
      <c r="U104" s="65">
        <v>126.7</v>
      </c>
      <c r="V104" s="65">
        <v>127</v>
      </c>
      <c r="W104" s="65">
        <v>128.80000000000001</v>
      </c>
      <c r="X104" s="65">
        <v>128.80000000000001</v>
      </c>
      <c r="Y104" s="65">
        <v>129.5</v>
      </c>
      <c r="Z104" s="65">
        <v>129.5</v>
      </c>
      <c r="AA104" s="65">
        <v>129.5</v>
      </c>
      <c r="AB104" s="65">
        <v>132.30000000000001</v>
      </c>
      <c r="AC104" s="65">
        <v>134</v>
      </c>
      <c r="AD104" s="65">
        <v>132.9</v>
      </c>
      <c r="AE104" s="65">
        <v>130.69999999999999</v>
      </c>
      <c r="AF104" s="65">
        <v>130.69999999999999</v>
      </c>
      <c r="AG104" s="104"/>
      <c r="AH104" s="47">
        <f t="shared" si="42"/>
        <v>134</v>
      </c>
      <c r="AI104" s="48">
        <f t="shared" si="43"/>
        <v>126.2</v>
      </c>
    </row>
    <row r="105" spans="1:37" x14ac:dyDescent="0.25">
      <c r="A105" s="105" t="s">
        <v>113</v>
      </c>
      <c r="B105" s="65">
        <v>132</v>
      </c>
      <c r="C105" s="65">
        <v>132</v>
      </c>
      <c r="D105" s="65">
        <v>132</v>
      </c>
      <c r="E105" s="65">
        <v>132.1</v>
      </c>
      <c r="F105" s="65">
        <v>132.1</v>
      </c>
      <c r="G105" s="65">
        <v>129.6</v>
      </c>
      <c r="H105" s="65">
        <v>132.5</v>
      </c>
      <c r="I105" s="65">
        <v>130.80000000000001</v>
      </c>
      <c r="J105" s="65">
        <v>130.80000000000001</v>
      </c>
      <c r="K105" s="65">
        <v>128.5</v>
      </c>
      <c r="L105" s="65">
        <v>128.19999999999999</v>
      </c>
      <c r="M105" s="65">
        <v>131.19999999999999</v>
      </c>
      <c r="N105" s="65">
        <v>127.9</v>
      </c>
      <c r="O105" s="65">
        <v>129.30000000000001</v>
      </c>
      <c r="P105" s="65">
        <v>130.6</v>
      </c>
      <c r="Q105" s="65">
        <v>132.1</v>
      </c>
      <c r="R105" s="65">
        <v>128.69999999999999</v>
      </c>
      <c r="S105" s="65">
        <v>128.30000000000001</v>
      </c>
      <c r="T105" s="65">
        <v>131</v>
      </c>
      <c r="U105" s="65">
        <v>127.6</v>
      </c>
      <c r="V105" s="65">
        <v>128</v>
      </c>
      <c r="W105" s="65">
        <v>128.6</v>
      </c>
      <c r="X105" s="65">
        <v>128.6</v>
      </c>
      <c r="Y105" s="65">
        <v>130.5</v>
      </c>
      <c r="Z105" s="65">
        <v>130.5</v>
      </c>
      <c r="AA105" s="65">
        <v>130.5</v>
      </c>
      <c r="AB105" s="65">
        <v>135.19999999999999</v>
      </c>
      <c r="AC105" s="65">
        <v>136.4</v>
      </c>
      <c r="AD105" s="65">
        <v>135.9</v>
      </c>
      <c r="AE105" s="65">
        <v>133.30000000000001</v>
      </c>
      <c r="AF105" s="65">
        <v>133.30000000000001</v>
      </c>
      <c r="AG105" s="104"/>
      <c r="AH105" s="47">
        <f t="shared" si="42"/>
        <v>136.4</v>
      </c>
      <c r="AI105" s="48">
        <f t="shared" si="43"/>
        <v>127.6</v>
      </c>
    </row>
    <row r="106" spans="1:37" x14ac:dyDescent="0.25">
      <c r="A106" s="105" t="s">
        <v>114</v>
      </c>
      <c r="B106" s="106">
        <v>135</v>
      </c>
      <c r="C106" s="106">
        <v>135</v>
      </c>
      <c r="D106" s="106">
        <v>135</v>
      </c>
      <c r="E106" s="106">
        <v>136</v>
      </c>
      <c r="F106" s="106">
        <v>136</v>
      </c>
      <c r="G106" s="106">
        <v>135.19999999999999</v>
      </c>
      <c r="H106" s="106">
        <v>134.30000000000001</v>
      </c>
      <c r="I106" s="106">
        <v>133</v>
      </c>
      <c r="J106" s="106">
        <v>133</v>
      </c>
      <c r="K106" s="106">
        <v>132.19999999999999</v>
      </c>
      <c r="L106" s="106">
        <v>131.4</v>
      </c>
      <c r="M106" s="106">
        <v>132.6</v>
      </c>
      <c r="N106" s="106">
        <v>131.69999999999999</v>
      </c>
      <c r="O106" s="106">
        <v>134.1</v>
      </c>
      <c r="P106" s="106">
        <v>135.30000000000001</v>
      </c>
      <c r="Q106" s="106">
        <v>135</v>
      </c>
      <c r="R106" s="106">
        <v>132.6</v>
      </c>
      <c r="S106" s="106">
        <v>133.19999999999999</v>
      </c>
      <c r="T106" s="106">
        <v>132.6</v>
      </c>
      <c r="U106" s="106">
        <v>131.80000000000001</v>
      </c>
      <c r="V106" s="106">
        <v>134.35</v>
      </c>
      <c r="W106" s="106">
        <v>135</v>
      </c>
      <c r="X106" s="106">
        <v>135</v>
      </c>
      <c r="Y106" s="106">
        <v>134</v>
      </c>
      <c r="Z106" s="106">
        <v>134</v>
      </c>
      <c r="AA106" s="106">
        <v>134</v>
      </c>
      <c r="AB106" s="106">
        <v>135.19999999999999</v>
      </c>
      <c r="AC106" s="106">
        <v>134.1</v>
      </c>
      <c r="AD106" s="106">
        <v>134.1</v>
      </c>
      <c r="AE106" s="106">
        <v>135.80000000000001</v>
      </c>
      <c r="AF106" s="106">
        <v>135.80000000000001</v>
      </c>
      <c r="AG106" s="107"/>
      <c r="AH106" s="47">
        <f t="shared" si="42"/>
        <v>136</v>
      </c>
      <c r="AI106" s="48">
        <f t="shared" si="43"/>
        <v>131.4</v>
      </c>
    </row>
    <row r="107" spans="1:37" x14ac:dyDescent="0.25">
      <c r="A107" s="103" t="s">
        <v>115</v>
      </c>
      <c r="B107" s="65">
        <v>138</v>
      </c>
      <c r="C107" s="65">
        <v>138</v>
      </c>
      <c r="D107" s="65">
        <v>138</v>
      </c>
      <c r="E107" s="65">
        <v>130.9</v>
      </c>
      <c r="F107" s="65">
        <v>130.9</v>
      </c>
      <c r="G107" s="65">
        <v>136.30000000000001</v>
      </c>
      <c r="H107" s="65">
        <v>130.69999999999999</v>
      </c>
      <c r="I107" s="65">
        <v>128.6</v>
      </c>
      <c r="J107" s="65">
        <v>128.6</v>
      </c>
      <c r="K107" s="65">
        <v>127.1</v>
      </c>
      <c r="L107" s="65">
        <v>134.19999999999999</v>
      </c>
      <c r="M107" s="65">
        <v>132.9</v>
      </c>
      <c r="N107" s="65">
        <v>131.69999999999999</v>
      </c>
      <c r="O107" s="65">
        <v>131.1</v>
      </c>
      <c r="P107" s="65">
        <v>125.6</v>
      </c>
      <c r="Q107" s="65">
        <v>132.4</v>
      </c>
      <c r="R107" s="65">
        <v>136</v>
      </c>
      <c r="S107" s="65">
        <v>130.69999999999999</v>
      </c>
      <c r="T107" s="65">
        <v>131.4</v>
      </c>
      <c r="U107" s="65">
        <v>132.69999999999999</v>
      </c>
      <c r="V107" s="65">
        <v>130.80000000000001</v>
      </c>
      <c r="W107" s="65">
        <v>133.19999999999999</v>
      </c>
      <c r="X107" s="65">
        <v>133.19999999999999</v>
      </c>
      <c r="Y107" s="65">
        <v>134.4</v>
      </c>
      <c r="Z107" s="65">
        <v>134.4</v>
      </c>
      <c r="AA107" s="65">
        <v>134.4</v>
      </c>
      <c r="AB107" s="65">
        <v>134.69999999999999</v>
      </c>
      <c r="AC107" s="65">
        <v>135.80000000000001</v>
      </c>
      <c r="AD107" s="65">
        <v>135.30000000000001</v>
      </c>
      <c r="AE107" s="65">
        <v>135.69999999999999</v>
      </c>
      <c r="AF107" s="65">
        <v>135.69999999999999</v>
      </c>
      <c r="AG107" s="104"/>
      <c r="AH107" s="47">
        <f t="shared" si="42"/>
        <v>138</v>
      </c>
      <c r="AI107" s="48">
        <f t="shared" si="43"/>
        <v>125.6</v>
      </c>
    </row>
    <row r="108" spans="1:37" ht="15.75" thickBot="1" x14ac:dyDescent="0.3">
      <c r="A108" s="103" t="s">
        <v>116</v>
      </c>
      <c r="B108" s="92">
        <v>65.8</v>
      </c>
      <c r="C108" s="92">
        <v>65.8</v>
      </c>
      <c r="D108" s="92">
        <v>65.8</v>
      </c>
      <c r="E108" s="92">
        <v>67.5</v>
      </c>
      <c r="F108" s="92">
        <v>67.5</v>
      </c>
      <c r="G108" s="92">
        <v>66.7</v>
      </c>
      <c r="H108" s="92">
        <v>66</v>
      </c>
      <c r="I108" s="92">
        <v>65.7</v>
      </c>
      <c r="J108" s="92">
        <v>65.7</v>
      </c>
      <c r="K108" s="92">
        <v>64.099999999999994</v>
      </c>
      <c r="L108" s="92">
        <v>63.2</v>
      </c>
      <c r="M108" s="92">
        <v>63.5</v>
      </c>
      <c r="N108" s="92">
        <v>63.4</v>
      </c>
      <c r="O108" s="92">
        <v>64.099999999999994</v>
      </c>
      <c r="P108" s="92">
        <v>64.7</v>
      </c>
      <c r="Q108" s="92">
        <v>65</v>
      </c>
      <c r="R108" s="92">
        <v>65.599999999999994</v>
      </c>
      <c r="S108" s="92">
        <v>65.099999999999994</v>
      </c>
      <c r="T108" s="92">
        <v>64.8</v>
      </c>
      <c r="U108" s="92">
        <v>64.099999999999994</v>
      </c>
      <c r="V108" s="92">
        <v>64</v>
      </c>
      <c r="W108" s="92">
        <v>64.099999999999994</v>
      </c>
      <c r="X108" s="92">
        <v>64.099999999999994</v>
      </c>
      <c r="Y108" s="92">
        <v>64.2</v>
      </c>
      <c r="Z108" s="92">
        <v>64.2</v>
      </c>
      <c r="AA108" s="92">
        <v>64.2</v>
      </c>
      <c r="AB108" s="92">
        <v>65.400000000000006</v>
      </c>
      <c r="AC108" s="92">
        <v>64.900000000000006</v>
      </c>
      <c r="AD108" s="92">
        <v>65.400000000000006</v>
      </c>
      <c r="AE108" s="92">
        <v>66.2</v>
      </c>
      <c r="AF108" s="92">
        <v>67</v>
      </c>
      <c r="AG108" s="108"/>
      <c r="AH108" s="47">
        <f t="shared" si="42"/>
        <v>67.5</v>
      </c>
      <c r="AI108" s="48">
        <f t="shared" si="43"/>
        <v>63.2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117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42"/>
        <v>0</v>
      </c>
      <c r="AI109" s="48">
        <f t="shared" si="43"/>
        <v>0</v>
      </c>
    </row>
    <row r="110" spans="1:37" ht="15.75" thickBot="1" x14ac:dyDescent="0.3">
      <c r="A110" s="110" t="s">
        <v>118</v>
      </c>
      <c r="B110" s="111">
        <f t="shared" ref="B110:C110" si="92">SUM(B20,B26,B29:B30,B58,B60:B61,B63,B65,B111:B115,B140,B146,B152,B161,B163,B175,B182,B185:B186,B193,B195,B197,B201:B203,B205:B207,B212,B218:B219,B221:B223,B231,B236)</f>
        <v>76.04000000000002</v>
      </c>
      <c r="C110" s="111">
        <f t="shared" si="92"/>
        <v>67.04000000000002</v>
      </c>
      <c r="D110" s="111">
        <f t="shared" ref="D110:E110" si="93">SUM(D20,D26,D29:D30,D58,D60:D61,D63,D65,D111:D115,D140,D146,D152,D161,D163,D175,D182,D185:D186,D193,D195,D197,D201:D203,D205:D207,D212,D218:D219,D221:D223,D231,D236)</f>
        <v>58.640000000000022</v>
      </c>
      <c r="E110" s="111">
        <f t="shared" si="93"/>
        <v>56.540000000000013</v>
      </c>
      <c r="F110" s="111">
        <f t="shared" ref="F110" si="94">SUM(F20,F26,F29:F30,F58,F60:F61,F63,F65,F111:F115,F140,F146,F152,F161,F163,F175,F182,F185:F186,F193,F195,F197,F201:F203,F205:F207,F212,F218:F219,F221:F223,F231,F236)</f>
        <v>59.84</v>
      </c>
      <c r="G110" s="111">
        <f t="shared" ref="G110:L110" si="95">SUM(G20,G26,G29:G30,G58,G60:G61,G63,G65,G111:G115,G140,G146,G152,G161,G163,G175,G182,G185:G186,G193,G195,G197,G201:G203,G205:G207,G212,G218:G219,G221:G223,G231,G236)</f>
        <v>104.14000000000001</v>
      </c>
      <c r="H110" s="111">
        <f t="shared" si="95"/>
        <v>141.29</v>
      </c>
      <c r="I110" s="111">
        <f t="shared" si="95"/>
        <v>157.94</v>
      </c>
      <c r="J110" s="111">
        <f t="shared" si="95"/>
        <v>157.94</v>
      </c>
      <c r="K110" s="111">
        <f t="shared" si="95"/>
        <v>224.89</v>
      </c>
      <c r="L110" s="111">
        <f t="shared" si="95"/>
        <v>273.73999999999995</v>
      </c>
      <c r="M110" s="111">
        <f t="shared" ref="M110:O110" si="96">SUM(M20,M26,M29:M30,M58,M60:M61,M63,M65,M111:M115,M140,M146,M152,M161,M163,M175,M182,M185:M186,M193,M195,M197,M201:M203,M205:M207,M212,M218:M219,M221:M223,M231,M236)</f>
        <v>288.26799999999997</v>
      </c>
      <c r="N110" s="111">
        <f t="shared" si="96"/>
        <v>285.83599999999996</v>
      </c>
      <c r="O110" s="111">
        <f t="shared" si="96"/>
        <v>267.54199999999997</v>
      </c>
      <c r="P110" s="111">
        <v>42</v>
      </c>
      <c r="Q110" s="111">
        <f t="shared" ref="Q110:AC110" si="97">SUM(Q20,Q26,Q29:Q30,Q58,Q60:Q61,Q63,Q65,Q111:Q115,Q140,Q146,Q152,Q161,Q163,Q175,Q182,Q185:Q186,Q193,Q195,Q197,Q201:Q203,Q205:Q207,Q212,Q218:Q219,Q221:Q223,Q231,Q236)</f>
        <v>186.04000000000002</v>
      </c>
      <c r="R110" s="111">
        <f t="shared" si="97"/>
        <v>208.68400000000003</v>
      </c>
      <c r="S110" s="111">
        <f t="shared" si="97"/>
        <v>196.29000000000002</v>
      </c>
      <c r="T110" s="111">
        <f t="shared" si="97"/>
        <v>213.64</v>
      </c>
      <c r="U110" s="111">
        <f t="shared" si="97"/>
        <v>197.24</v>
      </c>
      <c r="V110" s="111">
        <f t="shared" si="97"/>
        <v>214.94</v>
      </c>
      <c r="W110" s="111">
        <f t="shared" si="97"/>
        <v>232.44</v>
      </c>
      <c r="X110" s="111">
        <f t="shared" si="97"/>
        <v>225.44</v>
      </c>
      <c r="Y110" s="111">
        <f t="shared" si="97"/>
        <v>298.74</v>
      </c>
      <c r="Z110" s="111">
        <f t="shared" si="97"/>
        <v>298.74</v>
      </c>
      <c r="AA110" s="111">
        <f t="shared" si="97"/>
        <v>313.04000000000002</v>
      </c>
      <c r="AB110" s="111">
        <f t="shared" si="97"/>
        <v>336.74</v>
      </c>
      <c r="AC110" s="111">
        <f t="shared" si="97"/>
        <v>313.44</v>
      </c>
      <c r="AD110" s="111"/>
      <c r="AE110" s="111"/>
      <c r="AF110" s="111"/>
      <c r="AG110" s="112"/>
      <c r="AH110" s="47">
        <f t="shared" si="42"/>
        <v>336.74</v>
      </c>
      <c r="AI110" s="48">
        <f t="shared" si="43"/>
        <v>42</v>
      </c>
    </row>
    <row r="111" spans="1:37" x14ac:dyDescent="0.25">
      <c r="A111" s="181" t="s">
        <v>119</v>
      </c>
      <c r="B111" s="113">
        <v>0</v>
      </c>
      <c r="C111" s="113">
        <v>0</v>
      </c>
      <c r="D111" s="113">
        <v>0</v>
      </c>
      <c r="E111" s="113">
        <v>0</v>
      </c>
      <c r="F111" s="113">
        <v>0</v>
      </c>
      <c r="G111" s="113">
        <v>0</v>
      </c>
      <c r="H111" s="113">
        <v>0</v>
      </c>
      <c r="I111" s="113">
        <v>0</v>
      </c>
      <c r="J111" s="113">
        <v>0</v>
      </c>
      <c r="K111" s="113"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  <c r="Q111" s="113">
        <v>0</v>
      </c>
      <c r="R111" s="113">
        <v>0</v>
      </c>
      <c r="S111" s="113">
        <v>0</v>
      </c>
      <c r="T111" s="113">
        <v>0</v>
      </c>
      <c r="U111" s="113">
        <v>0</v>
      </c>
      <c r="V111" s="113">
        <v>0</v>
      </c>
      <c r="W111" s="113">
        <v>0</v>
      </c>
      <c r="X111" s="113">
        <v>0</v>
      </c>
      <c r="Y111" s="113">
        <v>0</v>
      </c>
      <c r="Z111" s="113">
        <v>0</v>
      </c>
      <c r="AA111" s="113">
        <v>0</v>
      </c>
      <c r="AB111" s="113">
        <v>65.2</v>
      </c>
      <c r="AC111" s="113">
        <v>59</v>
      </c>
      <c r="AD111" s="113">
        <v>62.6</v>
      </c>
      <c r="AE111" s="113">
        <v>41</v>
      </c>
      <c r="AF111" s="113">
        <v>25.1</v>
      </c>
      <c r="AG111" s="114">
        <v>75</v>
      </c>
      <c r="AH111" s="47">
        <f t="shared" si="42"/>
        <v>65.2</v>
      </c>
      <c r="AI111" s="48">
        <f t="shared" si="43"/>
        <v>0</v>
      </c>
    </row>
    <row r="112" spans="1:37" x14ac:dyDescent="0.25">
      <c r="A112" s="182" t="s">
        <v>120</v>
      </c>
      <c r="B112" s="115">
        <v>19</v>
      </c>
      <c r="C112" s="115">
        <v>14</v>
      </c>
      <c r="D112" s="115">
        <v>26</v>
      </c>
      <c r="E112" s="115">
        <v>26.1</v>
      </c>
      <c r="F112" s="115">
        <v>26.7</v>
      </c>
      <c r="G112" s="115">
        <v>16.2</v>
      </c>
      <c r="H112" s="115">
        <v>24.1</v>
      </c>
      <c r="I112" s="115">
        <v>26.1</v>
      </c>
      <c r="J112" s="115">
        <v>26.1</v>
      </c>
      <c r="K112" s="115">
        <v>37.6</v>
      </c>
      <c r="L112" s="115">
        <v>48.4</v>
      </c>
      <c r="M112" s="115">
        <v>53.8</v>
      </c>
      <c r="N112" s="115">
        <v>55.5</v>
      </c>
      <c r="O112" s="115">
        <v>52.1</v>
      </c>
      <c r="P112" s="115">
        <v>49.8</v>
      </c>
      <c r="Q112" s="115">
        <v>39.1</v>
      </c>
      <c r="R112" s="115">
        <v>33.299999999999997</v>
      </c>
      <c r="S112" s="115">
        <v>38.5</v>
      </c>
      <c r="T112" s="115">
        <v>39</v>
      </c>
      <c r="U112" s="115">
        <v>51.4</v>
      </c>
      <c r="V112" s="115">
        <v>53.5</v>
      </c>
      <c r="W112" s="115">
        <v>63</v>
      </c>
      <c r="X112" s="115">
        <v>63</v>
      </c>
      <c r="Y112" s="115">
        <v>57</v>
      </c>
      <c r="Z112" s="115">
        <v>57</v>
      </c>
      <c r="AA112" s="115">
        <v>64.3</v>
      </c>
      <c r="AB112" s="115">
        <v>71.7</v>
      </c>
      <c r="AC112" s="115">
        <v>69.599999999999994</v>
      </c>
      <c r="AD112" s="115">
        <v>74.099999999999994</v>
      </c>
      <c r="AE112" s="115">
        <v>55</v>
      </c>
      <c r="AF112" s="115">
        <v>26</v>
      </c>
      <c r="AG112" s="114">
        <v>240</v>
      </c>
      <c r="AH112" s="47">
        <f t="shared" si="42"/>
        <v>74.099999999999994</v>
      </c>
      <c r="AI112" s="48">
        <f t="shared" si="43"/>
        <v>14</v>
      </c>
    </row>
    <row r="113" spans="1:37" x14ac:dyDescent="0.25">
      <c r="A113" s="182" t="s">
        <v>121</v>
      </c>
      <c r="B113" s="115">
        <v>-70</v>
      </c>
      <c r="C113" s="115">
        <v>-71</v>
      </c>
      <c r="D113" s="115">
        <v>-80</v>
      </c>
      <c r="E113" s="115">
        <v>-80</v>
      </c>
      <c r="F113" s="115">
        <v>-79.400000000000006</v>
      </c>
      <c r="G113" s="115">
        <v>-65.8</v>
      </c>
      <c r="H113" s="115">
        <v>-55</v>
      </c>
      <c r="I113" s="115">
        <v>-49</v>
      </c>
      <c r="J113" s="115">
        <v>-49</v>
      </c>
      <c r="K113" s="115">
        <v>-31</v>
      </c>
      <c r="L113" s="115">
        <v>-26</v>
      </c>
      <c r="M113" s="115">
        <v>-24</v>
      </c>
      <c r="N113" s="115">
        <v>-13</v>
      </c>
      <c r="O113" s="115">
        <v>-19.8</v>
      </c>
      <c r="P113" s="115">
        <v>-24.3</v>
      </c>
      <c r="Q113" s="115">
        <v>-37.5</v>
      </c>
      <c r="R113" s="115">
        <v>-26.5</v>
      </c>
      <c r="S113" s="115">
        <v>-30</v>
      </c>
      <c r="T113" s="115">
        <v>-2</v>
      </c>
      <c r="U113" s="115">
        <v>-43</v>
      </c>
      <c r="V113" s="115">
        <v>-40</v>
      </c>
      <c r="W113" s="115">
        <v>-50</v>
      </c>
      <c r="X113" s="115">
        <v>-50</v>
      </c>
      <c r="Y113" s="115">
        <v>9</v>
      </c>
      <c r="Z113" s="115">
        <v>9</v>
      </c>
      <c r="AA113" s="115">
        <v>-5.4</v>
      </c>
      <c r="AB113" s="115">
        <f>-7-8.6</f>
        <v>-15.6</v>
      </c>
      <c r="AC113" s="115">
        <f>-9.8-11.7</f>
        <v>-21.5</v>
      </c>
      <c r="AD113" s="115">
        <f>-16-18.5</f>
        <v>-34.5</v>
      </c>
      <c r="AE113" s="115">
        <f>-24.8-29.8</f>
        <v>-54.6</v>
      </c>
      <c r="AF113" s="115">
        <f>-30.7-34.8</f>
        <v>-65.5</v>
      </c>
      <c r="AG113" s="114">
        <v>240</v>
      </c>
      <c r="AH113" s="47">
        <f t="shared" si="42"/>
        <v>9</v>
      </c>
      <c r="AI113" s="48">
        <f t="shared" si="43"/>
        <v>-80</v>
      </c>
    </row>
    <row r="114" spans="1:37" ht="15.75" thickBot="1" x14ac:dyDescent="0.3">
      <c r="A114" s="182" t="s">
        <v>122</v>
      </c>
      <c r="B114" s="115">
        <v>0</v>
      </c>
      <c r="C114" s="115">
        <v>-1</v>
      </c>
      <c r="D114" s="115">
        <v>-1.4</v>
      </c>
      <c r="E114" s="115">
        <v>-2.1</v>
      </c>
      <c r="F114" s="115">
        <v>-2.1</v>
      </c>
      <c r="G114" s="115">
        <v>1</v>
      </c>
      <c r="H114" s="115">
        <v>4.0999999999999996</v>
      </c>
      <c r="I114" s="115">
        <v>5.7</v>
      </c>
      <c r="J114" s="115">
        <v>5.7</v>
      </c>
      <c r="K114" s="115">
        <v>11.2</v>
      </c>
      <c r="L114" s="115">
        <v>14</v>
      </c>
      <c r="M114" s="115">
        <v>15.6</v>
      </c>
      <c r="N114" s="115">
        <v>16.5</v>
      </c>
      <c r="O114" s="115">
        <v>16.5</v>
      </c>
      <c r="P114" s="115">
        <v>13.3</v>
      </c>
      <c r="Q114" s="115">
        <v>12.5</v>
      </c>
      <c r="R114" s="115">
        <v>10.9</v>
      </c>
      <c r="S114" s="115">
        <v>8.4</v>
      </c>
      <c r="T114" s="115">
        <v>8</v>
      </c>
      <c r="U114" s="115">
        <v>9</v>
      </c>
      <c r="V114" s="115">
        <v>11.3</v>
      </c>
      <c r="W114" s="115">
        <v>25.6</v>
      </c>
      <c r="X114" s="115">
        <v>25.6</v>
      </c>
      <c r="Y114" s="115">
        <v>36.9</v>
      </c>
      <c r="Z114" s="115">
        <v>36.9</v>
      </c>
      <c r="AA114" s="115">
        <v>20.3</v>
      </c>
      <c r="AB114" s="115">
        <v>17.600000000000001</v>
      </c>
      <c r="AC114" s="115">
        <v>16</v>
      </c>
      <c r="AD114" s="115">
        <v>13.6</v>
      </c>
      <c r="AE114" s="115">
        <v>6.8</v>
      </c>
      <c r="AF114" s="115">
        <v>2.4</v>
      </c>
      <c r="AG114" s="114">
        <v>60</v>
      </c>
      <c r="AH114" s="47">
        <f t="shared" si="42"/>
        <v>36.9</v>
      </c>
      <c r="AI114" s="48">
        <f t="shared" si="43"/>
        <v>-2.1</v>
      </c>
    </row>
    <row r="115" spans="1:37" x14ac:dyDescent="0.25">
      <c r="A115" s="181" t="s">
        <v>267</v>
      </c>
      <c r="B115" s="117">
        <v>7</v>
      </c>
      <c r="C115" s="117">
        <v>5</v>
      </c>
      <c r="D115" s="117">
        <v>-6</v>
      </c>
      <c r="E115" s="117">
        <f>-6.4*1.5</f>
        <v>-9.6000000000000014</v>
      </c>
      <c r="F115" s="117">
        <f>-5*1.5</f>
        <v>-7.5</v>
      </c>
      <c r="G115" s="117">
        <v>30.6</v>
      </c>
      <c r="H115" s="117">
        <f>29.5*1.5</f>
        <v>44.25</v>
      </c>
      <c r="I115" s="117">
        <f>34.2*1.5</f>
        <v>51.300000000000004</v>
      </c>
      <c r="J115" s="117">
        <f>34.2*1.5</f>
        <v>51.300000000000004</v>
      </c>
      <c r="K115" s="117">
        <f>55.5*1.5</f>
        <v>83.25</v>
      </c>
      <c r="L115" s="117">
        <f>73.8*1.5</f>
        <v>110.69999999999999</v>
      </c>
      <c r="M115" s="117">
        <f>68.4*1.67</f>
        <v>114.22800000000001</v>
      </c>
      <c r="N115" s="117">
        <f>58.8*1.67</f>
        <v>98.195999999999998</v>
      </c>
      <c r="O115" s="117">
        <f>50.6*1.67</f>
        <v>84.501999999999995</v>
      </c>
      <c r="P115" s="117">
        <f>1.67*37.6</f>
        <v>62.792000000000002</v>
      </c>
      <c r="Q115" s="117">
        <v>37.700000000000003</v>
      </c>
      <c r="R115" s="117">
        <f>1.64*34.6</f>
        <v>56.744</v>
      </c>
      <c r="S115" s="117">
        <f>30.1*1.5</f>
        <v>45.150000000000006</v>
      </c>
      <c r="T115" s="117">
        <v>36.799999999999997</v>
      </c>
      <c r="U115" s="117">
        <v>48</v>
      </c>
      <c r="V115" s="117">
        <v>58.3</v>
      </c>
      <c r="W115" s="117">
        <v>62</v>
      </c>
      <c r="X115" s="117">
        <v>62</v>
      </c>
      <c r="Y115" s="117">
        <v>71</v>
      </c>
      <c r="Z115" s="117">
        <v>71</v>
      </c>
      <c r="AA115" s="117">
        <v>109</v>
      </c>
      <c r="AB115" s="117">
        <f>46*1.5</f>
        <v>69</v>
      </c>
      <c r="AC115" s="117">
        <f>41*1.5</f>
        <v>61.5</v>
      </c>
      <c r="AD115" s="117">
        <f>27*1.5</f>
        <v>40.5</v>
      </c>
      <c r="AE115" s="117">
        <v>31</v>
      </c>
      <c r="AF115" s="117">
        <f>13.1*1.5</f>
        <v>19.649999999999999</v>
      </c>
      <c r="AG115" s="118">
        <v>120</v>
      </c>
      <c r="AH115" s="47">
        <f t="shared" si="42"/>
        <v>114.22800000000001</v>
      </c>
      <c r="AI115" s="48">
        <f t="shared" si="43"/>
        <v>-9.6000000000000014</v>
      </c>
    </row>
    <row r="116" spans="1:37" x14ac:dyDescent="0.25">
      <c r="A116" s="182" t="s">
        <v>266</v>
      </c>
      <c r="B116" s="117">
        <v>40</v>
      </c>
      <c r="C116" s="117">
        <v>40</v>
      </c>
      <c r="D116" s="117">
        <v>31</v>
      </c>
      <c r="E116" s="117">
        <v>30.5</v>
      </c>
      <c r="F116" s="117">
        <v>30.6</v>
      </c>
      <c r="G116" s="117">
        <v>49.3</v>
      </c>
      <c r="H116" s="117">
        <v>58.9</v>
      </c>
      <c r="I116" s="117">
        <v>62.2</v>
      </c>
      <c r="J116" s="117">
        <v>62.2</v>
      </c>
      <c r="K116" s="117">
        <v>78.900000000000006</v>
      </c>
      <c r="L116" s="117">
        <v>93.1</v>
      </c>
      <c r="M116" s="117">
        <v>90.8</v>
      </c>
      <c r="N116" s="117">
        <v>83.4</v>
      </c>
      <c r="O116" s="117">
        <v>76.599999999999994</v>
      </c>
      <c r="P116" s="117">
        <v>65.3</v>
      </c>
      <c r="Q116" s="117">
        <v>65.3</v>
      </c>
      <c r="R116" s="117">
        <v>61</v>
      </c>
      <c r="S116" s="117">
        <v>59</v>
      </c>
      <c r="T116" s="117">
        <v>65</v>
      </c>
      <c r="U116" s="117">
        <v>75</v>
      </c>
      <c r="V116" s="117">
        <v>83.7</v>
      </c>
      <c r="W116" s="117">
        <v>85.9</v>
      </c>
      <c r="X116" s="117">
        <v>85.9</v>
      </c>
      <c r="Y116" s="117">
        <v>93</v>
      </c>
      <c r="Z116" s="117">
        <v>93</v>
      </c>
      <c r="AA116" s="117">
        <v>90.1</v>
      </c>
      <c r="AB116" s="117">
        <v>73.5</v>
      </c>
      <c r="AC116" s="117">
        <v>70</v>
      </c>
      <c r="AD116" s="117">
        <v>57.5</v>
      </c>
      <c r="AE116" s="117">
        <v>50.4</v>
      </c>
      <c r="AF116" s="117">
        <v>45.6</v>
      </c>
      <c r="AG116" s="118"/>
      <c r="AH116" s="47"/>
      <c r="AI116" s="48"/>
    </row>
    <row r="117" spans="1:37" x14ac:dyDescent="0.25">
      <c r="A117" s="182" t="s">
        <v>263</v>
      </c>
      <c r="B117" s="117">
        <v>4</v>
      </c>
      <c r="C117" s="117">
        <v>12</v>
      </c>
      <c r="D117" s="117">
        <v>2</v>
      </c>
      <c r="E117" s="117">
        <v>1.5</v>
      </c>
      <c r="F117" s="117">
        <v>-4.3</v>
      </c>
      <c r="G117" s="117">
        <v>13.2</v>
      </c>
      <c r="H117" s="117">
        <v>2.2000000000000002</v>
      </c>
      <c r="I117" s="117">
        <v>-1.3</v>
      </c>
      <c r="J117" s="117">
        <v>-1.3</v>
      </c>
      <c r="K117" s="117">
        <v>-27.7</v>
      </c>
      <c r="L117" s="117">
        <v>-25.7</v>
      </c>
      <c r="M117" s="117">
        <v>-39.5</v>
      </c>
      <c r="N117" s="117">
        <v>-45</v>
      </c>
      <c r="O117" s="117">
        <v>-40.9</v>
      </c>
      <c r="P117" s="117">
        <v>-33.200000000000003</v>
      </c>
      <c r="Q117" s="117">
        <v>-16</v>
      </c>
      <c r="R117" s="117">
        <v>-19.3</v>
      </c>
      <c r="S117" s="117">
        <v>-21.3</v>
      </c>
      <c r="T117" s="117">
        <v>-18</v>
      </c>
      <c r="U117" s="117">
        <v>-19</v>
      </c>
      <c r="V117" s="117">
        <v>-20</v>
      </c>
      <c r="W117" s="117">
        <v>-41</v>
      </c>
      <c r="X117" s="117">
        <v>-41</v>
      </c>
      <c r="Y117" s="117">
        <v>-61</v>
      </c>
      <c r="Z117" s="117">
        <v>-61</v>
      </c>
      <c r="AA117" s="117">
        <v>-55.8</v>
      </c>
      <c r="AB117" s="117">
        <v>-69.400000000000006</v>
      </c>
      <c r="AC117" s="117">
        <v>-66.8</v>
      </c>
      <c r="AD117" s="117">
        <v>-67.400000000000006</v>
      </c>
      <c r="AE117" s="117">
        <v>-35</v>
      </c>
      <c r="AF117" s="117">
        <v>-2.1</v>
      </c>
      <c r="AG117" s="118"/>
      <c r="AH117" s="47"/>
      <c r="AI117" s="48"/>
    </row>
    <row r="118" spans="1:37" ht="15.75" thickBot="1" x14ac:dyDescent="0.3">
      <c r="A118" s="182" t="s">
        <v>260</v>
      </c>
      <c r="B118" s="117">
        <v>32</v>
      </c>
      <c r="C118" s="117">
        <v>29</v>
      </c>
      <c r="D118" s="117">
        <v>22</v>
      </c>
      <c r="E118" s="117">
        <v>21.9</v>
      </c>
      <c r="F118" s="117">
        <v>19.3</v>
      </c>
      <c r="G118" s="117">
        <v>45</v>
      </c>
      <c r="H118" s="117">
        <v>54.5</v>
      </c>
      <c r="I118" s="117">
        <v>51.5</v>
      </c>
      <c r="J118" s="117">
        <v>51.5</v>
      </c>
      <c r="K118" s="117">
        <v>65.3</v>
      </c>
      <c r="L118" s="117">
        <v>75.599999999999994</v>
      </c>
      <c r="M118" s="117">
        <v>68.3</v>
      </c>
      <c r="N118" s="117">
        <v>57.7</v>
      </c>
      <c r="O118" s="117">
        <v>52.6</v>
      </c>
      <c r="P118" s="117">
        <v>46.3</v>
      </c>
      <c r="Q118" s="117">
        <v>54.5</v>
      </c>
      <c r="R118" s="117">
        <v>48.2</v>
      </c>
      <c r="S118" s="117">
        <v>45.1</v>
      </c>
      <c r="T118" s="117">
        <v>55</v>
      </c>
      <c r="U118" s="117">
        <v>65</v>
      </c>
      <c r="V118" s="117">
        <v>63.5</v>
      </c>
      <c r="W118" s="117">
        <v>60</v>
      </c>
      <c r="X118" s="117">
        <v>60</v>
      </c>
      <c r="Y118" s="117">
        <v>77</v>
      </c>
      <c r="Z118" s="117">
        <v>77</v>
      </c>
      <c r="AA118" s="117">
        <v>67</v>
      </c>
      <c r="AB118" s="117">
        <v>52</v>
      </c>
      <c r="AC118" s="117">
        <v>49.3</v>
      </c>
      <c r="AD118" s="117">
        <v>51.7</v>
      </c>
      <c r="AE118" s="117">
        <v>48.5</v>
      </c>
      <c r="AF118" s="117">
        <v>41.1</v>
      </c>
      <c r="AG118" s="114"/>
      <c r="AH118" s="47">
        <f t="shared" si="42"/>
        <v>77</v>
      </c>
      <c r="AI118" s="48">
        <f t="shared" si="43"/>
        <v>19.3</v>
      </c>
    </row>
    <row r="119" spans="1:37" x14ac:dyDescent="0.25">
      <c r="A119" s="181" t="s">
        <v>264</v>
      </c>
      <c r="B119" s="117">
        <v>-3</v>
      </c>
      <c r="C119" s="117">
        <v>0</v>
      </c>
      <c r="D119" s="117">
        <v>5</v>
      </c>
      <c r="E119" s="117">
        <v>-3.4</v>
      </c>
      <c r="F119" s="117">
        <v>-5.8</v>
      </c>
      <c r="G119" s="117">
        <v>10.199999999999999</v>
      </c>
      <c r="H119" s="117">
        <v>3.7</v>
      </c>
      <c r="I119" s="117">
        <v>3.7</v>
      </c>
      <c r="J119" s="117">
        <v>3.7</v>
      </c>
      <c r="K119" s="117">
        <v>-8.9</v>
      </c>
      <c r="L119" s="117">
        <v>-6.9</v>
      </c>
      <c r="M119" s="117">
        <v>-15.7</v>
      </c>
      <c r="N119" s="117">
        <v>-4.9000000000000004</v>
      </c>
      <c r="O119" s="117">
        <v>0</v>
      </c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>
        <v>-22.3</v>
      </c>
      <c r="AC119" s="117">
        <v>-25.8</v>
      </c>
      <c r="AD119" s="117">
        <v>-25.3</v>
      </c>
      <c r="AE119" s="117">
        <v>-12</v>
      </c>
      <c r="AF119" s="117">
        <v>1.6</v>
      </c>
      <c r="AG119" s="114"/>
      <c r="AH119" s="47">
        <f t="shared" si="42"/>
        <v>10.199999999999999</v>
      </c>
      <c r="AI119" s="48">
        <f t="shared" si="43"/>
        <v>-25.8</v>
      </c>
    </row>
    <row r="120" spans="1:37" x14ac:dyDescent="0.25">
      <c r="A120" s="182" t="s">
        <v>126</v>
      </c>
      <c r="B120" s="106">
        <v>-3</v>
      </c>
      <c r="C120" s="106">
        <v>0</v>
      </c>
      <c r="D120" s="106">
        <v>2</v>
      </c>
      <c r="E120" s="106">
        <v>3.5</v>
      </c>
      <c r="F120" s="106">
        <v>-0.8</v>
      </c>
      <c r="G120" s="106">
        <v>-4.4000000000000004</v>
      </c>
      <c r="H120" s="106">
        <v>-9.1</v>
      </c>
      <c r="I120" s="106">
        <v>-11.5</v>
      </c>
      <c r="J120" s="106">
        <v>-11.5</v>
      </c>
      <c r="K120" s="106">
        <v>-21.3</v>
      </c>
      <c r="L120" s="106">
        <v>-25.9</v>
      </c>
      <c r="M120" s="106">
        <v>-17.399999999999999</v>
      </c>
      <c r="N120" s="106">
        <v>-19.3</v>
      </c>
      <c r="O120" s="106">
        <v>-19.7</v>
      </c>
      <c r="P120" s="106">
        <v>-12.5</v>
      </c>
      <c r="Q120" s="106">
        <v>-8.6</v>
      </c>
      <c r="R120" s="106">
        <v>-7.7</v>
      </c>
      <c r="S120" s="106">
        <v>-11.2</v>
      </c>
      <c r="T120" s="106">
        <v>-16</v>
      </c>
      <c r="U120" s="106">
        <v>-18</v>
      </c>
      <c r="V120" s="106">
        <v>-25</v>
      </c>
      <c r="W120" s="106">
        <v>-36</v>
      </c>
      <c r="X120" s="106">
        <v>-36</v>
      </c>
      <c r="Y120" s="106">
        <v>-27</v>
      </c>
      <c r="Z120" s="106">
        <v>-27</v>
      </c>
      <c r="AA120" s="106">
        <v>-18.600000000000001</v>
      </c>
      <c r="AB120" s="106">
        <v>-12.3</v>
      </c>
      <c r="AC120" s="106">
        <v>-11.6</v>
      </c>
      <c r="AD120" s="106">
        <v>-8.1</v>
      </c>
      <c r="AE120" s="106">
        <v>1.1000000000000001</v>
      </c>
      <c r="AF120" s="106">
        <v>5.5</v>
      </c>
      <c r="AG120" s="114"/>
      <c r="AH120" s="47">
        <f t="shared" si="42"/>
        <v>5.5</v>
      </c>
      <c r="AI120" s="48">
        <f t="shared" si="43"/>
        <v>-36</v>
      </c>
    </row>
    <row r="121" spans="1:37" x14ac:dyDescent="0.25">
      <c r="A121" s="182" t="s">
        <v>268</v>
      </c>
      <c r="B121" s="106">
        <v>61</v>
      </c>
      <c r="C121" s="106">
        <v>58</v>
      </c>
      <c r="D121" s="106">
        <v>70</v>
      </c>
      <c r="E121" s="106">
        <v>68.400000000000006</v>
      </c>
      <c r="F121" s="106">
        <v>68.400000000000006</v>
      </c>
      <c r="G121" s="106">
        <v>51.7</v>
      </c>
      <c r="H121" s="106">
        <v>46.9</v>
      </c>
      <c r="I121" s="106">
        <v>42.2</v>
      </c>
      <c r="J121" s="106">
        <v>42.2</v>
      </c>
      <c r="K121" s="106">
        <v>38.700000000000003</v>
      </c>
      <c r="L121" s="106">
        <v>32.299999999999997</v>
      </c>
      <c r="M121" s="106">
        <v>30.7</v>
      </c>
      <c r="N121" s="106">
        <v>26.3</v>
      </c>
      <c r="O121" s="106">
        <v>37.799999999999997</v>
      </c>
      <c r="P121" s="106">
        <v>40.299999999999997</v>
      </c>
      <c r="Q121" s="106">
        <v>38.1</v>
      </c>
      <c r="R121" s="106">
        <v>37.1</v>
      </c>
      <c r="S121" s="106">
        <v>38.299999999999997</v>
      </c>
      <c r="T121" s="106">
        <v>37</v>
      </c>
      <c r="U121" s="106">
        <v>50</v>
      </c>
      <c r="V121" s="106">
        <v>46.5</v>
      </c>
      <c r="W121" s="106">
        <v>38</v>
      </c>
      <c r="X121" s="106">
        <v>38</v>
      </c>
      <c r="Y121" s="106">
        <v>23</v>
      </c>
      <c r="Z121" s="106">
        <v>23</v>
      </c>
      <c r="AA121" s="106">
        <v>24.4</v>
      </c>
      <c r="AB121" s="106">
        <v>39</v>
      </c>
      <c r="AC121" s="106">
        <v>43.6</v>
      </c>
      <c r="AD121" s="106">
        <v>55.1</v>
      </c>
      <c r="AE121" s="106">
        <v>54.7</v>
      </c>
      <c r="AF121" s="106">
        <v>57.6</v>
      </c>
      <c r="AG121" s="114"/>
      <c r="AH121" s="47">
        <f t="shared" si="42"/>
        <v>70</v>
      </c>
      <c r="AI121" s="48">
        <f t="shared" si="43"/>
        <v>23</v>
      </c>
    </row>
    <row r="122" spans="1:37" x14ac:dyDescent="0.25">
      <c r="A122" s="182" t="s">
        <v>265</v>
      </c>
      <c r="B122" s="106">
        <v>76</v>
      </c>
      <c r="C122" s="106">
        <v>72</v>
      </c>
      <c r="D122" s="106">
        <v>70</v>
      </c>
      <c r="E122" s="106">
        <v>77</v>
      </c>
      <c r="F122" s="106">
        <v>73.5</v>
      </c>
      <c r="G122" s="106">
        <v>76.3</v>
      </c>
      <c r="H122" s="106">
        <v>89.1</v>
      </c>
      <c r="I122" s="106">
        <v>92.4</v>
      </c>
      <c r="J122" s="106">
        <v>92.4</v>
      </c>
      <c r="K122" s="106">
        <v>95.2</v>
      </c>
      <c r="L122" s="106">
        <v>99.9</v>
      </c>
      <c r="M122" s="106">
        <v>95.6</v>
      </c>
      <c r="N122" s="106">
        <v>99.7</v>
      </c>
      <c r="O122" s="106">
        <v>108.2</v>
      </c>
      <c r="P122" s="106">
        <v>69.3</v>
      </c>
      <c r="Q122" s="106">
        <v>67</v>
      </c>
      <c r="R122" s="106">
        <v>65.599999999999994</v>
      </c>
      <c r="S122" s="106">
        <v>94.3</v>
      </c>
      <c r="T122" s="106">
        <v>91</v>
      </c>
      <c r="U122" s="106">
        <v>95</v>
      </c>
      <c r="V122" s="106">
        <v>95.3</v>
      </c>
      <c r="W122" s="106">
        <v>109</v>
      </c>
      <c r="X122" s="106">
        <v>109</v>
      </c>
      <c r="Y122" s="106">
        <v>101</v>
      </c>
      <c r="Z122" s="106">
        <v>101</v>
      </c>
      <c r="AA122" s="106">
        <v>99.4</v>
      </c>
      <c r="AB122" s="106">
        <v>95.7</v>
      </c>
      <c r="AC122" s="106">
        <v>91.1</v>
      </c>
      <c r="AD122" s="106">
        <v>78.7</v>
      </c>
      <c r="AE122" s="106">
        <v>45.1</v>
      </c>
      <c r="AF122" s="106">
        <v>42.9</v>
      </c>
      <c r="AG122" s="114"/>
      <c r="AH122" s="47">
        <f t="shared" si="42"/>
        <v>109</v>
      </c>
      <c r="AI122" s="48">
        <f t="shared" si="43"/>
        <v>42.9</v>
      </c>
    </row>
    <row r="123" spans="1:37" ht="15.75" thickBot="1" x14ac:dyDescent="0.3">
      <c r="A123" s="122" t="s">
        <v>129</v>
      </c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83"/>
      <c r="AH123" s="47"/>
      <c r="AI123" s="48"/>
      <c r="AK123" s="50"/>
    </row>
    <row r="124" spans="1:37" x14ac:dyDescent="0.25">
      <c r="A124" s="125" t="s">
        <v>130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9.94</v>
      </c>
      <c r="AH124" s="47"/>
      <c r="AI124" s="48"/>
      <c r="AK124" s="50"/>
    </row>
    <row r="125" spans="1:37" x14ac:dyDescent="0.25">
      <c r="A125" s="103" t="s">
        <v>131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50"/>
    </row>
    <row r="126" spans="1:37" x14ac:dyDescent="0.25">
      <c r="A126" s="103" t="s">
        <v>132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50"/>
    </row>
    <row r="127" spans="1:37" x14ac:dyDescent="0.25">
      <c r="A127" s="103" t="s">
        <v>133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50"/>
    </row>
    <row r="128" spans="1:37" x14ac:dyDescent="0.25">
      <c r="A128" s="103" t="s">
        <v>134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50"/>
    </row>
    <row r="129" spans="1:37" x14ac:dyDescent="0.25">
      <c r="A129" s="103" t="s">
        <v>135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50"/>
    </row>
    <row r="130" spans="1:37" x14ac:dyDescent="0.25">
      <c r="A130" s="103" t="s">
        <v>136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50"/>
    </row>
    <row r="131" spans="1:37" x14ac:dyDescent="0.25">
      <c r="A131" s="103" t="s">
        <v>137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50"/>
    </row>
    <row r="132" spans="1:37" x14ac:dyDescent="0.25">
      <c r="A132" s="103" t="s">
        <v>138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50"/>
    </row>
    <row r="133" spans="1:37" x14ac:dyDescent="0.25">
      <c r="A133" s="103" t="s">
        <v>139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140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141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142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143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144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145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146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1">
        <v>9.9</v>
      </c>
      <c r="AH140" s="47"/>
      <c r="AI140" s="48"/>
      <c r="AK140" s="50"/>
    </row>
    <row r="141" spans="1:37" x14ac:dyDescent="0.25">
      <c r="A141" s="116" t="s">
        <v>147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9.6579999999999995</v>
      </c>
      <c r="AH141" s="47"/>
      <c r="AI141" s="48"/>
      <c r="AK141" s="50"/>
    </row>
    <row r="142" spans="1:37" x14ac:dyDescent="0.25">
      <c r="A142" s="116" t="s">
        <v>148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9.6</v>
      </c>
      <c r="AH142" s="47"/>
      <c r="AI142" s="48"/>
      <c r="AK142" s="50"/>
    </row>
    <row r="143" spans="1:37" x14ac:dyDescent="0.25">
      <c r="A143" s="116" t="s">
        <v>149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9.51</v>
      </c>
      <c r="AH143" s="47"/>
      <c r="AI143" s="48"/>
      <c r="AK143" s="50"/>
    </row>
    <row r="144" spans="1:37" x14ac:dyDescent="0.25">
      <c r="A144" s="116" t="s">
        <v>150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9.4</v>
      </c>
      <c r="AH144" s="47"/>
      <c r="AI144" s="48"/>
      <c r="AK144" s="50"/>
    </row>
    <row r="145" spans="1:37" x14ac:dyDescent="0.25">
      <c r="A145" s="116" t="s">
        <v>151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8.8000000000000007</v>
      </c>
      <c r="AH145" s="47"/>
      <c r="AI145" s="48"/>
      <c r="AK145" s="50"/>
    </row>
    <row r="146" spans="1:37" x14ac:dyDescent="0.25">
      <c r="A146" s="116" t="s">
        <v>152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8.5</v>
      </c>
      <c r="AH146" s="47"/>
      <c r="AI146" s="48"/>
      <c r="AK146" s="50"/>
    </row>
    <row r="147" spans="1:37" x14ac:dyDescent="0.25">
      <c r="A147" s="116" t="s">
        <v>153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8.5</v>
      </c>
      <c r="AH147" s="47"/>
      <c r="AI147" s="48"/>
      <c r="AK147" s="50"/>
    </row>
    <row r="148" spans="1:37" x14ac:dyDescent="0.25">
      <c r="A148" s="116" t="s">
        <v>154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8.4</v>
      </c>
      <c r="AH148" s="47"/>
      <c r="AI148" s="48"/>
      <c r="AK148" s="50"/>
    </row>
    <row r="149" spans="1:37" ht="13.5" customHeight="1" x14ac:dyDescent="0.25">
      <c r="A149" s="116" t="s">
        <v>155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50"/>
    </row>
    <row r="150" spans="1:37" x14ac:dyDescent="0.25">
      <c r="A150" s="116" t="s">
        <v>156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8</v>
      </c>
      <c r="AH150" s="47"/>
      <c r="AI150" s="48"/>
      <c r="AK150" s="50"/>
    </row>
    <row r="151" spans="1:37" x14ac:dyDescent="0.25">
      <c r="A151" s="116" t="s">
        <v>157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8</v>
      </c>
      <c r="AH151" s="47"/>
      <c r="AI151" s="48"/>
      <c r="AK151" s="50"/>
    </row>
    <row r="152" spans="1:37" x14ac:dyDescent="0.25">
      <c r="A152" s="116" t="s">
        <v>158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7.8</v>
      </c>
      <c r="AH152" s="47"/>
      <c r="AI152" s="48"/>
      <c r="AK152" s="50"/>
    </row>
    <row r="153" spans="1:37" x14ac:dyDescent="0.25">
      <c r="A153" s="116" t="s">
        <v>159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7.6</v>
      </c>
      <c r="AH153" s="47"/>
      <c r="AI153" s="48"/>
      <c r="AK153" s="50"/>
    </row>
    <row r="154" spans="1:37" x14ac:dyDescent="0.25">
      <c r="A154" s="116" t="s">
        <v>160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7.5</v>
      </c>
      <c r="AH154" s="47"/>
      <c r="AI154" s="48"/>
      <c r="AK154" s="50"/>
    </row>
    <row r="155" spans="1:37" x14ac:dyDescent="0.25">
      <c r="A155" s="116" t="s">
        <v>161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7.5</v>
      </c>
      <c r="AH155" s="47"/>
      <c r="AI155" s="48"/>
      <c r="AK155" s="50"/>
    </row>
    <row r="156" spans="1:37" x14ac:dyDescent="0.25">
      <c r="A156" s="116" t="s">
        <v>162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50"/>
    </row>
    <row r="157" spans="1:37" x14ac:dyDescent="0.25">
      <c r="A157" s="116" t="s">
        <v>163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50"/>
    </row>
    <row r="158" spans="1:37" x14ac:dyDescent="0.25">
      <c r="A158" s="116" t="s">
        <v>164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7</v>
      </c>
      <c r="AH158" s="47"/>
      <c r="AI158" s="48"/>
      <c r="AK158" s="50"/>
    </row>
    <row r="159" spans="1:37" x14ac:dyDescent="0.25">
      <c r="A159" s="116" t="s">
        <v>165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7</v>
      </c>
      <c r="AH159" s="47"/>
      <c r="AI159" s="48"/>
      <c r="AK159" s="50"/>
    </row>
    <row r="160" spans="1:37" x14ac:dyDescent="0.25">
      <c r="A160" s="116" t="s">
        <v>166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6.6</v>
      </c>
      <c r="AH160" s="47"/>
      <c r="AI160" s="48"/>
      <c r="AK160" s="50"/>
    </row>
    <row r="161" spans="1:37" x14ac:dyDescent="0.25">
      <c r="A161" s="116" t="s">
        <v>167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6.6</v>
      </c>
      <c r="AH161" s="47"/>
      <c r="AI161" s="48"/>
      <c r="AK161" s="50"/>
    </row>
    <row r="162" spans="1:37" x14ac:dyDescent="0.25">
      <c r="A162" s="116" t="s">
        <v>168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6.4</v>
      </c>
      <c r="AH162" s="47"/>
      <c r="AI162" s="48"/>
      <c r="AK162" s="50"/>
    </row>
    <row r="163" spans="1:37" x14ac:dyDescent="0.25">
      <c r="A163" s="116" t="s">
        <v>169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6</v>
      </c>
      <c r="AH163" s="47"/>
      <c r="AI163" s="48"/>
      <c r="AK163" s="50"/>
    </row>
    <row r="164" spans="1:37" x14ac:dyDescent="0.25">
      <c r="A164" s="116" t="s">
        <v>170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5.0999999999999996</v>
      </c>
      <c r="AH164" s="47"/>
      <c r="AI164" s="48"/>
      <c r="AK164" s="50"/>
    </row>
    <row r="165" spans="1:37" x14ac:dyDescent="0.25">
      <c r="A165" s="116" t="s">
        <v>171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50"/>
    </row>
    <row r="166" spans="1:37" x14ac:dyDescent="0.25">
      <c r="A166" s="103" t="s">
        <v>172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1">
        <v>5</v>
      </c>
      <c r="AH166" s="47"/>
      <c r="AI166" s="48"/>
      <c r="AK166" s="50"/>
    </row>
    <row r="167" spans="1:37" x14ac:dyDescent="0.25">
      <c r="A167" s="116" t="s">
        <v>173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50"/>
    </row>
    <row r="168" spans="1:37" x14ac:dyDescent="0.25">
      <c r="A168" s="116" t="s">
        <v>174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50"/>
    </row>
    <row r="169" spans="1:37" x14ac:dyDescent="0.25">
      <c r="A169" s="116" t="s">
        <v>175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50"/>
    </row>
    <row r="170" spans="1:37" x14ac:dyDescent="0.25">
      <c r="A170" s="116" t="s">
        <v>176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5</v>
      </c>
      <c r="AH170" s="47"/>
      <c r="AI170" s="48"/>
      <c r="AK170" s="50"/>
    </row>
    <row r="171" spans="1:37" x14ac:dyDescent="0.25">
      <c r="A171" s="116" t="s">
        <v>177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5</v>
      </c>
      <c r="AH171" s="47"/>
      <c r="AI171" s="48"/>
      <c r="AK171" s="50"/>
    </row>
    <row r="172" spans="1:37" x14ac:dyDescent="0.25">
      <c r="A172" s="116" t="s">
        <v>178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4.9930000000000003</v>
      </c>
      <c r="AH172" s="47"/>
      <c r="AI172" s="48"/>
      <c r="AK172" s="50"/>
    </row>
    <row r="173" spans="1:37" x14ac:dyDescent="0.25">
      <c r="A173" s="116" t="s">
        <v>179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4.9800000000000004</v>
      </c>
      <c r="AH173" s="47"/>
      <c r="AI173" s="48"/>
      <c r="AK173" s="50"/>
    </row>
    <row r="174" spans="1:37" x14ac:dyDescent="0.25">
      <c r="A174" s="116" t="s">
        <v>180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4.95</v>
      </c>
      <c r="AH174" s="47"/>
      <c r="AI174" s="48"/>
      <c r="AK174" s="50"/>
    </row>
    <row r="175" spans="1:37" x14ac:dyDescent="0.25">
      <c r="A175" s="116" t="s">
        <v>181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4.95</v>
      </c>
      <c r="AH175" s="47"/>
      <c r="AI175" s="48"/>
      <c r="AK175" s="50"/>
    </row>
    <row r="176" spans="1:37" x14ac:dyDescent="0.25">
      <c r="A176" s="116" t="s">
        <v>182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50"/>
    </row>
    <row r="177" spans="1:37" x14ac:dyDescent="0.25">
      <c r="A177" s="116" t="s">
        <v>183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4.8</v>
      </c>
      <c r="AH177" s="47"/>
      <c r="AI177" s="48"/>
      <c r="AK177" s="50"/>
    </row>
    <row r="178" spans="1:37" x14ac:dyDescent="0.25">
      <c r="A178" s="116" t="s">
        <v>184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4.8</v>
      </c>
      <c r="AH178" s="47"/>
      <c r="AI178" s="48"/>
      <c r="AK178" s="50"/>
    </row>
    <row r="179" spans="1:37" x14ac:dyDescent="0.25">
      <c r="A179" s="116" t="s">
        <v>185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4.5</v>
      </c>
      <c r="AH179" s="47"/>
      <c r="AI179" s="48"/>
      <c r="AK179" s="50"/>
    </row>
    <row r="180" spans="1:37" x14ac:dyDescent="0.25">
      <c r="A180" s="116" t="s">
        <v>186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4.5</v>
      </c>
      <c r="AH180" s="47"/>
      <c r="AI180" s="48"/>
      <c r="AK180" s="50"/>
    </row>
    <row r="181" spans="1:37" x14ac:dyDescent="0.25">
      <c r="A181" s="116" t="s">
        <v>187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4.4550000000000001</v>
      </c>
      <c r="AH181" s="47"/>
      <c r="AI181" s="48"/>
      <c r="AK181" s="50"/>
    </row>
    <row r="182" spans="1:37" x14ac:dyDescent="0.25">
      <c r="A182" s="116" t="s">
        <v>188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4.41</v>
      </c>
      <c r="AH182" s="47"/>
      <c r="AI182" s="48"/>
      <c r="AK182" s="50"/>
    </row>
    <row r="183" spans="1:37" x14ac:dyDescent="0.25">
      <c r="A183" s="116" t="s">
        <v>189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4.4000000000000004</v>
      </c>
      <c r="AH183" s="47"/>
      <c r="AI183" s="48"/>
      <c r="AK183" s="50"/>
    </row>
    <row r="184" spans="1:37" x14ac:dyDescent="0.25">
      <c r="A184" s="116" t="s">
        <v>190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4.3600000000000003</v>
      </c>
      <c r="AH184" s="47"/>
      <c r="AI184" s="48"/>
      <c r="AK184" s="50"/>
    </row>
    <row r="185" spans="1:37" x14ac:dyDescent="0.25">
      <c r="A185" s="116" t="s">
        <v>191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4.2</v>
      </c>
      <c r="AH185" s="47"/>
      <c r="AI185" s="48"/>
      <c r="AK185" s="50"/>
    </row>
    <row r="186" spans="1:37" x14ac:dyDescent="0.25">
      <c r="A186" s="116" t="s">
        <v>192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50"/>
    </row>
    <row r="187" spans="1:37" x14ac:dyDescent="0.25">
      <c r="A187" s="116" t="s">
        <v>193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50"/>
    </row>
    <row r="188" spans="1:37" x14ac:dyDescent="0.25">
      <c r="A188" s="116" t="s">
        <v>194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50"/>
    </row>
    <row r="189" spans="1:37" x14ac:dyDescent="0.25">
      <c r="A189" s="116" t="s">
        <v>195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50"/>
    </row>
    <row r="190" spans="1:37" x14ac:dyDescent="0.25">
      <c r="A190" s="116" t="s">
        <v>196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50"/>
    </row>
    <row r="191" spans="1:37" x14ac:dyDescent="0.25">
      <c r="A191" s="116" t="s">
        <v>197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50"/>
    </row>
    <row r="192" spans="1:37" x14ac:dyDescent="0.25">
      <c r="A192" s="116" t="s">
        <v>198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</v>
      </c>
      <c r="AH192" s="47"/>
      <c r="AI192" s="48"/>
      <c r="AK192" s="50"/>
    </row>
    <row r="193" spans="1:37" x14ac:dyDescent="0.25">
      <c r="A193" s="116" t="s">
        <v>199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</v>
      </c>
      <c r="AH193" s="47"/>
      <c r="AI193" s="48"/>
      <c r="AK193" s="50"/>
    </row>
    <row r="194" spans="1:37" x14ac:dyDescent="0.25">
      <c r="A194" s="116" t="s">
        <v>200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3.75</v>
      </c>
      <c r="AH194" s="47"/>
      <c r="AI194" s="48"/>
      <c r="AK194" s="50"/>
    </row>
    <row r="195" spans="1:37" x14ac:dyDescent="0.25">
      <c r="A195" s="116" t="s">
        <v>201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3.52</v>
      </c>
      <c r="AH195" s="47"/>
      <c r="AI195" s="48"/>
      <c r="AK195" s="50"/>
    </row>
    <row r="196" spans="1:37" x14ac:dyDescent="0.25">
      <c r="A196" s="116" t="s">
        <v>202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3.33</v>
      </c>
      <c r="AH196" s="47"/>
      <c r="AI196" s="48"/>
      <c r="AK196" s="50"/>
    </row>
    <row r="197" spans="1:37" x14ac:dyDescent="0.25">
      <c r="A197" s="116" t="s">
        <v>203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3.2</v>
      </c>
      <c r="AH197" s="47"/>
      <c r="AI197" s="48"/>
      <c r="AK197" s="50"/>
    </row>
    <row r="198" spans="1:37" x14ac:dyDescent="0.25">
      <c r="A198" s="116" t="s">
        <v>204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50"/>
    </row>
    <row r="199" spans="1:37" x14ac:dyDescent="0.25">
      <c r="A199" s="116" t="s">
        <v>205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50"/>
    </row>
    <row r="200" spans="1:37" x14ac:dyDescent="0.25">
      <c r="A200" s="116" t="s">
        <v>206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50"/>
    </row>
    <row r="201" spans="1:37" x14ac:dyDescent="0.25">
      <c r="A201" s="116" t="s">
        <v>207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50"/>
    </row>
    <row r="202" spans="1:37" x14ac:dyDescent="0.25">
      <c r="A202" s="116" t="s">
        <v>208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50"/>
    </row>
    <row r="203" spans="1:37" x14ac:dyDescent="0.25">
      <c r="A203" s="116" t="s">
        <v>209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50"/>
    </row>
    <row r="204" spans="1:37" x14ac:dyDescent="0.25">
      <c r="A204" s="116" t="s">
        <v>210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</v>
      </c>
      <c r="AH204" s="47"/>
      <c r="AI204" s="48"/>
      <c r="AK204" s="50"/>
    </row>
    <row r="205" spans="1:37" x14ac:dyDescent="0.25">
      <c r="A205" s="116" t="s">
        <v>211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</v>
      </c>
      <c r="AH205" s="47"/>
      <c r="AI205" s="48"/>
      <c r="AK205" s="50"/>
    </row>
    <row r="206" spans="1:37" x14ac:dyDescent="0.25">
      <c r="A206" s="116" t="s">
        <v>212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2.83</v>
      </c>
      <c r="AH206" s="47"/>
      <c r="AI206" s="48"/>
      <c r="AK206" s="50"/>
    </row>
    <row r="207" spans="1:37" x14ac:dyDescent="0.25">
      <c r="A207" s="116" t="s">
        <v>213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2.5</v>
      </c>
      <c r="AH207" s="47"/>
      <c r="AI207" s="48"/>
      <c r="AK207" s="50"/>
    </row>
    <row r="208" spans="1:37" x14ac:dyDescent="0.25">
      <c r="A208" s="116" t="s">
        <v>214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2.5</v>
      </c>
      <c r="AH208" s="47"/>
      <c r="AI208" s="48"/>
      <c r="AK208" s="50"/>
    </row>
    <row r="209" spans="1:37" x14ac:dyDescent="0.25">
      <c r="A209" s="116" t="s">
        <v>215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2.4</v>
      </c>
      <c r="AH209" s="47"/>
      <c r="AI209" s="48"/>
      <c r="AK209" s="50"/>
    </row>
    <row r="210" spans="1:37" x14ac:dyDescent="0.25">
      <c r="A210" s="116" t="s">
        <v>216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2.4</v>
      </c>
      <c r="AH210" s="47"/>
      <c r="AI210" s="48"/>
      <c r="AK210" s="50"/>
    </row>
    <row r="211" spans="1:37" x14ac:dyDescent="0.25">
      <c r="A211" s="116" t="s">
        <v>217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2.2000000000000002</v>
      </c>
      <c r="AH211" s="47"/>
      <c r="AI211" s="48"/>
      <c r="AK211" s="50"/>
    </row>
    <row r="212" spans="1:37" x14ac:dyDescent="0.25">
      <c r="A212" s="116" t="s">
        <v>218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50"/>
    </row>
    <row r="213" spans="1:37" x14ac:dyDescent="0.25">
      <c r="A213" s="116" t="s">
        <v>219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2</v>
      </c>
      <c r="AH213" s="47"/>
      <c r="AI213" s="48"/>
      <c r="AK213" s="50"/>
    </row>
    <row r="214" spans="1:37" x14ac:dyDescent="0.25">
      <c r="A214" s="116" t="s">
        <v>220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</v>
      </c>
      <c r="AH214" s="47"/>
      <c r="AI214" s="48"/>
      <c r="AK214" s="50"/>
    </row>
    <row r="215" spans="1:37" x14ac:dyDescent="0.25">
      <c r="A215" s="116" t="s">
        <v>221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1.8</v>
      </c>
      <c r="AH215" s="47"/>
      <c r="AI215" s="48"/>
      <c r="AK215" s="50"/>
    </row>
    <row r="216" spans="1:37" x14ac:dyDescent="0.25">
      <c r="A216" s="116" t="s">
        <v>222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1.8</v>
      </c>
      <c r="AH216" s="47"/>
      <c r="AI216" s="48"/>
      <c r="AK216" s="50"/>
    </row>
    <row r="217" spans="1:37" x14ac:dyDescent="0.25">
      <c r="A217" s="116" t="s">
        <v>223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1.65</v>
      </c>
      <c r="AH217" s="47"/>
      <c r="AI217" s="48"/>
      <c r="AK217" s="50"/>
    </row>
    <row r="218" spans="1:37" x14ac:dyDescent="0.25">
      <c r="A218" s="116" t="s">
        <v>224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1.5</v>
      </c>
      <c r="AH218" s="47"/>
      <c r="AI218" s="48"/>
      <c r="AK218" s="50"/>
    </row>
    <row r="219" spans="1:37" x14ac:dyDescent="0.25">
      <c r="A219" s="116" t="s">
        <v>225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0.998</v>
      </c>
      <c r="AH219" s="47"/>
      <c r="AI219" s="48"/>
      <c r="AK219" s="50"/>
    </row>
    <row r="220" spans="1:37" x14ac:dyDescent="0.25">
      <c r="A220" s="116" t="s">
        <v>226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0.997</v>
      </c>
      <c r="AH220" s="47"/>
      <c r="AI220" s="48"/>
      <c r="AK220" s="50"/>
    </row>
    <row r="221" spans="1:37" x14ac:dyDescent="0.25">
      <c r="A221" s="116" t="s">
        <v>227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0.997</v>
      </c>
      <c r="AH221" s="47"/>
      <c r="AI221" s="48"/>
      <c r="AK221" s="50"/>
    </row>
    <row r="222" spans="1:37" x14ac:dyDescent="0.25">
      <c r="A222" s="116" t="s">
        <v>228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50"/>
    </row>
    <row r="223" spans="1:37" x14ac:dyDescent="0.25">
      <c r="A223" s="116" t="s">
        <v>229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0.996</v>
      </c>
      <c r="AH223" s="47"/>
      <c r="AI223" s="48"/>
      <c r="AK223" s="50"/>
    </row>
    <row r="224" spans="1:37" x14ac:dyDescent="0.25">
      <c r="A224" s="116" t="s">
        <v>230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0.996</v>
      </c>
      <c r="AH224" s="47"/>
      <c r="AI224" s="48"/>
      <c r="AK224" s="50"/>
    </row>
    <row r="225" spans="1:37" x14ac:dyDescent="0.25">
      <c r="A225" s="116" t="s">
        <v>231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0.995</v>
      </c>
      <c r="AH225" s="47"/>
      <c r="AI225" s="48"/>
      <c r="AK225" s="50"/>
    </row>
    <row r="226" spans="1:37" x14ac:dyDescent="0.25">
      <c r="A226" s="116" t="s">
        <v>232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0.99299999999999999</v>
      </c>
      <c r="AH226" s="47"/>
      <c r="AI226" s="48"/>
      <c r="AK226" s="50"/>
    </row>
    <row r="227" spans="1:37" x14ac:dyDescent="0.25">
      <c r="A227" s="116" t="s">
        <v>233</v>
      </c>
      <c r="B227" s="129"/>
      <c r="C227" s="127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</v>
      </c>
      <c r="AH227" s="47"/>
      <c r="AI227" s="48"/>
      <c r="AK227" s="50"/>
    </row>
    <row r="228" spans="1:37" ht="15.75" thickBot="1" x14ac:dyDescent="0.3">
      <c r="A228" s="116" t="s">
        <v>234</v>
      </c>
      <c r="B228" s="133"/>
      <c r="C228" s="134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2">
        <v>0.97899999999999998</v>
      </c>
      <c r="AH228" s="47"/>
      <c r="AI228" s="48"/>
      <c r="AK228" s="50"/>
    </row>
    <row r="229" spans="1:37" ht="15.75" thickBot="1" x14ac:dyDescent="0.3">
      <c r="A229" s="135" t="s">
        <v>235</v>
      </c>
      <c r="B229" s="136">
        <f t="shared" ref="B229:AG229" si="98">SUM(B124:B228)</f>
        <v>0</v>
      </c>
      <c r="C229" s="137">
        <f t="shared" si="98"/>
        <v>0</v>
      </c>
      <c r="D229" s="137">
        <f t="shared" si="98"/>
        <v>0</v>
      </c>
      <c r="E229" s="137">
        <f t="shared" si="98"/>
        <v>0</v>
      </c>
      <c r="F229" s="137">
        <f t="shared" si="98"/>
        <v>0</v>
      </c>
      <c r="G229" s="137">
        <f t="shared" si="98"/>
        <v>0</v>
      </c>
      <c r="H229" s="137">
        <f t="shared" si="98"/>
        <v>0</v>
      </c>
      <c r="I229" s="137">
        <f t="shared" si="98"/>
        <v>0</v>
      </c>
      <c r="J229" s="137">
        <f t="shared" si="98"/>
        <v>0</v>
      </c>
      <c r="K229" s="137">
        <f t="shared" si="98"/>
        <v>0</v>
      </c>
      <c r="L229" s="137">
        <f t="shared" si="98"/>
        <v>0</v>
      </c>
      <c r="M229" s="137">
        <f t="shared" si="98"/>
        <v>0</v>
      </c>
      <c r="N229" s="137">
        <f t="shared" si="98"/>
        <v>0</v>
      </c>
      <c r="O229" s="137">
        <f t="shared" si="98"/>
        <v>0</v>
      </c>
      <c r="P229" s="137">
        <f t="shared" si="98"/>
        <v>0</v>
      </c>
      <c r="Q229" s="137">
        <f t="shared" si="98"/>
        <v>0</v>
      </c>
      <c r="R229" s="137">
        <f t="shared" si="98"/>
        <v>0</v>
      </c>
      <c r="S229" s="137">
        <f t="shared" si="98"/>
        <v>0</v>
      </c>
      <c r="T229" s="137">
        <f t="shared" si="98"/>
        <v>0</v>
      </c>
      <c r="U229" s="137">
        <f t="shared" si="98"/>
        <v>0</v>
      </c>
      <c r="V229" s="137">
        <f t="shared" si="98"/>
        <v>0</v>
      </c>
      <c r="W229" s="137">
        <f t="shared" si="98"/>
        <v>0</v>
      </c>
      <c r="X229" s="137">
        <f t="shared" si="98"/>
        <v>0</v>
      </c>
      <c r="Y229" s="137">
        <f t="shared" si="98"/>
        <v>0</v>
      </c>
      <c r="Z229" s="137">
        <f t="shared" si="98"/>
        <v>0</v>
      </c>
      <c r="AA229" s="137">
        <f t="shared" si="98"/>
        <v>0</v>
      </c>
      <c r="AB229" s="137">
        <f t="shared" si="98"/>
        <v>0</v>
      </c>
      <c r="AC229" s="137">
        <f t="shared" si="98"/>
        <v>0</v>
      </c>
      <c r="AD229" s="137">
        <f t="shared" si="98"/>
        <v>0</v>
      </c>
      <c r="AE229" s="137">
        <f t="shared" si="98"/>
        <v>0</v>
      </c>
      <c r="AF229" s="138">
        <f t="shared" si="98"/>
        <v>0</v>
      </c>
      <c r="AG229" s="139">
        <f t="shared" si="98"/>
        <v>412.72299999999984</v>
      </c>
      <c r="AH229" s="47"/>
      <c r="AI229" s="48"/>
      <c r="AK229" s="50"/>
    </row>
    <row r="230" spans="1:37" ht="15.75" thickBot="1" x14ac:dyDescent="0.3">
      <c r="A230" s="26" t="s">
        <v>75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19"/>
      <c r="AH230" s="47"/>
      <c r="AI230" s="48"/>
      <c r="AK230" s="50"/>
    </row>
    <row r="231" spans="1:37" x14ac:dyDescent="0.25">
      <c r="A231" s="100" t="s">
        <v>236</v>
      </c>
      <c r="B231" s="141">
        <f t="shared" ref="B231:B236" si="99">AF231</f>
        <v>0.3</v>
      </c>
      <c r="C231" s="141">
        <v>0.3</v>
      </c>
      <c r="D231" s="141">
        <f t="shared" ref="D231:S236" si="100">C231</f>
        <v>0.3</v>
      </c>
      <c r="E231" s="141">
        <f t="shared" si="100"/>
        <v>0.3</v>
      </c>
      <c r="F231" s="141">
        <f t="shared" si="100"/>
        <v>0.3</v>
      </c>
      <c r="G231" s="141">
        <f t="shared" si="100"/>
        <v>0.3</v>
      </c>
      <c r="H231" s="141">
        <f t="shared" si="100"/>
        <v>0.3</v>
      </c>
      <c r="I231" s="141">
        <f t="shared" si="100"/>
        <v>0.3</v>
      </c>
      <c r="J231" s="141">
        <f t="shared" si="100"/>
        <v>0.3</v>
      </c>
      <c r="K231" s="141">
        <f t="shared" si="100"/>
        <v>0.3</v>
      </c>
      <c r="L231" s="141">
        <f t="shared" si="100"/>
        <v>0.3</v>
      </c>
      <c r="M231" s="141">
        <f t="shared" si="100"/>
        <v>0.3</v>
      </c>
      <c r="N231" s="141">
        <f t="shared" si="100"/>
        <v>0.3</v>
      </c>
      <c r="O231" s="141">
        <f t="shared" si="100"/>
        <v>0.3</v>
      </c>
      <c r="P231" s="141">
        <f t="shared" si="100"/>
        <v>0.3</v>
      </c>
      <c r="Q231" s="141">
        <f t="shared" si="100"/>
        <v>0.3</v>
      </c>
      <c r="R231" s="141">
        <f t="shared" si="100"/>
        <v>0.3</v>
      </c>
      <c r="S231" s="141">
        <f t="shared" si="100"/>
        <v>0.3</v>
      </c>
      <c r="T231" s="141">
        <f t="shared" ref="T231:AF236" si="101">S231</f>
        <v>0.3</v>
      </c>
      <c r="U231" s="141">
        <f t="shared" si="101"/>
        <v>0.3</v>
      </c>
      <c r="V231" s="141">
        <f t="shared" si="101"/>
        <v>0.3</v>
      </c>
      <c r="W231" s="141">
        <f t="shared" si="101"/>
        <v>0.3</v>
      </c>
      <c r="X231" s="141">
        <f t="shared" si="101"/>
        <v>0.3</v>
      </c>
      <c r="Y231" s="141">
        <f t="shared" si="101"/>
        <v>0.3</v>
      </c>
      <c r="Z231" s="141">
        <f t="shared" si="101"/>
        <v>0.3</v>
      </c>
      <c r="AA231" s="141">
        <f t="shared" si="101"/>
        <v>0.3</v>
      </c>
      <c r="AB231" s="141">
        <f t="shared" si="101"/>
        <v>0.3</v>
      </c>
      <c r="AC231" s="141">
        <f t="shared" si="101"/>
        <v>0.3</v>
      </c>
      <c r="AD231" s="141">
        <f t="shared" si="101"/>
        <v>0.3</v>
      </c>
      <c r="AE231" s="141">
        <f t="shared" si="101"/>
        <v>0.3</v>
      </c>
      <c r="AF231" s="141">
        <f t="shared" si="101"/>
        <v>0.3</v>
      </c>
      <c r="AG231" s="142">
        <v>2.4</v>
      </c>
      <c r="AH231" s="47"/>
      <c r="AI231" s="48"/>
      <c r="AK231" s="50"/>
    </row>
    <row r="232" spans="1:37" x14ac:dyDescent="0.25">
      <c r="A232" s="103" t="s">
        <v>237</v>
      </c>
      <c r="B232" s="129">
        <f t="shared" si="99"/>
        <v>0.4</v>
      </c>
      <c r="C232" s="129">
        <v>0.4</v>
      </c>
      <c r="D232" s="129">
        <f t="shared" si="100"/>
        <v>0.4</v>
      </c>
      <c r="E232" s="129">
        <f t="shared" si="100"/>
        <v>0.4</v>
      </c>
      <c r="F232" s="129">
        <f t="shared" si="100"/>
        <v>0.4</v>
      </c>
      <c r="G232" s="129">
        <f t="shared" si="100"/>
        <v>0.4</v>
      </c>
      <c r="H232" s="129">
        <f t="shared" si="100"/>
        <v>0.4</v>
      </c>
      <c r="I232" s="129">
        <f t="shared" si="100"/>
        <v>0.4</v>
      </c>
      <c r="J232" s="129">
        <f t="shared" si="100"/>
        <v>0.4</v>
      </c>
      <c r="K232" s="129">
        <f t="shared" si="100"/>
        <v>0.4</v>
      </c>
      <c r="L232" s="129">
        <f t="shared" si="100"/>
        <v>0.4</v>
      </c>
      <c r="M232" s="129">
        <f t="shared" si="100"/>
        <v>0.4</v>
      </c>
      <c r="N232" s="129">
        <f t="shared" si="100"/>
        <v>0.4</v>
      </c>
      <c r="O232" s="129">
        <f t="shared" si="100"/>
        <v>0.4</v>
      </c>
      <c r="P232" s="129">
        <f t="shared" si="100"/>
        <v>0.4</v>
      </c>
      <c r="Q232" s="129">
        <f t="shared" si="100"/>
        <v>0.4</v>
      </c>
      <c r="R232" s="129">
        <f t="shared" si="100"/>
        <v>0.4</v>
      </c>
      <c r="S232" s="129">
        <f t="shared" si="100"/>
        <v>0.4</v>
      </c>
      <c r="T232" s="129">
        <f t="shared" si="101"/>
        <v>0.4</v>
      </c>
      <c r="U232" s="129">
        <f t="shared" si="101"/>
        <v>0.4</v>
      </c>
      <c r="V232" s="129">
        <f t="shared" si="101"/>
        <v>0.4</v>
      </c>
      <c r="W232" s="129">
        <f t="shared" si="101"/>
        <v>0.4</v>
      </c>
      <c r="X232" s="129">
        <f t="shared" si="101"/>
        <v>0.4</v>
      </c>
      <c r="Y232" s="129">
        <f t="shared" si="101"/>
        <v>0.4</v>
      </c>
      <c r="Z232" s="129">
        <f t="shared" si="101"/>
        <v>0.4</v>
      </c>
      <c r="AA232" s="129">
        <f t="shared" si="101"/>
        <v>0.4</v>
      </c>
      <c r="AB232" s="129">
        <f t="shared" si="101"/>
        <v>0.4</v>
      </c>
      <c r="AC232" s="129">
        <f t="shared" si="101"/>
        <v>0.4</v>
      </c>
      <c r="AD232" s="129">
        <f t="shared" si="101"/>
        <v>0.4</v>
      </c>
      <c r="AE232" s="129">
        <f t="shared" si="101"/>
        <v>0.4</v>
      </c>
      <c r="AF232" s="129">
        <f t="shared" si="101"/>
        <v>0.4</v>
      </c>
      <c r="AG232" s="143">
        <v>2</v>
      </c>
      <c r="AH232" s="47"/>
      <c r="AI232" s="48"/>
      <c r="AK232" s="50"/>
    </row>
    <row r="233" spans="1:37" x14ac:dyDescent="0.25">
      <c r="A233" s="103" t="s">
        <v>238</v>
      </c>
      <c r="B233" s="129">
        <f t="shared" si="99"/>
        <v>1.5</v>
      </c>
      <c r="C233" s="129">
        <v>1.5</v>
      </c>
      <c r="D233" s="129">
        <f t="shared" si="100"/>
        <v>1.5</v>
      </c>
      <c r="E233" s="129">
        <f t="shared" si="100"/>
        <v>1.5</v>
      </c>
      <c r="F233" s="129">
        <f t="shared" si="100"/>
        <v>1.5</v>
      </c>
      <c r="G233" s="129">
        <f t="shared" si="100"/>
        <v>1.5</v>
      </c>
      <c r="H233" s="129">
        <f t="shared" si="100"/>
        <v>1.5</v>
      </c>
      <c r="I233" s="129">
        <f t="shared" si="100"/>
        <v>1.5</v>
      </c>
      <c r="J233" s="129">
        <f t="shared" si="100"/>
        <v>1.5</v>
      </c>
      <c r="K233" s="129">
        <f t="shared" si="100"/>
        <v>1.5</v>
      </c>
      <c r="L233" s="129">
        <f t="shared" si="100"/>
        <v>1.5</v>
      </c>
      <c r="M233" s="129">
        <f t="shared" si="100"/>
        <v>1.5</v>
      </c>
      <c r="N233" s="129">
        <f t="shared" si="100"/>
        <v>1.5</v>
      </c>
      <c r="O233" s="129">
        <f t="shared" si="100"/>
        <v>1.5</v>
      </c>
      <c r="P233" s="129">
        <f t="shared" si="100"/>
        <v>1.5</v>
      </c>
      <c r="Q233" s="129">
        <f t="shared" si="100"/>
        <v>1.5</v>
      </c>
      <c r="R233" s="129">
        <f t="shared" si="100"/>
        <v>1.5</v>
      </c>
      <c r="S233" s="129">
        <f t="shared" si="100"/>
        <v>1.5</v>
      </c>
      <c r="T233" s="129">
        <f t="shared" si="101"/>
        <v>1.5</v>
      </c>
      <c r="U233" s="129">
        <f t="shared" si="101"/>
        <v>1.5</v>
      </c>
      <c r="V233" s="129">
        <f t="shared" si="101"/>
        <v>1.5</v>
      </c>
      <c r="W233" s="129">
        <f t="shared" si="101"/>
        <v>1.5</v>
      </c>
      <c r="X233" s="129">
        <f t="shared" si="101"/>
        <v>1.5</v>
      </c>
      <c r="Y233" s="129">
        <f t="shared" si="101"/>
        <v>1.5</v>
      </c>
      <c r="Z233" s="129">
        <f t="shared" si="101"/>
        <v>1.5</v>
      </c>
      <c r="AA233" s="129">
        <f t="shared" si="101"/>
        <v>1.5</v>
      </c>
      <c r="AB233" s="129">
        <f t="shared" si="101"/>
        <v>1.5</v>
      </c>
      <c r="AC233" s="129">
        <f t="shared" si="101"/>
        <v>1.5</v>
      </c>
      <c r="AD233" s="129">
        <f t="shared" si="101"/>
        <v>1.5</v>
      </c>
      <c r="AE233" s="129">
        <f t="shared" si="101"/>
        <v>1.5</v>
      </c>
      <c r="AF233" s="129">
        <f t="shared" si="101"/>
        <v>1.5</v>
      </c>
      <c r="AG233" s="143">
        <v>1.5</v>
      </c>
      <c r="AH233" s="47"/>
      <c r="AI233" s="48"/>
      <c r="AK233" s="50"/>
    </row>
    <row r="234" spans="1:37" x14ac:dyDescent="0.25">
      <c r="A234" s="103" t="s">
        <v>239</v>
      </c>
      <c r="B234" s="129">
        <f t="shared" si="99"/>
        <v>0.3</v>
      </c>
      <c r="C234" s="129">
        <v>0.3</v>
      </c>
      <c r="D234" s="129">
        <f t="shared" si="100"/>
        <v>0.3</v>
      </c>
      <c r="E234" s="129">
        <f t="shared" si="100"/>
        <v>0.3</v>
      </c>
      <c r="F234" s="129">
        <f t="shared" si="100"/>
        <v>0.3</v>
      </c>
      <c r="G234" s="129">
        <f t="shared" si="100"/>
        <v>0.3</v>
      </c>
      <c r="H234" s="129">
        <f t="shared" si="100"/>
        <v>0.3</v>
      </c>
      <c r="I234" s="129">
        <f t="shared" si="100"/>
        <v>0.3</v>
      </c>
      <c r="J234" s="129">
        <f t="shared" si="100"/>
        <v>0.3</v>
      </c>
      <c r="K234" s="129">
        <f t="shared" si="100"/>
        <v>0.3</v>
      </c>
      <c r="L234" s="129">
        <f t="shared" si="100"/>
        <v>0.3</v>
      </c>
      <c r="M234" s="129">
        <f t="shared" si="100"/>
        <v>0.3</v>
      </c>
      <c r="N234" s="129">
        <f t="shared" si="100"/>
        <v>0.3</v>
      </c>
      <c r="O234" s="129">
        <f t="shared" si="100"/>
        <v>0.3</v>
      </c>
      <c r="P234" s="129">
        <f t="shared" si="100"/>
        <v>0.3</v>
      </c>
      <c r="Q234" s="129">
        <f t="shared" si="100"/>
        <v>0.3</v>
      </c>
      <c r="R234" s="129">
        <f t="shared" si="100"/>
        <v>0.3</v>
      </c>
      <c r="S234" s="129">
        <f t="shared" si="100"/>
        <v>0.3</v>
      </c>
      <c r="T234" s="129">
        <f t="shared" si="101"/>
        <v>0.3</v>
      </c>
      <c r="U234" s="129">
        <f t="shared" si="101"/>
        <v>0.3</v>
      </c>
      <c r="V234" s="129">
        <f t="shared" si="101"/>
        <v>0.3</v>
      </c>
      <c r="W234" s="129">
        <f t="shared" si="101"/>
        <v>0.3</v>
      </c>
      <c r="X234" s="129">
        <f t="shared" si="101"/>
        <v>0.3</v>
      </c>
      <c r="Y234" s="129">
        <f t="shared" si="101"/>
        <v>0.3</v>
      </c>
      <c r="Z234" s="129">
        <f t="shared" si="101"/>
        <v>0.3</v>
      </c>
      <c r="AA234" s="129">
        <f t="shared" si="101"/>
        <v>0.3</v>
      </c>
      <c r="AB234" s="129">
        <f t="shared" si="101"/>
        <v>0.3</v>
      </c>
      <c r="AC234" s="129">
        <f t="shared" si="101"/>
        <v>0.3</v>
      </c>
      <c r="AD234" s="129">
        <f t="shared" si="101"/>
        <v>0.3</v>
      </c>
      <c r="AE234" s="129">
        <f t="shared" si="101"/>
        <v>0.3</v>
      </c>
      <c r="AF234" s="129">
        <f t="shared" si="101"/>
        <v>0.3</v>
      </c>
      <c r="AG234" s="143">
        <v>1</v>
      </c>
      <c r="AH234" s="47"/>
      <c r="AI234" s="48"/>
      <c r="AK234" s="50"/>
    </row>
    <row r="235" spans="1:37" x14ac:dyDescent="0.25">
      <c r="A235" s="103" t="s">
        <v>240</v>
      </c>
      <c r="B235" s="129">
        <f t="shared" si="99"/>
        <v>0.4</v>
      </c>
      <c r="C235" s="129">
        <v>0.4</v>
      </c>
      <c r="D235" s="129">
        <f t="shared" si="100"/>
        <v>0.4</v>
      </c>
      <c r="E235" s="129">
        <f t="shared" si="100"/>
        <v>0.4</v>
      </c>
      <c r="F235" s="129">
        <f t="shared" si="100"/>
        <v>0.4</v>
      </c>
      <c r="G235" s="129">
        <f t="shared" si="100"/>
        <v>0.4</v>
      </c>
      <c r="H235" s="129">
        <f t="shared" si="100"/>
        <v>0.4</v>
      </c>
      <c r="I235" s="129">
        <f t="shared" si="100"/>
        <v>0.4</v>
      </c>
      <c r="J235" s="129">
        <f t="shared" si="100"/>
        <v>0.4</v>
      </c>
      <c r="K235" s="129">
        <f t="shared" si="100"/>
        <v>0.4</v>
      </c>
      <c r="L235" s="129">
        <f t="shared" si="100"/>
        <v>0.4</v>
      </c>
      <c r="M235" s="129">
        <f t="shared" si="100"/>
        <v>0.4</v>
      </c>
      <c r="N235" s="129">
        <f t="shared" si="100"/>
        <v>0.4</v>
      </c>
      <c r="O235" s="129">
        <f t="shared" si="100"/>
        <v>0.4</v>
      </c>
      <c r="P235" s="129">
        <f t="shared" si="100"/>
        <v>0.4</v>
      </c>
      <c r="Q235" s="129">
        <f t="shared" si="100"/>
        <v>0.4</v>
      </c>
      <c r="R235" s="129">
        <f t="shared" si="100"/>
        <v>0.4</v>
      </c>
      <c r="S235" s="129">
        <f t="shared" si="100"/>
        <v>0.4</v>
      </c>
      <c r="T235" s="129">
        <f t="shared" si="101"/>
        <v>0.4</v>
      </c>
      <c r="U235" s="129">
        <f t="shared" si="101"/>
        <v>0.4</v>
      </c>
      <c r="V235" s="129">
        <f t="shared" si="101"/>
        <v>0.4</v>
      </c>
      <c r="W235" s="129">
        <f t="shared" si="101"/>
        <v>0.4</v>
      </c>
      <c r="X235" s="129">
        <f t="shared" si="101"/>
        <v>0.4</v>
      </c>
      <c r="Y235" s="129">
        <f t="shared" si="101"/>
        <v>0.4</v>
      </c>
      <c r="Z235" s="129">
        <f t="shared" si="101"/>
        <v>0.4</v>
      </c>
      <c r="AA235" s="129">
        <f t="shared" si="101"/>
        <v>0.4</v>
      </c>
      <c r="AB235" s="129">
        <f t="shared" si="101"/>
        <v>0.4</v>
      </c>
      <c r="AC235" s="129">
        <f t="shared" si="101"/>
        <v>0.4</v>
      </c>
      <c r="AD235" s="129">
        <f t="shared" si="101"/>
        <v>0.4</v>
      </c>
      <c r="AE235" s="129">
        <f t="shared" si="101"/>
        <v>0.4</v>
      </c>
      <c r="AF235" s="129">
        <f t="shared" si="101"/>
        <v>0.4</v>
      </c>
      <c r="AG235" s="143">
        <v>1</v>
      </c>
      <c r="AH235" s="47"/>
      <c r="AI235" s="48"/>
      <c r="AK235" s="50"/>
    </row>
    <row r="236" spans="1:37" ht="15.75" thickBot="1" x14ac:dyDescent="0.3">
      <c r="A236" s="116" t="s">
        <v>241</v>
      </c>
      <c r="B236" s="133">
        <f t="shared" si="99"/>
        <v>0.64</v>
      </c>
      <c r="C236" s="133">
        <v>0.64</v>
      </c>
      <c r="D236" s="133">
        <f t="shared" si="100"/>
        <v>0.64</v>
      </c>
      <c r="E236" s="133">
        <f t="shared" si="100"/>
        <v>0.64</v>
      </c>
      <c r="F236" s="133">
        <f t="shared" si="100"/>
        <v>0.64</v>
      </c>
      <c r="G236" s="133">
        <f t="shared" si="100"/>
        <v>0.64</v>
      </c>
      <c r="H236" s="133">
        <f t="shared" si="100"/>
        <v>0.64</v>
      </c>
      <c r="I236" s="133">
        <f t="shared" si="100"/>
        <v>0.64</v>
      </c>
      <c r="J236" s="133">
        <f t="shared" si="100"/>
        <v>0.64</v>
      </c>
      <c r="K236" s="133">
        <f t="shared" si="100"/>
        <v>0.64</v>
      </c>
      <c r="L236" s="133">
        <f t="shared" si="100"/>
        <v>0.64</v>
      </c>
      <c r="M236" s="133">
        <f t="shared" si="100"/>
        <v>0.64</v>
      </c>
      <c r="N236" s="133">
        <f t="shared" si="100"/>
        <v>0.64</v>
      </c>
      <c r="O236" s="133">
        <f t="shared" si="100"/>
        <v>0.64</v>
      </c>
      <c r="P236" s="133">
        <f t="shared" si="100"/>
        <v>0.64</v>
      </c>
      <c r="Q236" s="133">
        <f t="shared" si="100"/>
        <v>0.64</v>
      </c>
      <c r="R236" s="133">
        <f t="shared" si="100"/>
        <v>0.64</v>
      </c>
      <c r="S236" s="133">
        <f t="shared" si="100"/>
        <v>0.64</v>
      </c>
      <c r="T236" s="133">
        <f t="shared" si="101"/>
        <v>0.64</v>
      </c>
      <c r="U236" s="133">
        <f t="shared" si="101"/>
        <v>0.64</v>
      </c>
      <c r="V236" s="133">
        <f t="shared" si="101"/>
        <v>0.64</v>
      </c>
      <c r="W236" s="133">
        <f t="shared" si="101"/>
        <v>0.64</v>
      </c>
      <c r="X236" s="133">
        <f t="shared" si="101"/>
        <v>0.64</v>
      </c>
      <c r="Y236" s="133">
        <f t="shared" si="101"/>
        <v>0.64</v>
      </c>
      <c r="Z236" s="133">
        <f t="shared" si="101"/>
        <v>0.64</v>
      </c>
      <c r="AA236" s="133">
        <f t="shared" si="101"/>
        <v>0.64</v>
      </c>
      <c r="AB236" s="133">
        <f t="shared" si="101"/>
        <v>0.64</v>
      </c>
      <c r="AC236" s="133">
        <f t="shared" si="101"/>
        <v>0.64</v>
      </c>
      <c r="AD236" s="133">
        <f t="shared" si="101"/>
        <v>0.64</v>
      </c>
      <c r="AE236" s="133">
        <f t="shared" si="101"/>
        <v>0.64</v>
      </c>
      <c r="AF236" s="133">
        <f t="shared" si="101"/>
        <v>0.64</v>
      </c>
      <c r="AG236" s="144">
        <v>0.66</v>
      </c>
      <c r="AH236" s="47"/>
      <c r="AI236" s="48"/>
    </row>
    <row r="237" spans="1:37" ht="15.75" thickBot="1" x14ac:dyDescent="0.3">
      <c r="A237" s="145" t="s">
        <v>75</v>
      </c>
      <c r="B237" s="137">
        <f t="shared" ref="B237:AG237" si="102">SUM(B231:B236)</f>
        <v>3.54</v>
      </c>
      <c r="C237" s="137">
        <f t="shared" si="102"/>
        <v>3.54</v>
      </c>
      <c r="D237" s="137">
        <f t="shared" si="102"/>
        <v>3.54</v>
      </c>
      <c r="E237" s="137">
        <f t="shared" si="102"/>
        <v>3.54</v>
      </c>
      <c r="F237" s="137">
        <f t="shared" si="102"/>
        <v>3.54</v>
      </c>
      <c r="G237" s="137">
        <f t="shared" si="102"/>
        <v>3.54</v>
      </c>
      <c r="H237" s="137">
        <f t="shared" si="102"/>
        <v>3.54</v>
      </c>
      <c r="I237" s="137">
        <f t="shared" si="102"/>
        <v>3.54</v>
      </c>
      <c r="J237" s="137">
        <f t="shared" si="102"/>
        <v>3.54</v>
      </c>
      <c r="K237" s="137">
        <f t="shared" si="102"/>
        <v>3.54</v>
      </c>
      <c r="L237" s="137">
        <f t="shared" si="102"/>
        <v>3.54</v>
      </c>
      <c r="M237" s="137">
        <f t="shared" si="102"/>
        <v>3.54</v>
      </c>
      <c r="N237" s="137">
        <f t="shared" si="102"/>
        <v>3.54</v>
      </c>
      <c r="O237" s="137">
        <f t="shared" si="102"/>
        <v>3.54</v>
      </c>
      <c r="P237" s="137">
        <f t="shared" si="102"/>
        <v>3.54</v>
      </c>
      <c r="Q237" s="137">
        <f t="shared" si="102"/>
        <v>3.54</v>
      </c>
      <c r="R237" s="137">
        <f t="shared" si="102"/>
        <v>3.54</v>
      </c>
      <c r="S237" s="137">
        <f t="shared" si="102"/>
        <v>3.54</v>
      </c>
      <c r="T237" s="137">
        <f t="shared" si="102"/>
        <v>3.54</v>
      </c>
      <c r="U237" s="137">
        <f t="shared" si="102"/>
        <v>3.54</v>
      </c>
      <c r="V237" s="137">
        <f t="shared" si="102"/>
        <v>3.54</v>
      </c>
      <c r="W237" s="137">
        <f t="shared" si="102"/>
        <v>3.54</v>
      </c>
      <c r="X237" s="137">
        <f t="shared" si="102"/>
        <v>3.54</v>
      </c>
      <c r="Y237" s="137">
        <f t="shared" si="102"/>
        <v>3.54</v>
      </c>
      <c r="Z237" s="137">
        <f t="shared" si="102"/>
        <v>3.54</v>
      </c>
      <c r="AA237" s="137">
        <f t="shared" si="102"/>
        <v>3.54</v>
      </c>
      <c r="AB237" s="137">
        <f t="shared" si="102"/>
        <v>3.54</v>
      </c>
      <c r="AC237" s="137">
        <f t="shared" si="102"/>
        <v>3.54</v>
      </c>
      <c r="AD237" s="137">
        <f t="shared" si="102"/>
        <v>3.54</v>
      </c>
      <c r="AE237" s="137">
        <f t="shared" si="102"/>
        <v>3.54</v>
      </c>
      <c r="AF237" s="137">
        <f t="shared" si="102"/>
        <v>3.54</v>
      </c>
      <c r="AG237" s="146">
        <f t="shared" si="102"/>
        <v>8.56</v>
      </c>
      <c r="AH237" s="47"/>
      <c r="AI237" s="48"/>
    </row>
    <row r="238" spans="1:37" ht="15.75" thickBot="1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140"/>
      <c r="AH238" s="43"/>
    </row>
    <row r="239" spans="1:37" x14ac:dyDescent="0.25">
      <c r="A239" s="147" t="s">
        <v>242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9"/>
      <c r="AG239" s="43"/>
      <c r="AH239" s="47"/>
      <c r="AI239" s="48"/>
    </row>
    <row r="240" spans="1:37" x14ac:dyDescent="0.25">
      <c r="A240" s="150" t="s">
        <v>243</v>
      </c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2"/>
      <c r="AG240" s="153"/>
      <c r="AH240" s="47"/>
      <c r="AI240" s="48"/>
    </row>
    <row r="241" spans="1:50" x14ac:dyDescent="0.25">
      <c r="A241" s="154" t="s">
        <v>244</v>
      </c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6"/>
      <c r="AG241" s="153"/>
      <c r="AH241" s="47"/>
      <c r="AI241" s="48"/>
    </row>
    <row r="242" spans="1:50" x14ac:dyDescent="0.25">
      <c r="A242" s="154" t="s">
        <v>245</v>
      </c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6"/>
      <c r="AG242" s="153"/>
      <c r="AH242" s="47"/>
      <c r="AI242" s="48"/>
    </row>
    <row r="243" spans="1:50" ht="15.75" thickBot="1" x14ac:dyDescent="0.3">
      <c r="A243" s="157" t="s">
        <v>246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9"/>
      <c r="AG243" s="153"/>
      <c r="AH243" s="47"/>
      <c r="AI243" s="48"/>
    </row>
    <row r="244" spans="1:50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0" t="s">
        <v>247</v>
      </c>
      <c r="B246" s="161">
        <f>MAX(G91:N91)</f>
        <v>1618.1399999999996</v>
      </c>
      <c r="C246" s="162">
        <f>INDEX(G9:N9,1,MATCH(MAX(G91:N91),G91:N91,0))</f>
        <v>0.33333333333333331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63" t="str">
        <f ca="1">MID(CELL("filename",C7),FIND("]",CELL("filename",C7))+1,600)</f>
        <v>10</v>
      </c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233" t="s">
        <v>248</v>
      </c>
      <c r="B248" s="233"/>
      <c r="C248" s="43"/>
      <c r="D248" s="163" t="str">
        <f ca="1">"Pie Chart of Daily Peak Demand(Inclusive of Export) of Nepal ("&amp;A4&amp;" "&amp;B4&amp;")"</f>
        <v>Pie Chart of Daily Peak Demand(Inclusive of Export) of Nepal (Nepali Date: 2080/09/10)</v>
      </c>
      <c r="E248" s="43"/>
      <c r="F248" s="43"/>
      <c r="G248" s="16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3" t="str">
        <f ca="1">"Daily Load Curve(Excluding of Export) of Nepal ("&amp;A4&amp;" "&amp;B4&amp;")"</f>
        <v>Daily Load Curve(Excluding of Export) of Nepal (Nepali Date: 2080/09/10)</v>
      </c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ht="12.75" customHeight="1" thickBot="1" x14ac:dyDescent="0.3">
      <c r="A249" s="164" t="s">
        <v>7</v>
      </c>
      <c r="B249" s="165"/>
      <c r="C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ht="15.75" thickTop="1" x14ac:dyDescent="0.25">
      <c r="A250" s="164" t="s">
        <v>249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66" t="s">
        <v>250</v>
      </c>
      <c r="T250" s="167">
        <v>0</v>
      </c>
      <c r="U250" s="168">
        <v>4.1666666666666664E-2</v>
      </c>
      <c r="V250" s="169">
        <v>8.3333333333333301E-2</v>
      </c>
      <c r="W250" s="169">
        <v>0.125</v>
      </c>
      <c r="X250" s="169">
        <v>0.16666666666666699</v>
      </c>
      <c r="Y250" s="169">
        <v>0.20833333333333301</v>
      </c>
      <c r="Z250" s="169">
        <v>0.22916666666666666</v>
      </c>
      <c r="AA250" s="169">
        <v>0.25</v>
      </c>
      <c r="AB250" s="169">
        <v>0.27083333333333331</v>
      </c>
      <c r="AC250" s="169">
        <v>0.29166666666666669</v>
      </c>
      <c r="AD250" s="169">
        <v>0.3125</v>
      </c>
      <c r="AE250" s="170">
        <v>0.33333333333333331</v>
      </c>
      <c r="AF250" s="170">
        <v>0.375</v>
      </c>
      <c r="AG250" s="170">
        <v>0.41666666666666702</v>
      </c>
      <c r="AH250" s="170">
        <v>0.45833333333333298</v>
      </c>
      <c r="AI250" s="170">
        <v>0.5</v>
      </c>
      <c r="AJ250" s="170">
        <v>0.54166666666666696</v>
      </c>
      <c r="AK250" s="170">
        <v>0.58333333333333304</v>
      </c>
      <c r="AL250" s="170">
        <v>0.625</v>
      </c>
      <c r="AM250" s="170">
        <v>0.66666666666666696</v>
      </c>
      <c r="AN250" s="170">
        <v>0.70833333333333304</v>
      </c>
      <c r="AO250" s="170">
        <v>0.72916666666666663</v>
      </c>
      <c r="AP250" s="170">
        <v>0.75</v>
      </c>
      <c r="AQ250" s="170">
        <v>0.77083333333333337</v>
      </c>
      <c r="AR250" s="170">
        <v>0.79166666666666663</v>
      </c>
      <c r="AS250" s="170">
        <v>0.8125</v>
      </c>
      <c r="AT250" s="169">
        <v>0.83333333333333337</v>
      </c>
      <c r="AU250" s="169">
        <v>0.85416666666666663</v>
      </c>
      <c r="AV250" s="169">
        <v>0.875</v>
      </c>
      <c r="AW250" s="169">
        <v>0.91666666666666696</v>
      </c>
      <c r="AX250" s="169">
        <v>0.95833333333333304</v>
      </c>
    </row>
    <row r="251" spans="1:50" x14ac:dyDescent="0.25">
      <c r="A251" s="164" t="s">
        <v>251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 t="s">
        <v>252</v>
      </c>
      <c r="T251" s="171">
        <f t="shared" ref="T251:AX251" si="103">B91</f>
        <v>1053.04</v>
      </c>
      <c r="U251" s="171">
        <f t="shared" si="103"/>
        <v>1028.04</v>
      </c>
      <c r="V251" s="171">
        <f t="shared" si="103"/>
        <v>1007.0399999999998</v>
      </c>
      <c r="W251" s="171">
        <f t="shared" si="103"/>
        <v>1023.5399999999998</v>
      </c>
      <c r="X251" s="171">
        <f t="shared" si="103"/>
        <v>1018.3399999999999</v>
      </c>
      <c r="Y251" s="171">
        <f t="shared" si="103"/>
        <v>1091.8399999999999</v>
      </c>
      <c r="Z251" s="171">
        <f t="shared" si="103"/>
        <v>1203.9399999999998</v>
      </c>
      <c r="AA251" s="171">
        <f t="shared" si="103"/>
        <v>1237.7399999999998</v>
      </c>
      <c r="AB251" s="171">
        <f t="shared" si="103"/>
        <v>1313.2399999999998</v>
      </c>
      <c r="AC251" s="171">
        <f t="shared" si="103"/>
        <v>1462.9399999999998</v>
      </c>
      <c r="AD251" s="171">
        <f t="shared" si="103"/>
        <v>1566.24</v>
      </c>
      <c r="AE251" s="171">
        <f t="shared" si="103"/>
        <v>1618.1399999999996</v>
      </c>
      <c r="AF251" s="171">
        <f t="shared" si="103"/>
        <v>1551.84</v>
      </c>
      <c r="AG251" s="171">
        <f t="shared" si="103"/>
        <v>1534.2399999999998</v>
      </c>
      <c r="AH251" s="171">
        <f t="shared" si="103"/>
        <v>1429.34</v>
      </c>
      <c r="AI251" s="171">
        <f t="shared" si="103"/>
        <v>1375.34</v>
      </c>
      <c r="AJ251" s="171">
        <f t="shared" si="103"/>
        <v>1249.2399999999998</v>
      </c>
      <c r="AK251" s="171">
        <f t="shared" si="103"/>
        <v>1210.04</v>
      </c>
      <c r="AL251" s="171">
        <f t="shared" si="103"/>
        <v>1223.0399999999997</v>
      </c>
      <c r="AM251" s="171">
        <f t="shared" si="103"/>
        <v>1335.9399999999998</v>
      </c>
      <c r="AN251" s="171">
        <f t="shared" si="103"/>
        <v>1272.4399999999998</v>
      </c>
      <c r="AO251" s="171">
        <f t="shared" si="103"/>
        <v>1586.94</v>
      </c>
      <c r="AP251" s="171">
        <f t="shared" si="103"/>
        <v>1691.5</v>
      </c>
      <c r="AQ251" s="171">
        <f t="shared" si="103"/>
        <v>1634.3400000000001</v>
      </c>
      <c r="AR251" s="171">
        <f t="shared" si="103"/>
        <v>1589.6399999999999</v>
      </c>
      <c r="AS251" s="171">
        <f t="shared" si="103"/>
        <v>1538.6399999999999</v>
      </c>
      <c r="AT251" s="171">
        <f t="shared" si="103"/>
        <v>1434.54</v>
      </c>
      <c r="AU251" s="171">
        <f t="shared" si="103"/>
        <v>1384.94</v>
      </c>
      <c r="AV251" s="171">
        <f t="shared" si="103"/>
        <v>1295.6400000000001</v>
      </c>
      <c r="AW251" s="171">
        <f t="shared" si="103"/>
        <v>1141.94</v>
      </c>
      <c r="AX251" s="171">
        <f t="shared" si="103"/>
        <v>1046.94</v>
      </c>
    </row>
    <row r="252" spans="1:50" x14ac:dyDescent="0.25">
      <c r="A252" s="164" t="s">
        <v>253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254</v>
      </c>
      <c r="B253" s="16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255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A255" s="164" t="s">
        <v>256</v>
      </c>
      <c r="B255" s="17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A256" s="164" t="s">
        <v>257</v>
      </c>
      <c r="B256" s="16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A272" s="173" t="s">
        <v>242</v>
      </c>
      <c r="B272" s="174">
        <f t="shared" ref="B272:AE272" si="104">C236</f>
        <v>0.64</v>
      </c>
      <c r="C272" s="174">
        <f t="shared" si="104"/>
        <v>0.64</v>
      </c>
      <c r="D272" s="174">
        <f t="shared" si="104"/>
        <v>0.64</v>
      </c>
      <c r="E272" s="174">
        <f t="shared" si="104"/>
        <v>0.64</v>
      </c>
      <c r="F272" s="174">
        <f t="shared" si="104"/>
        <v>0.64</v>
      </c>
      <c r="G272" s="174">
        <f t="shared" si="104"/>
        <v>0.64</v>
      </c>
      <c r="H272" s="174">
        <f t="shared" si="104"/>
        <v>0.64</v>
      </c>
      <c r="I272" s="174">
        <f t="shared" si="104"/>
        <v>0.64</v>
      </c>
      <c r="J272" s="174">
        <f t="shared" si="104"/>
        <v>0.64</v>
      </c>
      <c r="K272" s="174">
        <f t="shared" si="104"/>
        <v>0.64</v>
      </c>
      <c r="L272" s="174">
        <f t="shared" si="104"/>
        <v>0.64</v>
      </c>
      <c r="M272" s="174">
        <f t="shared" si="104"/>
        <v>0.64</v>
      </c>
      <c r="N272" s="174">
        <f t="shared" si="104"/>
        <v>0.64</v>
      </c>
      <c r="O272" s="174">
        <f t="shared" si="104"/>
        <v>0.64</v>
      </c>
      <c r="P272" s="174">
        <f t="shared" si="104"/>
        <v>0.64</v>
      </c>
      <c r="Q272" s="174">
        <f t="shared" si="104"/>
        <v>0.64</v>
      </c>
      <c r="R272" s="174">
        <f t="shared" si="104"/>
        <v>0.64</v>
      </c>
      <c r="S272" s="174">
        <f t="shared" si="104"/>
        <v>0.64</v>
      </c>
      <c r="T272" s="174">
        <f t="shared" si="104"/>
        <v>0.64</v>
      </c>
      <c r="U272" s="174">
        <f t="shared" si="104"/>
        <v>0.64</v>
      </c>
      <c r="V272" s="174">
        <f t="shared" si="104"/>
        <v>0.64</v>
      </c>
      <c r="W272" s="174">
        <f t="shared" si="104"/>
        <v>0.64</v>
      </c>
      <c r="X272" s="174">
        <f t="shared" si="104"/>
        <v>0.64</v>
      </c>
      <c r="Y272" s="174">
        <f t="shared" si="104"/>
        <v>0.64</v>
      </c>
      <c r="Z272" s="174">
        <f t="shared" si="104"/>
        <v>0.64</v>
      </c>
      <c r="AA272" s="174">
        <f t="shared" si="104"/>
        <v>0.64</v>
      </c>
      <c r="AB272" s="174">
        <f t="shared" si="104"/>
        <v>0.64</v>
      </c>
      <c r="AC272" s="174">
        <f t="shared" si="104"/>
        <v>0.64</v>
      </c>
      <c r="AD272" s="174">
        <f t="shared" si="104"/>
        <v>0.64</v>
      </c>
      <c r="AE272" s="174">
        <f t="shared" si="104"/>
        <v>0.64</v>
      </c>
      <c r="AF272" s="174">
        <f>B236</f>
        <v>0.64</v>
      </c>
      <c r="AG272" s="43"/>
      <c r="AH272" s="43"/>
    </row>
    <row r="273" spans="1:34" x14ac:dyDescent="0.25">
      <c r="A273" s="175" t="str">
        <f>A240</f>
        <v>KGA</v>
      </c>
      <c r="B273" s="175" t="str">
        <f t="shared" ref="B273:AF273" si="105">IF(B240&lt;100,"",B240-520)</f>
        <v/>
      </c>
      <c r="C273" s="175" t="str">
        <f t="shared" si="105"/>
        <v/>
      </c>
      <c r="D273" s="175" t="str">
        <f t="shared" si="105"/>
        <v/>
      </c>
      <c r="E273" s="175" t="str">
        <f t="shared" si="105"/>
        <v/>
      </c>
      <c r="F273" s="175" t="str">
        <f t="shared" si="105"/>
        <v/>
      </c>
      <c r="G273" s="175" t="str">
        <f t="shared" si="105"/>
        <v/>
      </c>
      <c r="H273" s="175" t="str">
        <f t="shared" si="105"/>
        <v/>
      </c>
      <c r="I273" s="175" t="str">
        <f t="shared" si="105"/>
        <v/>
      </c>
      <c r="J273" s="175" t="str">
        <f t="shared" si="105"/>
        <v/>
      </c>
      <c r="K273" s="175" t="str">
        <f t="shared" si="105"/>
        <v/>
      </c>
      <c r="L273" s="175" t="str">
        <f t="shared" si="105"/>
        <v/>
      </c>
      <c r="M273" s="175" t="str">
        <f t="shared" si="105"/>
        <v/>
      </c>
      <c r="N273" s="175" t="str">
        <f t="shared" si="105"/>
        <v/>
      </c>
      <c r="O273" s="175" t="str">
        <f t="shared" si="105"/>
        <v/>
      </c>
      <c r="P273" s="175" t="str">
        <f t="shared" si="105"/>
        <v/>
      </c>
      <c r="Q273" s="175" t="str">
        <f t="shared" si="105"/>
        <v/>
      </c>
      <c r="R273" s="175" t="str">
        <f t="shared" si="105"/>
        <v/>
      </c>
      <c r="S273" s="175" t="str">
        <f t="shared" si="105"/>
        <v/>
      </c>
      <c r="T273" s="175" t="str">
        <f t="shared" si="105"/>
        <v/>
      </c>
      <c r="U273" s="175" t="str">
        <f t="shared" si="105"/>
        <v/>
      </c>
      <c r="V273" s="175" t="str">
        <f t="shared" si="105"/>
        <v/>
      </c>
      <c r="W273" s="175" t="str">
        <f t="shared" si="105"/>
        <v/>
      </c>
      <c r="X273" s="175" t="str">
        <f t="shared" si="105"/>
        <v/>
      </c>
      <c r="Y273" s="175" t="str">
        <f t="shared" si="105"/>
        <v/>
      </c>
      <c r="Z273" s="175" t="str">
        <f t="shared" si="105"/>
        <v/>
      </c>
      <c r="AA273" s="175" t="str">
        <f t="shared" si="105"/>
        <v/>
      </c>
      <c r="AB273" s="175" t="str">
        <f t="shared" si="105"/>
        <v/>
      </c>
      <c r="AC273" s="175" t="str">
        <f t="shared" si="105"/>
        <v/>
      </c>
      <c r="AD273" s="175" t="str">
        <f t="shared" si="105"/>
        <v/>
      </c>
      <c r="AE273" s="175" t="str">
        <f t="shared" si="105"/>
        <v/>
      </c>
      <c r="AF273" s="175" t="str">
        <f t="shared" si="105"/>
        <v/>
      </c>
      <c r="AG273" s="43"/>
      <c r="AH273" s="43"/>
    </row>
    <row r="274" spans="1:34" x14ac:dyDescent="0.25">
      <c r="A274" s="175" t="str">
        <f>A241</f>
        <v>MMRS</v>
      </c>
      <c r="B274" s="175" t="str">
        <f t="shared" ref="B274:AF274" si="106">IF(B241&lt;100,"",B241-620)</f>
        <v/>
      </c>
      <c r="C274" s="175" t="str">
        <f t="shared" si="106"/>
        <v/>
      </c>
      <c r="D274" s="175" t="str">
        <f t="shared" si="106"/>
        <v/>
      </c>
      <c r="E274" s="175" t="str">
        <f t="shared" si="106"/>
        <v/>
      </c>
      <c r="F274" s="175" t="str">
        <f t="shared" si="106"/>
        <v/>
      </c>
      <c r="G274" s="175" t="str">
        <f t="shared" si="106"/>
        <v/>
      </c>
      <c r="H274" s="175" t="str">
        <f t="shared" si="106"/>
        <v/>
      </c>
      <c r="I274" s="175" t="str">
        <f t="shared" si="106"/>
        <v/>
      </c>
      <c r="J274" s="175" t="str">
        <f t="shared" si="106"/>
        <v/>
      </c>
      <c r="K274" s="175" t="str">
        <f t="shared" si="106"/>
        <v/>
      </c>
      <c r="L274" s="175" t="str">
        <f t="shared" si="106"/>
        <v/>
      </c>
      <c r="M274" s="175" t="str">
        <f t="shared" si="106"/>
        <v/>
      </c>
      <c r="N274" s="175" t="str">
        <f t="shared" si="106"/>
        <v/>
      </c>
      <c r="O274" s="175" t="str">
        <f t="shared" si="106"/>
        <v/>
      </c>
      <c r="P274" s="175" t="str">
        <f t="shared" si="106"/>
        <v/>
      </c>
      <c r="Q274" s="175" t="str">
        <f t="shared" si="106"/>
        <v/>
      </c>
      <c r="R274" s="175" t="str">
        <f t="shared" si="106"/>
        <v/>
      </c>
      <c r="S274" s="175" t="str">
        <f t="shared" si="106"/>
        <v/>
      </c>
      <c r="T274" s="175" t="str">
        <f t="shared" si="106"/>
        <v/>
      </c>
      <c r="U274" s="175" t="str">
        <f t="shared" si="106"/>
        <v/>
      </c>
      <c r="V274" s="175" t="str">
        <f t="shared" si="106"/>
        <v/>
      </c>
      <c r="W274" s="175" t="str">
        <f t="shared" si="106"/>
        <v/>
      </c>
      <c r="X274" s="175" t="str">
        <f t="shared" si="106"/>
        <v/>
      </c>
      <c r="Y274" s="175" t="str">
        <f t="shared" si="106"/>
        <v/>
      </c>
      <c r="Z274" s="175" t="str">
        <f t="shared" si="106"/>
        <v/>
      </c>
      <c r="AA274" s="175" t="str">
        <f t="shared" si="106"/>
        <v/>
      </c>
      <c r="AB274" s="175" t="str">
        <f t="shared" si="106"/>
        <v/>
      </c>
      <c r="AC274" s="175" t="str">
        <f t="shared" si="106"/>
        <v/>
      </c>
      <c r="AD274" s="175" t="str">
        <f t="shared" si="106"/>
        <v/>
      </c>
      <c r="AE274" s="175" t="str">
        <f t="shared" si="106"/>
        <v/>
      </c>
      <c r="AF274" s="175" t="str">
        <f t="shared" si="106"/>
        <v/>
      </c>
      <c r="AG274" s="43"/>
      <c r="AH274" s="43"/>
    </row>
    <row r="275" spans="1:34" x14ac:dyDescent="0.25">
      <c r="A275" s="175" t="str">
        <f>A242</f>
        <v>MRS</v>
      </c>
      <c r="B275" s="175" t="str">
        <f t="shared" ref="B275:AF275" si="107">IF(B242&lt;100,"",B242-330)</f>
        <v/>
      </c>
      <c r="C275" s="175" t="str">
        <f t="shared" si="107"/>
        <v/>
      </c>
      <c r="D275" s="175" t="str">
        <f t="shared" si="107"/>
        <v/>
      </c>
      <c r="E275" s="175" t="str">
        <f t="shared" si="107"/>
        <v/>
      </c>
      <c r="F275" s="175" t="str">
        <f t="shared" si="107"/>
        <v/>
      </c>
      <c r="G275" s="175" t="str">
        <f t="shared" si="107"/>
        <v/>
      </c>
      <c r="H275" s="175" t="str">
        <f t="shared" si="107"/>
        <v/>
      </c>
      <c r="I275" s="175" t="str">
        <f t="shared" si="107"/>
        <v/>
      </c>
      <c r="J275" s="175" t="str">
        <f t="shared" si="107"/>
        <v/>
      </c>
      <c r="K275" s="175" t="str">
        <f t="shared" si="107"/>
        <v/>
      </c>
      <c r="L275" s="175" t="str">
        <f t="shared" si="107"/>
        <v/>
      </c>
      <c r="M275" s="175" t="str">
        <f t="shared" si="107"/>
        <v/>
      </c>
      <c r="N275" s="175" t="str">
        <f t="shared" si="107"/>
        <v/>
      </c>
      <c r="O275" s="175" t="str">
        <f t="shared" si="107"/>
        <v/>
      </c>
      <c r="P275" s="175" t="str">
        <f t="shared" si="107"/>
        <v/>
      </c>
      <c r="Q275" s="175" t="str">
        <f t="shared" si="107"/>
        <v/>
      </c>
      <c r="R275" s="175" t="str">
        <f t="shared" si="107"/>
        <v/>
      </c>
      <c r="S275" s="175" t="str">
        <f t="shared" si="107"/>
        <v/>
      </c>
      <c r="T275" s="175" t="str">
        <f t="shared" si="107"/>
        <v/>
      </c>
      <c r="U275" s="175" t="str">
        <f t="shared" si="107"/>
        <v/>
      </c>
      <c r="V275" s="175" t="str">
        <f t="shared" si="107"/>
        <v/>
      </c>
      <c r="W275" s="175" t="str">
        <f t="shared" si="107"/>
        <v/>
      </c>
      <c r="X275" s="175" t="str">
        <f t="shared" si="107"/>
        <v/>
      </c>
      <c r="Y275" s="175" t="str">
        <f t="shared" si="107"/>
        <v/>
      </c>
      <c r="Z275" s="175" t="str">
        <f t="shared" si="107"/>
        <v/>
      </c>
      <c r="AA275" s="175" t="str">
        <f t="shared" si="107"/>
        <v/>
      </c>
      <c r="AB275" s="175" t="str">
        <f t="shared" si="107"/>
        <v/>
      </c>
      <c r="AC275" s="175" t="str">
        <f t="shared" si="107"/>
        <v/>
      </c>
      <c r="AD275" s="175" t="str">
        <f t="shared" si="107"/>
        <v/>
      </c>
      <c r="AE275" s="175" t="str">
        <f t="shared" si="107"/>
        <v/>
      </c>
      <c r="AF275" s="175" t="str">
        <f t="shared" si="107"/>
        <v/>
      </c>
      <c r="AG275" s="43"/>
      <c r="AH275" s="43"/>
    </row>
    <row r="276" spans="1:34" x14ac:dyDescent="0.25">
      <c r="A276" s="175" t="str">
        <f>A243</f>
        <v>KL 1</v>
      </c>
      <c r="B276" s="175" t="str">
        <f t="shared" ref="B276:AF276" si="108">IF(B243&lt;100,"",B243-1500)</f>
        <v/>
      </c>
      <c r="C276" s="175" t="str">
        <f t="shared" si="108"/>
        <v/>
      </c>
      <c r="D276" s="175" t="str">
        <f t="shared" si="108"/>
        <v/>
      </c>
      <c r="E276" s="175" t="str">
        <f t="shared" si="108"/>
        <v/>
      </c>
      <c r="F276" s="175" t="str">
        <f t="shared" si="108"/>
        <v/>
      </c>
      <c r="G276" s="175" t="str">
        <f t="shared" si="108"/>
        <v/>
      </c>
      <c r="H276" s="175" t="str">
        <f t="shared" si="108"/>
        <v/>
      </c>
      <c r="I276" s="175" t="str">
        <f t="shared" si="108"/>
        <v/>
      </c>
      <c r="J276" s="175" t="str">
        <f t="shared" si="108"/>
        <v/>
      </c>
      <c r="K276" s="175" t="str">
        <f t="shared" si="108"/>
        <v/>
      </c>
      <c r="L276" s="175" t="str">
        <f t="shared" si="108"/>
        <v/>
      </c>
      <c r="M276" s="175" t="str">
        <f t="shared" si="108"/>
        <v/>
      </c>
      <c r="N276" s="175" t="str">
        <f t="shared" si="108"/>
        <v/>
      </c>
      <c r="O276" s="175" t="str">
        <f t="shared" si="108"/>
        <v/>
      </c>
      <c r="P276" s="175" t="str">
        <f t="shared" si="108"/>
        <v/>
      </c>
      <c r="Q276" s="175" t="str">
        <f t="shared" si="108"/>
        <v/>
      </c>
      <c r="R276" s="175" t="str">
        <f t="shared" si="108"/>
        <v/>
      </c>
      <c r="S276" s="175" t="str">
        <f t="shared" si="108"/>
        <v/>
      </c>
      <c r="T276" s="175" t="str">
        <f t="shared" si="108"/>
        <v/>
      </c>
      <c r="U276" s="175" t="str">
        <f t="shared" si="108"/>
        <v/>
      </c>
      <c r="V276" s="175" t="str">
        <f t="shared" si="108"/>
        <v/>
      </c>
      <c r="W276" s="175" t="str">
        <f t="shared" si="108"/>
        <v/>
      </c>
      <c r="X276" s="175" t="str">
        <f t="shared" si="108"/>
        <v/>
      </c>
      <c r="Y276" s="175" t="str">
        <f t="shared" si="108"/>
        <v/>
      </c>
      <c r="Z276" s="175" t="str">
        <f t="shared" si="108"/>
        <v/>
      </c>
      <c r="AA276" s="175" t="str">
        <f t="shared" si="108"/>
        <v/>
      </c>
      <c r="AB276" s="175" t="str">
        <f t="shared" si="108"/>
        <v/>
      </c>
      <c r="AC276" s="175" t="str">
        <f t="shared" si="108"/>
        <v/>
      </c>
      <c r="AD276" s="175" t="str">
        <f t="shared" si="108"/>
        <v/>
      </c>
      <c r="AE276" s="175" t="str">
        <f t="shared" si="108"/>
        <v/>
      </c>
      <c r="AF276" s="175" t="str">
        <f t="shared" si="108"/>
        <v/>
      </c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1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</sheetData>
  <mergeCells count="49">
    <mergeCell ref="AN84:AN85"/>
    <mergeCell ref="A248:B24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phoneticPr fontId="34" type="noConversion"/>
  <conditionalFormatting sqref="A11:A238">
    <cfRule type="expression" dxfId="2643" priority="1">
      <formula>$AH11=0</formula>
    </cfRule>
  </conditionalFormatting>
  <conditionalFormatting sqref="B8 M8 S8 AB8">
    <cfRule type="expression" dxfId="2642" priority="119">
      <formula>AND(C$9&gt;=14/24,C$9&lt;20/24)</formula>
    </cfRule>
    <cfRule type="expression" dxfId="2641" priority="120">
      <formula>AND(C$9&gt;=8/24,C$9&lt;14/24)</formula>
    </cfRule>
    <cfRule type="expression" dxfId="2640" priority="121">
      <formula>C$9&lt;8/24</formula>
    </cfRule>
  </conditionalFormatting>
  <conditionalFormatting sqref="B54:L59 M55:R59 S58:W59 B111:AF122">
    <cfRule type="expression" dxfId="2639" priority="44">
      <formula>AND(B$9&gt;=14/24,B$9&lt;20/24)</formula>
    </cfRule>
    <cfRule type="expression" dxfId="2638" priority="45">
      <formula>AND(B$9&gt;=8/24,B$9&lt;14/24)</formula>
    </cfRule>
    <cfRule type="expression" dxfId="2637" priority="46">
      <formula>B$9&lt;8/24</formula>
    </cfRule>
  </conditionalFormatting>
  <conditionalFormatting sqref="B54:L59 S58:W59 M55:R59 B111:AF122">
    <cfRule type="expression" dxfId="2636" priority="43">
      <formula>B$9&gt;=20/24</formula>
    </cfRule>
  </conditionalFormatting>
  <conditionalFormatting sqref="B54:L66">
    <cfRule type="expression" dxfId="2635" priority="38">
      <formula>B54&gt;$AG54</formula>
    </cfRule>
  </conditionalFormatting>
  <conditionalFormatting sqref="B60:W60">
    <cfRule type="expression" dxfId="2634" priority="59">
      <formula>B$9&lt;8/24</formula>
    </cfRule>
    <cfRule type="expression" dxfId="2633" priority="56">
      <formula>B$9&gt;=20/24</formula>
    </cfRule>
    <cfRule type="expression" dxfId="2632" priority="57">
      <formula>AND(B$9&gt;=14/24,B$9&lt;20/24)</formula>
    </cfRule>
    <cfRule type="expression" dxfId="2631" priority="58">
      <formula>AND(B$9&gt;=8/24,B$9&lt;14/24)</formula>
    </cfRule>
  </conditionalFormatting>
  <conditionalFormatting sqref="B9:AF45">
    <cfRule type="expression" dxfId="2630" priority="28">
      <formula>B$9&gt;=20/24</formula>
    </cfRule>
    <cfRule type="expression" dxfId="2629" priority="29">
      <formula>AND(B$9&gt;=14/24,B$9&lt;20/24)</formula>
    </cfRule>
    <cfRule type="expression" dxfId="2628" priority="30">
      <formula>AND(B$9&gt;=8/24,B$9&lt;14/24)</formula>
    </cfRule>
    <cfRule type="expression" dxfId="2627" priority="31">
      <formula>B$9&lt;8/24</formula>
    </cfRule>
  </conditionalFormatting>
  <conditionalFormatting sqref="B11:AF46">
    <cfRule type="expression" dxfId="2626" priority="27">
      <formula>B11&gt;$AG11</formula>
    </cfRule>
  </conditionalFormatting>
  <conditionalFormatting sqref="B46:AF46">
    <cfRule type="expression" dxfId="2625" priority="23">
      <formula>B$9&gt;=20/24</formula>
    </cfRule>
    <cfRule type="expression" dxfId="2624" priority="24">
      <formula>AND(B$9&gt;=14/24,B$9&lt;20/24)</formula>
    </cfRule>
    <cfRule type="expression" dxfId="2623" priority="25">
      <formula>AND(B$9&gt;=8/24,B$9&lt;14/24)</formula>
    </cfRule>
    <cfRule type="expression" dxfId="2622" priority="26">
      <formula>B$9&lt;8/24</formula>
    </cfRule>
  </conditionalFormatting>
  <conditionalFormatting sqref="B47:AF47">
    <cfRule type="expression" dxfId="2621" priority="37">
      <formula>B47&gt;$AG47</formula>
    </cfRule>
  </conditionalFormatting>
  <conditionalFormatting sqref="B47:AF49">
    <cfRule type="expression" dxfId="2620" priority="36">
      <formula>B$9&lt;8/24</formula>
    </cfRule>
    <cfRule type="expression" dxfId="2619" priority="33">
      <formula>B$9&gt;=20/24</formula>
    </cfRule>
    <cfRule type="expression" dxfId="2618" priority="34">
      <formula>AND(B$9&gt;=14/24,B$9&lt;20/24)</formula>
    </cfRule>
    <cfRule type="expression" dxfId="2617" priority="35">
      <formula>AND(B$9&gt;=8/24,B$9&lt;14/24)</formula>
    </cfRule>
  </conditionalFormatting>
  <conditionalFormatting sqref="B48:AF53">
    <cfRule type="expression" dxfId="2616" priority="32">
      <formula>B48&gt;$AG48</formula>
    </cfRule>
  </conditionalFormatting>
  <conditionalFormatting sqref="B51:AF53">
    <cfRule type="expression" dxfId="2615" priority="54">
      <formula>AND(B$9&gt;=8/24,B$9&lt;14/24)</formula>
    </cfRule>
    <cfRule type="expression" dxfId="2614" priority="55">
      <formula>B$9&lt;8/24</formula>
    </cfRule>
    <cfRule type="expression" dxfId="2613" priority="52">
      <formula>B$9&gt;=20/24</formula>
    </cfRule>
    <cfRule type="expression" dxfId="2612" priority="53">
      <formula>AND(B$9&gt;=14/24,B$9&lt;20/24)</formula>
    </cfRule>
  </conditionalFormatting>
  <conditionalFormatting sqref="B61:AF66">
    <cfRule type="expression" dxfId="2611" priority="41">
      <formula>AND(B$9&gt;=8/24,B$9&lt;14/24)</formula>
    </cfRule>
    <cfRule type="expression" dxfId="2610" priority="42">
      <formula>B$9&lt;8/24</formula>
    </cfRule>
    <cfRule type="expression" dxfId="2609" priority="39">
      <formula>B$9&gt;=20/24</formula>
    </cfRule>
    <cfRule type="expression" dxfId="2608" priority="40">
      <formula>AND(B$9&gt;=14/24,B$9&lt;20/24)</formula>
    </cfRule>
  </conditionalFormatting>
  <conditionalFormatting sqref="B69:AF71">
    <cfRule type="expression" dxfId="2607" priority="60">
      <formula>B69&gt;$AG69</formula>
    </cfRule>
    <cfRule type="expression" dxfId="2606" priority="61">
      <formula>B$9&gt;=20/24</formula>
    </cfRule>
    <cfRule type="expression" dxfId="2605" priority="62">
      <formula>AND(B$9&gt;=14/24,B$9&lt;20/24)</formula>
    </cfRule>
    <cfRule type="expression" dxfId="2604" priority="63">
      <formula>AND(B$9&gt;=8/24,B$9&lt;14/24)</formula>
    </cfRule>
    <cfRule type="expression" dxfId="2603" priority="64">
      <formula>B$9&lt;8/24</formula>
    </cfRule>
  </conditionalFormatting>
  <conditionalFormatting sqref="B73:AF91">
    <cfRule type="expression" dxfId="2602" priority="6">
      <formula>B$9&gt;=20/24</formula>
    </cfRule>
    <cfRule type="expression" dxfId="2601" priority="8">
      <formula>AND(B$9&gt;=8/24,B$9&lt;14/24)</formula>
    </cfRule>
    <cfRule type="expression" dxfId="2600" priority="9">
      <formula>B$9&lt;8/24</formula>
    </cfRule>
    <cfRule type="expression" dxfId="2599" priority="7">
      <formula>AND(B$9&gt;=14/24,B$9&lt;20/24)</formula>
    </cfRule>
  </conditionalFormatting>
  <conditionalFormatting sqref="B93:AF109">
    <cfRule type="expression" dxfId="2598" priority="3">
      <formula>AND(B$9&gt;=14/24,B$9&lt;20/24)</formula>
    </cfRule>
    <cfRule type="expression" dxfId="2597" priority="4">
      <formula>AND(B$9&gt;=8/24,B$9&lt;14/24)</formula>
    </cfRule>
    <cfRule type="expression" dxfId="2596" priority="5">
      <formula>B$9&lt;8/24</formula>
    </cfRule>
    <cfRule type="expression" dxfId="2595" priority="2">
      <formula>B$9&gt;=20/24</formula>
    </cfRule>
  </conditionalFormatting>
  <conditionalFormatting sqref="B229:AF229 B231:B237 D231:AF237 U250:AF250">
    <cfRule type="expression" dxfId="2594" priority="115">
      <formula>B$9&lt;8/24</formula>
    </cfRule>
    <cfRule type="expression" dxfId="2593" priority="112">
      <formula>B$9&gt;=20/24</formula>
    </cfRule>
    <cfRule type="expression" dxfId="2592" priority="113">
      <formula>AND(B$9&gt;=14/24,B$9&lt;20/24)</formula>
    </cfRule>
    <cfRule type="expression" dxfId="2591" priority="114">
      <formula>AND(B$9&gt;=8/24,B$9&lt;14/24)</formula>
    </cfRule>
  </conditionalFormatting>
  <conditionalFormatting sqref="B67:AG68 B72:AG72">
    <cfRule type="expression" dxfId="2590" priority="47">
      <formula>B67&gt;$AG67</formula>
    </cfRule>
  </conditionalFormatting>
  <conditionalFormatting sqref="B72:AG72">
    <cfRule type="expression" dxfId="2589" priority="48">
      <formula>B$9&gt;=20/24</formula>
    </cfRule>
    <cfRule type="expression" dxfId="2588" priority="49">
      <formula>AND(B$9&gt;=14/24,B$9&lt;20/24)</formula>
    </cfRule>
    <cfRule type="expression" dxfId="2587" priority="51">
      <formula>B$9&lt;8/24</formula>
    </cfRule>
    <cfRule type="expression" dxfId="2586" priority="50">
      <formula>AND(B$9&gt;=8/24,B$9&lt;14/24)</formula>
    </cfRule>
  </conditionalFormatting>
  <conditionalFormatting sqref="M55:AF66">
    <cfRule type="expression" dxfId="2585" priority="10">
      <formula>M55&gt;$AG55</formula>
    </cfRule>
  </conditionalFormatting>
  <conditionalFormatting sqref="M54:AG54">
    <cfRule type="expression" dxfId="2584" priority="84">
      <formula>M$9&lt;8/24</formula>
    </cfRule>
    <cfRule type="expression" dxfId="2583" priority="82">
      <formula>AND(M$9&gt;=14/24,M$9&lt;20/24)</formula>
    </cfRule>
    <cfRule type="expression" dxfId="2582" priority="83">
      <formula>AND(M$9&gt;=8/24,M$9&lt;14/24)</formula>
    </cfRule>
    <cfRule type="expression" dxfId="2581" priority="81">
      <formula>M$9&gt;=20/24</formula>
    </cfRule>
    <cfRule type="expression" dxfId="2580" priority="80">
      <formula>M54&gt;$AG54</formula>
    </cfRule>
  </conditionalFormatting>
  <conditionalFormatting sqref="O3:P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579" priority="118">
      <formula>C$9&gt;=20/24</formula>
    </cfRule>
  </conditionalFormatting>
  <conditionalFormatting sqref="S8">
    <cfRule type="expression" dxfId="2578" priority="106">
      <formula>AND(U$9&gt;=14/24,U$9&lt;20/24)</formula>
    </cfRule>
    <cfRule type="expression" dxfId="2577" priority="108">
      <formula>U$9&lt;8/24</formula>
    </cfRule>
    <cfRule type="expression" dxfId="2576" priority="105">
      <formula>U$9&gt;=20/24</formula>
    </cfRule>
    <cfRule type="expression" dxfId="2575" priority="107">
      <formula>AND(U$9&gt;=8/24,U$9&lt;14/24)</formula>
    </cfRule>
  </conditionalFormatting>
  <conditionalFormatting sqref="S55:AF60">
    <cfRule type="expression" dxfId="2574" priority="15">
      <formula>S$9&gt;=20/24</formula>
    </cfRule>
    <cfRule type="expression" dxfId="2573" priority="16">
      <formula>AND(S$9&gt;=14/24,S$9&lt;20/24)</formula>
    </cfRule>
    <cfRule type="expression" dxfId="2572" priority="18">
      <formula>S$9&lt;8/24</formula>
    </cfRule>
    <cfRule type="expression" dxfId="2571" priority="17">
      <formula>AND(S$9&gt;=8/24,S$9&lt;14/24)</formula>
    </cfRule>
  </conditionalFormatting>
  <conditionalFormatting sqref="T250">
    <cfRule type="expression" dxfId="2570" priority="133">
      <formula>AX$9&lt;8/24</formula>
    </cfRule>
    <cfRule type="expression" dxfId="2569" priority="130">
      <formula>AX$9&gt;=20/24</formula>
    </cfRule>
    <cfRule type="expression" dxfId="2568" priority="131">
      <formula>AND(AX$9&gt;=14/24,AX$9&lt;20/24)</formula>
    </cfRule>
    <cfRule type="expression" dxfId="2567" priority="132">
      <formula>AND(AX$9&gt;=8/24,AX$9&lt;14/24)</formula>
    </cfRule>
  </conditionalFormatting>
  <conditionalFormatting sqref="V3 AB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566" priority="101">
      <formula>AD$9&gt;=20/24</formula>
    </cfRule>
    <cfRule type="expression" dxfId="2565" priority="102">
      <formula>AND(AD$9&gt;=14/24,AD$9&lt;20/24)</formula>
    </cfRule>
    <cfRule type="expression" dxfId="2564" priority="103">
      <formula>AND(AD$9&gt;=8/24,AD$9&lt;14/24)</formula>
    </cfRule>
    <cfRule type="expression" dxfId="2563" priority="104">
      <formula>AD$9&lt;8/24</formula>
    </cfRule>
  </conditionalFormatting>
  <conditionalFormatting sqref="AG50">
    <cfRule type="expression" dxfId="2562" priority="88">
      <formula>AG50&gt;$AG50</formula>
    </cfRule>
  </conditionalFormatting>
  <conditionalFormatting sqref="AG89">
    <cfRule type="expression" dxfId="2561" priority="89">
      <formula>AG$9&gt;=20/24</formula>
    </cfRule>
    <cfRule type="expression" dxfId="2560" priority="90">
      <formula>AND(AG$9&gt;=14/24,AG$9&lt;20/24)</formula>
    </cfRule>
    <cfRule type="expression" dxfId="2559" priority="91">
      <formula>AND(AG$9&gt;=8/24,AG$9&lt;14/24)</formula>
    </cfRule>
    <cfRule type="expression" dxfId="2558" priority="92">
      <formula>AG$9&lt;8/24</formula>
    </cfRule>
  </conditionalFormatting>
  <conditionalFormatting sqref="AG250">
    <cfRule type="expression" dxfId="2557" priority="122">
      <formula>B$9&gt;=20/24</formula>
    </cfRule>
    <cfRule type="expression" dxfId="2556" priority="123">
      <formula>AND(B$9&gt;=14/24,B$9&lt;20/24)</formula>
    </cfRule>
    <cfRule type="expression" dxfId="2555" priority="124">
      <formula>AND(B$9&gt;=8/24,B$9&lt;14/24)</formula>
    </cfRule>
    <cfRule type="expression" dxfId="2554" priority="125">
      <formula>B$9&lt;8/24</formula>
    </cfRule>
  </conditionalFormatting>
  <conditionalFormatting sqref="AH250:AX250">
    <cfRule type="expression" dxfId="2553" priority="126">
      <formula>AG$9&gt;=20/24</formula>
    </cfRule>
    <cfRule type="expression" dxfId="2552" priority="127">
      <formula>AND(AG$9&gt;=14/24,AG$9&lt;20/24)</formula>
    </cfRule>
    <cfRule type="expression" dxfId="2551" priority="128">
      <formula>AND(AG$9&gt;=8/24,AG$9&lt;14/24)</formula>
    </cfRule>
    <cfRule type="expression" dxfId="2550" priority="129">
      <formula>AG$9&lt;8/24</formula>
    </cfRule>
  </conditionalFormatting>
  <conditionalFormatting sqref="AL4:AL6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549" priority="135">
      <formula>AJ$9&gt;=20/24</formula>
    </cfRule>
    <cfRule type="expression" dxfId="2548" priority="136">
      <formula>AND(AJ$9&gt;=14/24,AJ$9&lt;20/24)</formula>
    </cfRule>
    <cfRule type="expression" dxfId="2547" priority="137">
      <formula>AND(AJ$9&gt;=8/24,AJ$9&lt;14/24)</formula>
    </cfRule>
    <cfRule type="expression" dxfId="2546" priority="138">
      <formula>AJ$9&lt;8/24</formula>
    </cfRule>
  </conditionalFormatting>
  <conditionalFormatting sqref="AL80:AN80 AL86:AN86">
    <cfRule type="expression" dxfId="2545" priority="76">
      <formula>AL$9&gt;=20/24</formula>
    </cfRule>
    <cfRule type="expression" dxfId="2544" priority="77">
      <formula>AND(AL$9&gt;=14/24,AL$9&lt;20/24)</formula>
    </cfRule>
    <cfRule type="expression" dxfId="2543" priority="78">
      <formula>AND(AL$9&gt;=8/24,AL$9&lt;14/24)</formula>
    </cfRule>
    <cfRule type="expression" dxfId="2542" priority="79">
      <formula>AL$9&lt;8/24</formula>
    </cfRule>
  </conditionalFormatting>
  <conditionalFormatting sqref="AN81:AN84">
    <cfRule type="expression" dxfId="2541" priority="73">
      <formula>AND(AN$9&gt;=14/24,AN$9&lt;20/24)</formula>
    </cfRule>
    <cfRule type="expression" dxfId="2540" priority="74">
      <formula>AND(AN$9&gt;=8/24,AN$9&lt;14/24)</formula>
    </cfRule>
    <cfRule type="expression" dxfId="2539" priority="75">
      <formula>AN$9&lt;8/24</formula>
    </cfRule>
    <cfRule type="expression" dxfId="2538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B888-DF6D-4C6F-8A32-112AB97A7421}">
  <sheetPr codeName="Sheet12"/>
  <dimension ref="A1:CJ291"/>
  <sheetViews>
    <sheetView zoomScale="90" zoomScaleNormal="90" workbookViewId="0">
      <pane xSplit="1" ySplit="10" topLeftCell="B231" activePane="bottomRight" state="frozen"/>
      <selection activeCell="P118" sqref="P118"/>
      <selection pane="topRight" activeCell="P118" sqref="P118"/>
      <selection pane="bottomLeft" activeCell="P118" sqref="P118"/>
      <selection pane="bottomRight" activeCell="Y28" sqref="Y28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6" t="str">
        <f ca="1">"2080/"&amp;"09/"&amp;INT(MID(CELL("filename",D6),FIND("]",CELL("filename",D6))+1,200))</f>
        <v>2080/09/11</v>
      </c>
      <c r="C4" s="246"/>
      <c r="D4" s="246"/>
      <c r="E4" s="247" t="str">
        <f ca="1">"2080/"&amp;"09/"&amp;INT(MID(CELL("filename",G6),FIND("]",CELL("filename",G6))+1,200))</f>
        <v>2080/09/11</v>
      </c>
      <c r="F4" s="247"/>
      <c r="G4" s="247"/>
      <c r="H4" s="247" t="str">
        <f ca="1">TEXT(E4,"dddd")</f>
        <v>Wednesday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C92</f>
        <v>127.9</v>
      </c>
      <c r="C5" s="30">
        <f t="shared" si="0"/>
        <v>117.5</v>
      </c>
      <c r="D5" s="30">
        <f t="shared" si="0"/>
        <v>115.4</v>
      </c>
      <c r="E5" s="30">
        <f t="shared" si="0"/>
        <v>58.1</v>
      </c>
      <c r="F5" s="30">
        <f t="shared" si="0"/>
        <v>104.6</v>
      </c>
      <c r="G5" s="30">
        <f t="shared" si="0"/>
        <v>127.80000000000001</v>
      </c>
      <c r="H5" s="30">
        <f t="shared" si="0"/>
        <v>254.20000000000002</v>
      </c>
      <c r="I5" s="30">
        <f t="shared" si="0"/>
        <v>246.5</v>
      </c>
      <c r="J5" s="30">
        <f t="shared" si="0"/>
        <v>174</v>
      </c>
      <c r="K5" s="30">
        <f t="shared" si="0"/>
        <v>57</v>
      </c>
      <c r="L5" s="30">
        <f t="shared" si="0"/>
        <v>52.8</v>
      </c>
      <c r="M5" s="30">
        <f t="shared" si="0"/>
        <v>27</v>
      </c>
      <c r="N5" s="30">
        <f t="shared" si="0"/>
        <v>41</v>
      </c>
      <c r="O5" s="30">
        <f t="shared" si="0"/>
        <v>100.1</v>
      </c>
      <c r="P5" s="30">
        <f t="shared" si="0"/>
        <v>273.7</v>
      </c>
      <c r="Q5" s="30">
        <f t="shared" si="0"/>
        <v>286.3</v>
      </c>
      <c r="R5" s="30">
        <f t="shared" si="0"/>
        <v>249.6</v>
      </c>
      <c r="S5" s="30">
        <f t="shared" si="0"/>
        <v>275</v>
      </c>
      <c r="T5" s="30">
        <f t="shared" si="0"/>
        <v>306</v>
      </c>
      <c r="U5" s="30">
        <f t="shared" si="0"/>
        <v>63.9</v>
      </c>
      <c r="V5" s="30">
        <f t="shared" si="0"/>
        <v>35.400000000000006</v>
      </c>
      <c r="W5" s="30">
        <f t="shared" si="0"/>
        <v>30.700000000000003</v>
      </c>
      <c r="X5" s="30">
        <f t="shared" si="0"/>
        <v>32</v>
      </c>
      <c r="Y5" s="30">
        <f t="shared" si="0"/>
        <v>48</v>
      </c>
      <c r="Z5" s="30">
        <f t="shared" si="0"/>
        <v>150.1</v>
      </c>
      <c r="AA5" s="30">
        <f t="shared" si="0"/>
        <v>138.6</v>
      </c>
      <c r="AB5" s="30">
        <f t="shared" si="0"/>
        <v>175.10000000000002</v>
      </c>
      <c r="AC5" s="30">
        <f t="shared" si="0"/>
        <v>242.7</v>
      </c>
      <c r="AD5" s="30">
        <f t="shared" si="0"/>
        <v>199.2</v>
      </c>
      <c r="AE5" s="30">
        <f t="shared" si="0"/>
        <v>200.6</v>
      </c>
      <c r="AF5" s="30">
        <f>B92</f>
        <v>147.69999999999999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1622MW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Load=953</v>
      </c>
      <c r="B7" s="35">
        <f>B100</f>
        <v>1048.7600000000002</v>
      </c>
      <c r="C7" s="35">
        <f t="shared" ref="C7:AF7" si="1">C100</f>
        <v>973.06000000000006</v>
      </c>
      <c r="D7" s="35">
        <f t="shared" si="1"/>
        <v>955.46</v>
      </c>
      <c r="E7" s="35">
        <f t="shared" si="1"/>
        <v>953.46</v>
      </c>
      <c r="F7" s="35">
        <f t="shared" si="1"/>
        <v>978.1600000000002</v>
      </c>
      <c r="G7" s="35">
        <f t="shared" si="1"/>
        <v>1071.06</v>
      </c>
      <c r="H7" s="35">
        <f t="shared" si="1"/>
        <v>1123.56</v>
      </c>
      <c r="I7" s="35">
        <f t="shared" si="1"/>
        <v>1249.96</v>
      </c>
      <c r="J7" s="35">
        <f t="shared" si="1"/>
        <v>1363.3600000000001</v>
      </c>
      <c r="K7" s="35">
        <f t="shared" si="1"/>
        <v>1517.16</v>
      </c>
      <c r="L7" s="35">
        <f t="shared" si="1"/>
        <v>1621.9600000000003</v>
      </c>
      <c r="M7" s="35">
        <f t="shared" si="1"/>
        <v>1622.2600000000002</v>
      </c>
      <c r="N7" s="35">
        <f t="shared" si="1"/>
        <v>1482.96</v>
      </c>
      <c r="O7" s="35">
        <f t="shared" si="1"/>
        <v>1431.56</v>
      </c>
      <c r="P7" s="35">
        <f t="shared" si="1"/>
        <v>1341.96</v>
      </c>
      <c r="Q7" s="35">
        <f t="shared" si="1"/>
        <v>1295.46</v>
      </c>
      <c r="R7" s="35">
        <f t="shared" si="1"/>
        <v>1264.26</v>
      </c>
      <c r="S7" s="35">
        <f t="shared" si="1"/>
        <v>1268.46</v>
      </c>
      <c r="T7" s="35">
        <f t="shared" si="1"/>
        <v>1286.1599999999999</v>
      </c>
      <c r="U7" s="35">
        <f t="shared" si="1"/>
        <v>1311.8589999999999</v>
      </c>
      <c r="V7" s="35">
        <f t="shared" si="1"/>
        <v>1387.9590000000001</v>
      </c>
      <c r="W7" s="35">
        <f t="shared" si="1"/>
        <v>1520.559</v>
      </c>
      <c r="X7" s="35">
        <f t="shared" si="1"/>
        <v>1644.6590000000001</v>
      </c>
      <c r="Y7" s="35">
        <f t="shared" si="1"/>
        <v>1609.3200000000002</v>
      </c>
      <c r="Z7" s="35">
        <f t="shared" si="1"/>
        <v>1505.16</v>
      </c>
      <c r="AA7" s="35">
        <f t="shared" si="1"/>
        <v>1194.3</v>
      </c>
      <c r="AB7" s="35">
        <f t="shared" si="1"/>
        <v>1418.7600000000002</v>
      </c>
      <c r="AC7" s="35">
        <f t="shared" si="1"/>
        <v>1374.56</v>
      </c>
      <c r="AD7" s="35">
        <f t="shared" si="1"/>
        <v>1306.1600000000003</v>
      </c>
      <c r="AE7" s="35">
        <f t="shared" si="1"/>
        <v>1129.5600000000002</v>
      </c>
      <c r="AF7" s="35">
        <f t="shared" si="1"/>
        <v>1048.74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40.1</v>
      </c>
      <c r="C11" s="45">
        <v>39.700000000000003</v>
      </c>
      <c r="D11" s="45">
        <v>39.5</v>
      </c>
      <c r="E11" s="45">
        <v>39.200000000000003</v>
      </c>
      <c r="F11" s="45">
        <v>39.200000000000003</v>
      </c>
      <c r="G11" s="45">
        <v>39.1</v>
      </c>
      <c r="H11" s="45">
        <v>39.200000000000003</v>
      </c>
      <c r="I11" s="45">
        <v>39.200000000000003</v>
      </c>
      <c r="J11" s="45">
        <v>39.1</v>
      </c>
      <c r="K11" s="45">
        <v>39.1</v>
      </c>
      <c r="L11" s="45">
        <v>39.1</v>
      </c>
      <c r="M11" s="45">
        <v>39.1</v>
      </c>
      <c r="N11" s="45">
        <v>39.1</v>
      </c>
      <c r="O11" s="45">
        <v>39.1</v>
      </c>
      <c r="P11" s="45">
        <v>39.1</v>
      </c>
      <c r="Q11" s="45">
        <v>39.1</v>
      </c>
      <c r="R11" s="45">
        <v>39.1</v>
      </c>
      <c r="S11" s="45">
        <v>39.1</v>
      </c>
      <c r="T11" s="45">
        <v>41</v>
      </c>
      <c r="U11" s="45">
        <v>41</v>
      </c>
      <c r="V11" s="45">
        <v>41</v>
      </c>
      <c r="W11" s="45">
        <v>41</v>
      </c>
      <c r="X11" s="45">
        <v>41</v>
      </c>
      <c r="Y11" s="45">
        <v>39.36</v>
      </c>
      <c r="Z11" s="45">
        <v>38.9</v>
      </c>
      <c r="AA11" s="45">
        <v>38.9</v>
      </c>
      <c r="AB11" s="45">
        <v>38</v>
      </c>
      <c r="AC11" s="45">
        <v>38</v>
      </c>
      <c r="AD11" s="45">
        <v>38</v>
      </c>
      <c r="AE11" s="45">
        <v>38</v>
      </c>
      <c r="AF11" s="45">
        <v>38</v>
      </c>
      <c r="AG11" s="46">
        <v>86</v>
      </c>
      <c r="AH11" s="47">
        <f t="shared" ref="AH11:AH84" si="2">MAX(B11:AF11)</f>
        <v>41</v>
      </c>
      <c r="AI11" s="48">
        <f t="shared" ref="AI11:AI84" si="3">MIN(B11:AF11)</f>
        <v>38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13.9</v>
      </c>
      <c r="C12" s="45">
        <v>13.9</v>
      </c>
      <c r="D12" s="45">
        <v>13.9</v>
      </c>
      <c r="E12" s="45">
        <v>13.9</v>
      </c>
      <c r="F12" s="45">
        <v>13.9</v>
      </c>
      <c r="G12" s="45">
        <v>13.9</v>
      </c>
      <c r="H12" s="45">
        <v>13.9</v>
      </c>
      <c r="I12" s="45">
        <v>13.9</v>
      </c>
      <c r="J12" s="45">
        <v>13.9</v>
      </c>
      <c r="K12" s="45">
        <v>13.9</v>
      </c>
      <c r="L12" s="45">
        <v>13.9</v>
      </c>
      <c r="M12" s="45">
        <v>13.9</v>
      </c>
      <c r="N12" s="45">
        <v>13.9</v>
      </c>
      <c r="O12" s="45">
        <v>13.9</v>
      </c>
      <c r="P12" s="45">
        <v>13.9</v>
      </c>
      <c r="Q12" s="45">
        <v>13.9</v>
      </c>
      <c r="R12" s="45">
        <v>13.9</v>
      </c>
      <c r="S12" s="45">
        <v>13.9</v>
      </c>
      <c r="T12" s="45">
        <v>13.9</v>
      </c>
      <c r="U12" s="45">
        <v>13.999000000000001</v>
      </c>
      <c r="V12" s="45">
        <v>13.999000000000001</v>
      </c>
      <c r="W12" s="45">
        <v>13.999000000000001</v>
      </c>
      <c r="X12" s="45">
        <v>13.999000000000001</v>
      </c>
      <c r="Y12" s="45">
        <v>14</v>
      </c>
      <c r="Z12" s="45">
        <v>14</v>
      </c>
      <c r="AA12" s="45">
        <v>14</v>
      </c>
      <c r="AB12" s="45">
        <v>14</v>
      </c>
      <c r="AC12" s="45">
        <v>14</v>
      </c>
      <c r="AD12" s="45">
        <v>14</v>
      </c>
      <c r="AE12" s="45">
        <v>14</v>
      </c>
      <c r="AF12" s="45">
        <v>14</v>
      </c>
      <c r="AG12" s="49">
        <v>54</v>
      </c>
      <c r="AH12" s="47">
        <f t="shared" si="2"/>
        <v>14</v>
      </c>
      <c r="AI12" s="48">
        <f t="shared" si="3"/>
        <v>13.9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18.5</v>
      </c>
      <c r="C13" s="45">
        <v>18.5</v>
      </c>
      <c r="D13" s="45">
        <v>18.5</v>
      </c>
      <c r="E13" s="45">
        <v>18.5</v>
      </c>
      <c r="F13" s="45">
        <v>18.5</v>
      </c>
      <c r="G13" s="45">
        <v>18.5</v>
      </c>
      <c r="H13" s="45">
        <v>18.5</v>
      </c>
      <c r="I13" s="45">
        <v>18.5</v>
      </c>
      <c r="J13" s="45">
        <v>18.5</v>
      </c>
      <c r="K13" s="45">
        <v>18.5</v>
      </c>
      <c r="L13" s="45">
        <v>18.5</v>
      </c>
      <c r="M13" s="45">
        <v>18.5</v>
      </c>
      <c r="N13" s="45">
        <v>18.5</v>
      </c>
      <c r="O13" s="45">
        <v>18.5</v>
      </c>
      <c r="P13" s="45">
        <v>18.5</v>
      </c>
      <c r="Q13" s="45">
        <v>18.5</v>
      </c>
      <c r="R13" s="45">
        <v>18.5</v>
      </c>
      <c r="S13" s="45">
        <v>18.5</v>
      </c>
      <c r="T13" s="45">
        <v>18</v>
      </c>
      <c r="U13" s="45">
        <v>18</v>
      </c>
      <c r="V13" s="45">
        <v>18</v>
      </c>
      <c r="W13" s="45">
        <v>18</v>
      </c>
      <c r="X13" s="45">
        <v>18</v>
      </c>
      <c r="Y13" s="45">
        <v>18</v>
      </c>
      <c r="Z13" s="45">
        <v>18</v>
      </c>
      <c r="AA13" s="45">
        <v>18</v>
      </c>
      <c r="AB13" s="45">
        <v>18</v>
      </c>
      <c r="AC13" s="45">
        <v>18</v>
      </c>
      <c r="AD13" s="45">
        <v>18</v>
      </c>
      <c r="AE13" s="45">
        <v>18</v>
      </c>
      <c r="AF13" s="45">
        <v>18</v>
      </c>
      <c r="AG13" s="49">
        <v>54</v>
      </c>
      <c r="AH13" s="47">
        <f t="shared" si="2"/>
        <v>18.5</v>
      </c>
      <c r="AI13" s="48">
        <f t="shared" si="3"/>
        <v>18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21.4</v>
      </c>
      <c r="C14" s="45">
        <v>21.5</v>
      </c>
      <c r="D14" s="45">
        <v>21.4</v>
      </c>
      <c r="E14" s="45">
        <v>20.6</v>
      </c>
      <c r="F14" s="45">
        <v>20.8</v>
      </c>
      <c r="G14" s="45">
        <v>20.8</v>
      </c>
      <c r="H14" s="45">
        <v>20.8</v>
      </c>
      <c r="I14" s="45">
        <v>20.8</v>
      </c>
      <c r="J14" s="45">
        <v>20.8</v>
      </c>
      <c r="K14" s="45">
        <v>20.8</v>
      </c>
      <c r="L14" s="45">
        <v>20.8</v>
      </c>
      <c r="M14" s="45">
        <v>20.8</v>
      </c>
      <c r="N14" s="45">
        <v>20.8</v>
      </c>
      <c r="O14" s="45">
        <v>20.8</v>
      </c>
      <c r="P14" s="45">
        <v>20.8</v>
      </c>
      <c r="Q14" s="45">
        <v>20.8</v>
      </c>
      <c r="R14" s="45">
        <v>20.8</v>
      </c>
      <c r="S14" s="45">
        <v>20.8</v>
      </c>
      <c r="T14" s="45">
        <v>20.100000000000001</v>
      </c>
      <c r="U14" s="45">
        <v>20.100000000000001</v>
      </c>
      <c r="V14" s="45">
        <v>20.100000000000001</v>
      </c>
      <c r="W14" s="45">
        <v>20.100000000000001</v>
      </c>
      <c r="X14" s="45">
        <v>20.100000000000001</v>
      </c>
      <c r="Y14" s="45">
        <v>20.100000000000001</v>
      </c>
      <c r="Z14" s="45">
        <v>20.100000000000001</v>
      </c>
      <c r="AA14" s="45">
        <v>20.100000000000001</v>
      </c>
      <c r="AB14" s="45">
        <v>20.100000000000001</v>
      </c>
      <c r="AC14" s="45">
        <v>20.100000000000001</v>
      </c>
      <c r="AD14" s="45">
        <v>20.100000000000001</v>
      </c>
      <c r="AE14" s="45">
        <v>20.100000000000001</v>
      </c>
      <c r="AF14" s="45">
        <v>20.100000000000001</v>
      </c>
      <c r="AG14" s="46">
        <v>52.4</v>
      </c>
      <c r="AH14" s="47">
        <f t="shared" si="2"/>
        <v>21.5</v>
      </c>
      <c r="AI14" s="48">
        <f t="shared" si="3"/>
        <v>20.100000000000001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43</v>
      </c>
      <c r="C15" s="45">
        <v>43.4</v>
      </c>
      <c r="D15" s="45">
        <v>43.2</v>
      </c>
      <c r="E15" s="45">
        <v>43.4</v>
      </c>
      <c r="F15" s="45">
        <v>43.7</v>
      </c>
      <c r="G15" s="45">
        <v>43.7</v>
      </c>
      <c r="H15" s="45">
        <v>43.7</v>
      </c>
      <c r="I15" s="45">
        <v>43.7</v>
      </c>
      <c r="J15" s="45">
        <v>43.7</v>
      </c>
      <c r="K15" s="45">
        <v>43.7</v>
      </c>
      <c r="L15" s="45">
        <v>43.7</v>
      </c>
      <c r="M15" s="45">
        <v>43.7</v>
      </c>
      <c r="N15" s="45">
        <v>43.7</v>
      </c>
      <c r="O15" s="45">
        <v>43.7</v>
      </c>
      <c r="P15" s="45">
        <v>43.7</v>
      </c>
      <c r="Q15" s="45">
        <v>43.7</v>
      </c>
      <c r="R15" s="45">
        <v>43.7</v>
      </c>
      <c r="S15" s="45">
        <v>43.7</v>
      </c>
      <c r="T15" s="51">
        <v>42.9</v>
      </c>
      <c r="U15" s="51">
        <v>42.9</v>
      </c>
      <c r="V15" s="51">
        <v>42.9</v>
      </c>
      <c r="W15" s="51">
        <v>42.9</v>
      </c>
      <c r="X15" s="51">
        <v>42.9</v>
      </c>
      <c r="Y15" s="51">
        <v>42.9</v>
      </c>
      <c r="Z15" s="51">
        <v>42.9</v>
      </c>
      <c r="AA15" s="51">
        <v>42.9</v>
      </c>
      <c r="AB15" s="51">
        <v>42.9</v>
      </c>
      <c r="AC15" s="51">
        <v>42.9</v>
      </c>
      <c r="AD15" s="51">
        <v>42.9</v>
      </c>
      <c r="AE15" s="51">
        <v>42.9</v>
      </c>
      <c r="AF15" s="51">
        <v>42.9</v>
      </c>
      <c r="AG15" s="49">
        <v>50</v>
      </c>
      <c r="AH15" s="47">
        <f t="shared" si="2"/>
        <v>43.7</v>
      </c>
      <c r="AI15" s="48">
        <f t="shared" si="3"/>
        <v>42.9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22.8</v>
      </c>
      <c r="C16" s="45">
        <v>23</v>
      </c>
      <c r="D16" s="45">
        <v>22.9</v>
      </c>
      <c r="E16" s="45">
        <v>22.9</v>
      </c>
      <c r="F16" s="45">
        <v>22.6</v>
      </c>
      <c r="G16" s="45">
        <v>22.6</v>
      </c>
      <c r="H16" s="45">
        <v>22.6</v>
      </c>
      <c r="I16" s="45">
        <v>22.6</v>
      </c>
      <c r="J16" s="45">
        <v>22.6</v>
      </c>
      <c r="K16" s="45">
        <v>22.6</v>
      </c>
      <c r="L16" s="45">
        <v>22.6</v>
      </c>
      <c r="M16" s="45">
        <v>22.6</v>
      </c>
      <c r="N16" s="45">
        <v>22.6</v>
      </c>
      <c r="O16" s="45">
        <v>22.6</v>
      </c>
      <c r="P16" s="45">
        <v>22.6</v>
      </c>
      <c r="Q16" s="45">
        <v>22.6</v>
      </c>
      <c r="R16" s="45">
        <v>22.6</v>
      </c>
      <c r="S16" s="45">
        <v>22.6</v>
      </c>
      <c r="T16" s="45">
        <v>21</v>
      </c>
      <c r="U16" s="45">
        <v>21</v>
      </c>
      <c r="V16" s="45">
        <v>21</v>
      </c>
      <c r="W16" s="45">
        <v>21</v>
      </c>
      <c r="X16" s="45">
        <v>21</v>
      </c>
      <c r="Y16" s="45">
        <v>21</v>
      </c>
      <c r="Z16" s="45">
        <v>21</v>
      </c>
      <c r="AA16" s="45">
        <v>21</v>
      </c>
      <c r="AB16" s="45">
        <v>21</v>
      </c>
      <c r="AC16" s="45">
        <v>21</v>
      </c>
      <c r="AD16" s="45">
        <v>21</v>
      </c>
      <c r="AE16" s="45">
        <v>21</v>
      </c>
      <c r="AF16" s="45">
        <v>21</v>
      </c>
      <c r="AG16" s="49">
        <v>45</v>
      </c>
      <c r="AH16" s="47">
        <f t="shared" si="2"/>
        <v>23</v>
      </c>
      <c r="AI16" s="48">
        <f t="shared" si="3"/>
        <v>21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17.5</v>
      </c>
      <c r="C17" s="45">
        <v>17.5</v>
      </c>
      <c r="D17" s="45">
        <v>17.5</v>
      </c>
      <c r="E17" s="45">
        <v>17.5</v>
      </c>
      <c r="F17" s="45">
        <v>17.5</v>
      </c>
      <c r="G17" s="45">
        <v>17.5</v>
      </c>
      <c r="H17" s="45">
        <v>17.5</v>
      </c>
      <c r="I17" s="45">
        <v>17.5</v>
      </c>
      <c r="J17" s="45">
        <v>17.5</v>
      </c>
      <c r="K17" s="45">
        <v>17.5</v>
      </c>
      <c r="L17" s="45">
        <v>17.5</v>
      </c>
      <c r="M17" s="45">
        <v>17.5</v>
      </c>
      <c r="N17" s="45">
        <v>17.5</v>
      </c>
      <c r="O17" s="45">
        <v>17.5</v>
      </c>
      <c r="P17" s="45">
        <v>17.5</v>
      </c>
      <c r="Q17" s="45">
        <v>17.5</v>
      </c>
      <c r="R17" s="45">
        <v>17.5</v>
      </c>
      <c r="S17" s="45">
        <v>17.5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13.5</v>
      </c>
      <c r="C18" s="45">
        <v>13.5</v>
      </c>
      <c r="D18" s="45">
        <v>13</v>
      </c>
      <c r="E18" s="45">
        <v>13</v>
      </c>
      <c r="F18" s="45">
        <v>12.6</v>
      </c>
      <c r="G18" s="45">
        <v>12.6</v>
      </c>
      <c r="H18" s="45">
        <v>12</v>
      </c>
      <c r="I18" s="45">
        <v>12</v>
      </c>
      <c r="J18" s="45">
        <v>12</v>
      </c>
      <c r="K18" s="45">
        <v>12</v>
      </c>
      <c r="L18" s="45">
        <v>12</v>
      </c>
      <c r="M18" s="45">
        <v>12</v>
      </c>
      <c r="N18" s="45">
        <v>12</v>
      </c>
      <c r="O18" s="45">
        <v>12</v>
      </c>
      <c r="P18" s="45">
        <v>12</v>
      </c>
      <c r="Q18" s="45">
        <v>12</v>
      </c>
      <c r="R18" s="45">
        <v>12</v>
      </c>
      <c r="S18" s="45">
        <v>12</v>
      </c>
      <c r="T18" s="45">
        <v>11.5</v>
      </c>
      <c r="U18" s="45">
        <v>11.5</v>
      </c>
      <c r="V18" s="45">
        <v>11.5</v>
      </c>
      <c r="W18" s="45">
        <v>11.5</v>
      </c>
      <c r="X18" s="45">
        <v>11.5</v>
      </c>
      <c r="Y18" s="45">
        <v>11.5</v>
      </c>
      <c r="Z18" s="45">
        <v>11.5</v>
      </c>
      <c r="AA18" s="45">
        <v>11.5</v>
      </c>
      <c r="AB18" s="45">
        <v>11.5</v>
      </c>
      <c r="AC18" s="45">
        <v>11.5</v>
      </c>
      <c r="AD18" s="45">
        <v>11.5</v>
      </c>
      <c r="AE18" s="45">
        <v>11.5</v>
      </c>
      <c r="AF18" s="45">
        <v>11.5</v>
      </c>
      <c r="AG18" s="49">
        <v>42</v>
      </c>
      <c r="AH18" s="47">
        <f t="shared" si="2"/>
        <v>13.5</v>
      </c>
      <c r="AI18" s="48">
        <f t="shared" si="3"/>
        <v>11.5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17</v>
      </c>
      <c r="C19" s="45">
        <v>17</v>
      </c>
      <c r="D19" s="45">
        <v>17</v>
      </c>
      <c r="E19" s="45">
        <v>17</v>
      </c>
      <c r="F19" s="45">
        <v>17</v>
      </c>
      <c r="G19" s="45">
        <v>17</v>
      </c>
      <c r="H19" s="45">
        <v>17</v>
      </c>
      <c r="I19" s="45">
        <v>17</v>
      </c>
      <c r="J19" s="45">
        <v>17</v>
      </c>
      <c r="K19" s="45">
        <v>17</v>
      </c>
      <c r="L19" s="45">
        <v>17</v>
      </c>
      <c r="M19" s="45">
        <v>17</v>
      </c>
      <c r="N19" s="45">
        <v>17</v>
      </c>
      <c r="O19" s="45">
        <v>17</v>
      </c>
      <c r="P19" s="45">
        <v>17</v>
      </c>
      <c r="Q19" s="45">
        <v>17</v>
      </c>
      <c r="R19" s="45">
        <v>17</v>
      </c>
      <c r="S19" s="45">
        <v>17</v>
      </c>
      <c r="T19" s="45">
        <v>17</v>
      </c>
      <c r="U19" s="45">
        <v>17</v>
      </c>
      <c r="V19" s="45">
        <v>17</v>
      </c>
      <c r="W19" s="45">
        <v>17</v>
      </c>
      <c r="X19" s="45">
        <v>17</v>
      </c>
      <c r="Y19" s="45">
        <v>17</v>
      </c>
      <c r="Z19" s="45">
        <v>17</v>
      </c>
      <c r="AA19" s="45">
        <v>17</v>
      </c>
      <c r="AB19" s="45">
        <v>17</v>
      </c>
      <c r="AC19" s="45">
        <v>17</v>
      </c>
      <c r="AD19" s="45">
        <v>17</v>
      </c>
      <c r="AE19" s="45">
        <v>17</v>
      </c>
      <c r="AF19" s="45">
        <v>17</v>
      </c>
      <c r="AG19" s="49">
        <v>38.46</v>
      </c>
      <c r="AH19" s="47">
        <f t="shared" si="2"/>
        <v>17</v>
      </c>
      <c r="AI19" s="48">
        <f t="shared" si="3"/>
        <v>17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13</v>
      </c>
      <c r="AF20" s="45">
        <v>13</v>
      </c>
      <c r="AG20" s="49">
        <v>38.46</v>
      </c>
      <c r="AH20" s="47">
        <f t="shared" si="2"/>
        <v>13</v>
      </c>
      <c r="AI20" s="48">
        <f t="shared" si="3"/>
        <v>13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11.8</v>
      </c>
      <c r="C22" s="45">
        <v>11.8</v>
      </c>
      <c r="D22" s="45">
        <v>11.8</v>
      </c>
      <c r="E22" s="45">
        <v>11.8</v>
      </c>
      <c r="F22" s="45">
        <v>11.8</v>
      </c>
      <c r="G22" s="45">
        <v>11.8</v>
      </c>
      <c r="H22" s="45">
        <v>11.8</v>
      </c>
      <c r="I22" s="45">
        <v>11.8</v>
      </c>
      <c r="J22" s="45">
        <v>11.8</v>
      </c>
      <c r="K22" s="45">
        <v>11.8</v>
      </c>
      <c r="L22" s="45">
        <v>11.8</v>
      </c>
      <c r="M22" s="45">
        <v>11.8</v>
      </c>
      <c r="N22" s="45">
        <v>11.8</v>
      </c>
      <c r="O22" s="45">
        <v>11.8</v>
      </c>
      <c r="P22" s="45">
        <v>11.8</v>
      </c>
      <c r="Q22" s="45">
        <v>11.8</v>
      </c>
      <c r="R22" s="45">
        <v>11.8</v>
      </c>
      <c r="S22" s="45">
        <v>11.8</v>
      </c>
      <c r="T22" s="45">
        <v>11.8</v>
      </c>
      <c r="U22" s="45">
        <v>11.8</v>
      </c>
      <c r="V22" s="45">
        <v>11.8</v>
      </c>
      <c r="W22" s="45">
        <v>11.8</v>
      </c>
      <c r="X22" s="45">
        <v>11.8</v>
      </c>
      <c r="Y22" s="45">
        <v>11.8</v>
      </c>
      <c r="Z22" s="45">
        <v>11.8</v>
      </c>
      <c r="AA22" s="45">
        <v>11.8</v>
      </c>
      <c r="AB22" s="45">
        <v>11.8</v>
      </c>
      <c r="AC22" s="45">
        <v>11.8</v>
      </c>
      <c r="AD22" s="45">
        <v>11.8</v>
      </c>
      <c r="AE22" s="45">
        <v>11.8</v>
      </c>
      <c r="AF22" s="45">
        <v>11.8</v>
      </c>
      <c r="AG22" s="52">
        <v>30</v>
      </c>
      <c r="AH22" s="47">
        <f t="shared" si="2"/>
        <v>11.8</v>
      </c>
      <c r="AI22" s="48">
        <f t="shared" si="3"/>
        <v>11.8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13.4</v>
      </c>
      <c r="C23" s="45">
        <v>13.4</v>
      </c>
      <c r="D23" s="45">
        <v>13.4</v>
      </c>
      <c r="E23" s="45">
        <v>13.4</v>
      </c>
      <c r="F23" s="45">
        <v>13.4</v>
      </c>
      <c r="G23" s="45">
        <v>13.4</v>
      </c>
      <c r="H23" s="45">
        <v>13.4</v>
      </c>
      <c r="I23" s="45">
        <v>13.4</v>
      </c>
      <c r="J23" s="45">
        <v>13.4</v>
      </c>
      <c r="K23" s="45">
        <v>13.4</v>
      </c>
      <c r="L23" s="45">
        <v>13.4</v>
      </c>
      <c r="M23" s="45">
        <v>13.4</v>
      </c>
      <c r="N23" s="45">
        <v>13.4</v>
      </c>
      <c r="O23" s="45">
        <v>13.4</v>
      </c>
      <c r="P23" s="45">
        <v>13.4</v>
      </c>
      <c r="Q23" s="45">
        <v>13.4</v>
      </c>
      <c r="R23" s="45">
        <v>13.4</v>
      </c>
      <c r="S23" s="45">
        <v>13.4</v>
      </c>
      <c r="T23" s="45">
        <v>13.4</v>
      </c>
      <c r="U23" s="45">
        <v>13.4</v>
      </c>
      <c r="V23" s="45">
        <v>13.4</v>
      </c>
      <c r="W23" s="45">
        <v>13.4</v>
      </c>
      <c r="X23" s="45">
        <v>13.4</v>
      </c>
      <c r="Y23" s="45">
        <v>13.4</v>
      </c>
      <c r="Z23" s="45">
        <v>13.4</v>
      </c>
      <c r="AA23" s="45">
        <v>13.4</v>
      </c>
      <c r="AB23" s="45">
        <v>13.4</v>
      </c>
      <c r="AC23" s="45">
        <v>13.4</v>
      </c>
      <c r="AD23" s="45">
        <v>13.4</v>
      </c>
      <c r="AE23" s="45">
        <v>13.4</v>
      </c>
      <c r="AF23" s="45">
        <v>13.4</v>
      </c>
      <c r="AG23" s="49">
        <v>24.2</v>
      </c>
      <c r="AH23" s="47">
        <f t="shared" si="2"/>
        <v>13.4</v>
      </c>
      <c r="AI23" s="48">
        <f t="shared" si="3"/>
        <v>13.4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12.4</v>
      </c>
      <c r="C24" s="45">
        <v>12.4</v>
      </c>
      <c r="D24" s="45">
        <v>12.4</v>
      </c>
      <c r="E24" s="45">
        <v>12.4</v>
      </c>
      <c r="F24" s="45">
        <v>12.4</v>
      </c>
      <c r="G24" s="45">
        <v>12.4</v>
      </c>
      <c r="H24" s="45">
        <v>12.4</v>
      </c>
      <c r="I24" s="45">
        <v>12.4</v>
      </c>
      <c r="J24" s="45">
        <v>12.4</v>
      </c>
      <c r="K24" s="45">
        <v>12.4</v>
      </c>
      <c r="L24" s="45">
        <v>12.4</v>
      </c>
      <c r="M24" s="45">
        <v>12.4</v>
      </c>
      <c r="N24" s="45">
        <v>12.4</v>
      </c>
      <c r="O24" s="45">
        <v>12.4</v>
      </c>
      <c r="P24" s="45">
        <v>12.4</v>
      </c>
      <c r="Q24" s="45">
        <v>12.4</v>
      </c>
      <c r="R24" s="45">
        <v>12.4</v>
      </c>
      <c r="S24" s="45">
        <v>12.4</v>
      </c>
      <c r="T24" s="45">
        <v>12.4</v>
      </c>
      <c r="U24" s="45">
        <v>12.4</v>
      </c>
      <c r="V24" s="45">
        <v>12.4</v>
      </c>
      <c r="W24" s="45">
        <v>12.4</v>
      </c>
      <c r="X24" s="45">
        <v>12.4</v>
      </c>
      <c r="Y24" s="45">
        <v>12.4</v>
      </c>
      <c r="Z24" s="45">
        <v>12.4</v>
      </c>
      <c r="AA24" s="45">
        <v>12.4</v>
      </c>
      <c r="AB24" s="45">
        <v>12.4</v>
      </c>
      <c r="AC24" s="45">
        <v>12.4</v>
      </c>
      <c r="AD24" s="45">
        <v>12.4</v>
      </c>
      <c r="AE24" s="45">
        <v>12.4</v>
      </c>
      <c r="AF24" s="45">
        <v>12.4</v>
      </c>
      <c r="AG24" s="49">
        <v>28</v>
      </c>
      <c r="AH24" s="47">
        <f t="shared" si="2"/>
        <v>12.4</v>
      </c>
      <c r="AI24" s="48">
        <f t="shared" si="3"/>
        <v>12.4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9.9</v>
      </c>
      <c r="C25" s="45">
        <v>10.8</v>
      </c>
      <c r="D25" s="45">
        <v>9.8000000000000007</v>
      </c>
      <c r="E25" s="45">
        <v>9.8000000000000007</v>
      </c>
      <c r="F25" s="45">
        <v>9.8000000000000007</v>
      </c>
      <c r="G25" s="45">
        <v>9.8000000000000007</v>
      </c>
      <c r="H25" s="45">
        <v>9.8000000000000007</v>
      </c>
      <c r="I25" s="45">
        <v>9.8000000000000007</v>
      </c>
      <c r="J25" s="45">
        <v>9.8000000000000007</v>
      </c>
      <c r="K25" s="45">
        <v>9.8000000000000007</v>
      </c>
      <c r="L25" s="45">
        <v>9.8000000000000007</v>
      </c>
      <c r="M25" s="45">
        <v>9.8000000000000007</v>
      </c>
      <c r="N25" s="45">
        <v>9.8000000000000007</v>
      </c>
      <c r="O25" s="45">
        <v>9.8000000000000007</v>
      </c>
      <c r="P25" s="45">
        <v>9.8000000000000007</v>
      </c>
      <c r="Q25" s="45">
        <v>9.8000000000000007</v>
      </c>
      <c r="R25" s="45">
        <v>9.8000000000000007</v>
      </c>
      <c r="S25" s="45">
        <v>9.8000000000000007</v>
      </c>
      <c r="T25" s="45">
        <v>9.8000000000000007</v>
      </c>
      <c r="U25" s="45">
        <v>9.8000000000000007</v>
      </c>
      <c r="V25" s="45">
        <v>9.8000000000000007</v>
      </c>
      <c r="W25" s="45">
        <v>9.8000000000000007</v>
      </c>
      <c r="X25" s="45">
        <v>9.8000000000000007</v>
      </c>
      <c r="Y25" s="45">
        <v>9.8000000000000007</v>
      </c>
      <c r="Z25" s="45">
        <v>9.8000000000000007</v>
      </c>
      <c r="AA25" s="45">
        <v>9.8000000000000007</v>
      </c>
      <c r="AB25" s="45">
        <v>9.8000000000000007</v>
      </c>
      <c r="AC25" s="45">
        <v>9.8000000000000007</v>
      </c>
      <c r="AD25" s="45">
        <v>9.8000000000000007</v>
      </c>
      <c r="AE25" s="45">
        <v>9.8000000000000007</v>
      </c>
      <c r="AF25" s="45">
        <v>9.8000000000000007</v>
      </c>
      <c r="AG25" s="52">
        <v>30</v>
      </c>
      <c r="AH25" s="47">
        <f t="shared" si="2"/>
        <v>10.8</v>
      </c>
      <c r="AI25" s="48">
        <f t="shared" si="3"/>
        <v>9.8000000000000007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13.3</v>
      </c>
      <c r="C26" s="45">
        <v>12.7</v>
      </c>
      <c r="D26" s="45">
        <v>8.8000000000000007</v>
      </c>
      <c r="E26" s="45">
        <v>8.8000000000000007</v>
      </c>
      <c r="F26" s="45">
        <v>8.8000000000000007</v>
      </c>
      <c r="G26" s="45">
        <v>8.8000000000000007</v>
      </c>
      <c r="H26" s="45">
        <v>8.8000000000000007</v>
      </c>
      <c r="I26" s="45">
        <v>8.8000000000000007</v>
      </c>
      <c r="J26" s="45">
        <v>8.8000000000000007</v>
      </c>
      <c r="K26" s="45">
        <v>8.8000000000000007</v>
      </c>
      <c r="L26" s="45">
        <v>8.8000000000000007</v>
      </c>
      <c r="M26" s="45">
        <v>8.8000000000000007</v>
      </c>
      <c r="N26" s="45">
        <v>8.8000000000000007</v>
      </c>
      <c r="O26" s="45">
        <v>8.8000000000000007</v>
      </c>
      <c r="P26" s="45">
        <v>8.8000000000000007</v>
      </c>
      <c r="Q26" s="45">
        <v>8.8000000000000007</v>
      </c>
      <c r="R26" s="45">
        <v>8.8000000000000007</v>
      </c>
      <c r="S26" s="45">
        <v>8.8000000000000007</v>
      </c>
      <c r="T26" s="45">
        <v>8.8000000000000007</v>
      </c>
      <c r="U26" s="45">
        <v>8.8000000000000007</v>
      </c>
      <c r="V26" s="45">
        <v>8.8000000000000007</v>
      </c>
      <c r="W26" s="45">
        <v>8.8000000000000007</v>
      </c>
      <c r="X26" s="45">
        <v>8.8000000000000007</v>
      </c>
      <c r="Y26" s="45">
        <v>8.8000000000000007</v>
      </c>
      <c r="Z26" s="45">
        <v>8.8000000000000007</v>
      </c>
      <c r="AA26" s="45">
        <v>8.8000000000000007</v>
      </c>
      <c r="AB26" s="45">
        <v>8.8000000000000007</v>
      </c>
      <c r="AC26" s="45">
        <v>8.8000000000000007</v>
      </c>
      <c r="AD26" s="45">
        <v>8.8000000000000007</v>
      </c>
      <c r="AE26" s="45">
        <v>8.8000000000000007</v>
      </c>
      <c r="AF26" s="45">
        <v>8.8000000000000007</v>
      </c>
      <c r="AG26" s="49">
        <v>25</v>
      </c>
      <c r="AH26" s="47">
        <f t="shared" si="2"/>
        <v>13.3</v>
      </c>
      <c r="AI26" s="48">
        <f t="shared" si="3"/>
        <v>8.8000000000000007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12.2</v>
      </c>
      <c r="C29" s="45">
        <v>12.2</v>
      </c>
      <c r="D29" s="45">
        <v>12.2</v>
      </c>
      <c r="E29" s="45">
        <v>12.2</v>
      </c>
      <c r="F29" s="45">
        <v>12.2</v>
      </c>
      <c r="G29" s="45">
        <v>12.2</v>
      </c>
      <c r="H29" s="45">
        <v>12.2</v>
      </c>
      <c r="I29" s="45">
        <v>12.2</v>
      </c>
      <c r="J29" s="45">
        <v>12.2</v>
      </c>
      <c r="K29" s="45">
        <v>12.2</v>
      </c>
      <c r="L29" s="45">
        <v>12.2</v>
      </c>
      <c r="M29" s="45">
        <v>12.2</v>
      </c>
      <c r="N29" s="45">
        <v>12.2</v>
      </c>
      <c r="O29" s="45">
        <v>12.2</v>
      </c>
      <c r="P29" s="45">
        <v>12.2</v>
      </c>
      <c r="Q29" s="45">
        <v>12.2</v>
      </c>
      <c r="R29" s="45">
        <v>12.2</v>
      </c>
      <c r="S29" s="45">
        <v>12.2</v>
      </c>
      <c r="T29" s="45">
        <v>12.2</v>
      </c>
      <c r="U29" s="45">
        <v>12.2</v>
      </c>
      <c r="V29" s="45">
        <v>12.2</v>
      </c>
      <c r="W29" s="45">
        <v>12.2</v>
      </c>
      <c r="X29" s="45">
        <v>12.2</v>
      </c>
      <c r="Y29" s="45">
        <v>12.2</v>
      </c>
      <c r="Z29" s="45">
        <v>12.2</v>
      </c>
      <c r="AA29" s="45">
        <v>12.2</v>
      </c>
      <c r="AB29" s="45">
        <v>12.2</v>
      </c>
      <c r="AC29" s="45">
        <v>12.2</v>
      </c>
      <c r="AD29" s="45">
        <v>12.2</v>
      </c>
      <c r="AE29" s="45">
        <v>12.2</v>
      </c>
      <c r="AF29" s="45">
        <v>12.2</v>
      </c>
      <c r="AG29" s="49">
        <v>25</v>
      </c>
      <c r="AH29" s="47">
        <f t="shared" si="2"/>
        <v>12.2</v>
      </c>
      <c r="AI29" s="48">
        <f t="shared" si="3"/>
        <v>12.2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11.4</v>
      </c>
      <c r="C30" s="45">
        <v>11.4</v>
      </c>
      <c r="D30" s="45">
        <v>11.4</v>
      </c>
      <c r="E30" s="45">
        <v>11.4</v>
      </c>
      <c r="F30" s="45">
        <v>11.4</v>
      </c>
      <c r="G30" s="45">
        <v>11.4</v>
      </c>
      <c r="H30" s="45">
        <v>11.4</v>
      </c>
      <c r="I30" s="45">
        <v>11.4</v>
      </c>
      <c r="J30" s="45">
        <v>11.4</v>
      </c>
      <c r="K30" s="45">
        <v>11.4</v>
      </c>
      <c r="L30" s="45">
        <v>11.4</v>
      </c>
      <c r="M30" s="45">
        <v>11.4</v>
      </c>
      <c r="N30" s="45">
        <v>11.4</v>
      </c>
      <c r="O30" s="45">
        <v>11.4</v>
      </c>
      <c r="P30" s="45">
        <v>11.4</v>
      </c>
      <c r="Q30" s="45">
        <v>11.4</v>
      </c>
      <c r="R30" s="45">
        <v>11.4</v>
      </c>
      <c r="S30" s="45">
        <v>11.4</v>
      </c>
      <c r="T30" s="45">
        <v>11.4</v>
      </c>
      <c r="U30" s="45">
        <v>11.4</v>
      </c>
      <c r="V30" s="45">
        <v>11.4</v>
      </c>
      <c r="W30" s="45">
        <v>11.4</v>
      </c>
      <c r="X30" s="45">
        <v>11.4</v>
      </c>
      <c r="Y30" s="45">
        <v>11.4</v>
      </c>
      <c r="Z30" s="45">
        <v>11.4</v>
      </c>
      <c r="AA30" s="45">
        <v>11.4</v>
      </c>
      <c r="AB30" s="45">
        <v>11.4</v>
      </c>
      <c r="AC30" s="45">
        <v>11.4</v>
      </c>
      <c r="AD30" s="45">
        <v>11.4</v>
      </c>
      <c r="AE30" s="45">
        <v>11.4</v>
      </c>
      <c r="AF30" s="45">
        <v>11.4</v>
      </c>
      <c r="AG30" s="49">
        <v>23.5</v>
      </c>
      <c r="AH30" s="47">
        <f t="shared" si="2"/>
        <v>11.4</v>
      </c>
      <c r="AI30" s="48">
        <f t="shared" si="3"/>
        <v>11.4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49">
        <v>22</v>
      </c>
      <c r="AH33" s="47">
        <f t="shared" si="2"/>
        <v>7</v>
      </c>
      <c r="AI33" s="48">
        <f t="shared" si="3"/>
        <v>7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11.6</v>
      </c>
      <c r="C34" s="45">
        <v>11.5</v>
      </c>
      <c r="D34" s="45">
        <v>12.1</v>
      </c>
      <c r="E34" s="45">
        <v>12.1</v>
      </c>
      <c r="F34" s="45">
        <v>12.1</v>
      </c>
      <c r="G34" s="45">
        <v>12.1</v>
      </c>
      <c r="H34" s="45">
        <v>12.1</v>
      </c>
      <c r="I34" s="45">
        <v>12.1</v>
      </c>
      <c r="J34" s="45">
        <v>12.1</v>
      </c>
      <c r="K34" s="45">
        <v>12.1</v>
      </c>
      <c r="L34" s="45">
        <v>12.1</v>
      </c>
      <c r="M34" s="45">
        <v>12.1</v>
      </c>
      <c r="N34" s="45">
        <v>12.1</v>
      </c>
      <c r="O34" s="45">
        <v>12.1</v>
      </c>
      <c r="P34" s="45">
        <v>12.1</v>
      </c>
      <c r="Q34" s="45">
        <v>12.1</v>
      </c>
      <c r="R34" s="45">
        <v>12.1</v>
      </c>
      <c r="S34" s="45">
        <v>12.1</v>
      </c>
      <c r="T34" s="45">
        <v>12.1</v>
      </c>
      <c r="U34" s="45">
        <v>12.1</v>
      </c>
      <c r="V34" s="45">
        <v>12.1</v>
      </c>
      <c r="W34" s="45">
        <v>12.1</v>
      </c>
      <c r="X34" s="45">
        <v>12.1</v>
      </c>
      <c r="Y34" s="45">
        <v>12.1</v>
      </c>
      <c r="Z34" s="45">
        <v>12.1</v>
      </c>
      <c r="AA34" s="45">
        <v>12.1</v>
      </c>
      <c r="AB34" s="45">
        <v>12.1</v>
      </c>
      <c r="AC34" s="45">
        <v>12.1</v>
      </c>
      <c r="AD34" s="45">
        <v>12.1</v>
      </c>
      <c r="AE34" s="45">
        <v>12.1</v>
      </c>
      <c r="AF34" s="45">
        <v>12.1</v>
      </c>
      <c r="AG34" s="49">
        <v>22</v>
      </c>
      <c r="AH34" s="47">
        <f t="shared" si="2"/>
        <v>12.1</v>
      </c>
      <c r="AI34" s="48">
        <f t="shared" si="3"/>
        <v>11.5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6</v>
      </c>
      <c r="AG37" s="49">
        <v>18</v>
      </c>
      <c r="AH37" s="47">
        <f t="shared" si="2"/>
        <v>6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3.7</v>
      </c>
      <c r="C50" s="45">
        <v>3.7</v>
      </c>
      <c r="D50" s="45">
        <v>3.7</v>
      </c>
      <c r="E50" s="45">
        <v>3.7</v>
      </c>
      <c r="F50" s="45">
        <v>3.7</v>
      </c>
      <c r="G50" s="45">
        <v>3.7</v>
      </c>
      <c r="H50" s="45">
        <v>3.7</v>
      </c>
      <c r="I50" s="45">
        <v>3.7</v>
      </c>
      <c r="J50" s="45">
        <v>3.7</v>
      </c>
      <c r="K50" s="45">
        <v>3.7</v>
      </c>
      <c r="L50" s="45">
        <v>3.7</v>
      </c>
      <c r="M50" s="45">
        <v>3.7</v>
      </c>
      <c r="N50" s="45">
        <v>3.7</v>
      </c>
      <c r="O50" s="45">
        <v>3.7</v>
      </c>
      <c r="P50" s="45">
        <v>3.7</v>
      </c>
      <c r="Q50" s="45">
        <v>3.7</v>
      </c>
      <c r="R50" s="45">
        <v>3.7</v>
      </c>
      <c r="S50" s="45">
        <v>3.7</v>
      </c>
      <c r="T50" s="45">
        <v>3.7</v>
      </c>
      <c r="U50" s="45">
        <v>3.7</v>
      </c>
      <c r="V50" s="45">
        <v>3.7</v>
      </c>
      <c r="W50" s="45">
        <v>3.7</v>
      </c>
      <c r="X50" s="45">
        <v>3.7</v>
      </c>
      <c r="Y50" s="45">
        <v>3.7</v>
      </c>
      <c r="Z50" s="45">
        <v>3.7</v>
      </c>
      <c r="AA50" s="45">
        <v>3.7</v>
      </c>
      <c r="AB50" s="45">
        <v>3.7</v>
      </c>
      <c r="AC50" s="45">
        <v>3.7</v>
      </c>
      <c r="AD50" s="45">
        <v>3.7</v>
      </c>
      <c r="AE50" s="45">
        <v>3.7</v>
      </c>
      <c r="AF50" s="45">
        <v>3.7</v>
      </c>
      <c r="AG50" s="55">
        <v>11</v>
      </c>
      <c r="AH50" s="47">
        <f t="shared" si="2"/>
        <v>3.7</v>
      </c>
      <c r="AI50" s="48">
        <f t="shared" si="3"/>
        <v>3.7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4.5999999999999996</v>
      </c>
      <c r="C52" s="45">
        <v>4.5999999999999996</v>
      </c>
      <c r="D52" s="45">
        <v>4.5999999999999996</v>
      </c>
      <c r="E52" s="45">
        <v>4.5999999999999996</v>
      </c>
      <c r="F52" s="45">
        <v>4.5999999999999996</v>
      </c>
      <c r="G52" s="45">
        <v>4.5999999999999996</v>
      </c>
      <c r="H52" s="45">
        <v>4.5999999999999996</v>
      </c>
      <c r="I52" s="45">
        <v>4.5999999999999996</v>
      </c>
      <c r="J52" s="45">
        <v>4.5999999999999996</v>
      </c>
      <c r="K52" s="45">
        <v>4.5999999999999996</v>
      </c>
      <c r="L52" s="45">
        <v>4.5999999999999996</v>
      </c>
      <c r="M52" s="45">
        <v>4.5999999999999996</v>
      </c>
      <c r="N52" s="45">
        <v>4.5999999999999996</v>
      </c>
      <c r="O52" s="45">
        <v>4.5999999999999996</v>
      </c>
      <c r="P52" s="45">
        <v>4.5999999999999996</v>
      </c>
      <c r="Q52" s="45">
        <v>4.5999999999999996</v>
      </c>
      <c r="R52" s="45">
        <v>4.5999999999999996</v>
      </c>
      <c r="S52" s="45">
        <v>4.5999999999999996</v>
      </c>
      <c r="T52" s="45">
        <v>4.5999999999999996</v>
      </c>
      <c r="U52" s="45">
        <v>4.5999999999999996</v>
      </c>
      <c r="V52" s="45">
        <v>4.5999999999999996</v>
      </c>
      <c r="W52" s="45">
        <v>4.5999999999999996</v>
      </c>
      <c r="X52" s="45">
        <v>4.5999999999999996</v>
      </c>
      <c r="Y52" s="45">
        <v>4.5999999999999996</v>
      </c>
      <c r="Z52" s="45">
        <v>4.5999999999999996</v>
      </c>
      <c r="AA52" s="45">
        <v>4.5999999999999996</v>
      </c>
      <c r="AB52" s="45">
        <v>4.5999999999999996</v>
      </c>
      <c r="AC52" s="45">
        <v>4.5999999999999996</v>
      </c>
      <c r="AD52" s="45">
        <v>4.5999999999999996</v>
      </c>
      <c r="AE52" s="45">
        <v>4.5999999999999996</v>
      </c>
      <c r="AF52" s="45">
        <v>4.5999999999999996</v>
      </c>
      <c r="AG52" s="55">
        <v>10</v>
      </c>
      <c r="AH52" s="47">
        <f t="shared" si="2"/>
        <v>4.5999999999999996</v>
      </c>
      <c r="AI52" s="48">
        <f t="shared" si="3"/>
        <v>4.5999999999999996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250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250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f>10.2+29.6</f>
        <v>39.799999999999997</v>
      </c>
      <c r="C57" s="57">
        <f>10.2+29.3</f>
        <v>39.5</v>
      </c>
      <c r="D57" s="57">
        <f>9.7+28.8</f>
        <v>38.5</v>
      </c>
      <c r="E57" s="57">
        <f>28.7+9.7</f>
        <v>38.4</v>
      </c>
      <c r="F57" s="57">
        <f>28.7+9.7</f>
        <v>38.4</v>
      </c>
      <c r="G57" s="57">
        <f>26.9+9.5</f>
        <v>36.4</v>
      </c>
      <c r="H57" s="57">
        <f>25.7+9.1</f>
        <v>34.799999999999997</v>
      </c>
      <c r="I57" s="57">
        <f>25.7+9.1</f>
        <v>34.799999999999997</v>
      </c>
      <c r="J57" s="57">
        <f>25.7+9.1</f>
        <v>34.799999999999997</v>
      </c>
      <c r="K57" s="57">
        <f>25.7+9.1</f>
        <v>34.799999999999997</v>
      </c>
      <c r="L57" s="51">
        <f>24.6+8.3</f>
        <v>32.900000000000006</v>
      </c>
      <c r="M57" s="51">
        <f>24.6+8.3</f>
        <v>32.900000000000006</v>
      </c>
      <c r="N57" s="51">
        <f t="shared" ref="N57:S57" si="4">24.6+8.3</f>
        <v>32.900000000000006</v>
      </c>
      <c r="O57" s="51">
        <f t="shared" si="4"/>
        <v>32.900000000000006</v>
      </c>
      <c r="P57" s="51">
        <f t="shared" si="4"/>
        <v>32.900000000000006</v>
      </c>
      <c r="Q57" s="51">
        <f t="shared" si="4"/>
        <v>32.900000000000006</v>
      </c>
      <c r="R57" s="51">
        <f t="shared" si="4"/>
        <v>32.900000000000006</v>
      </c>
      <c r="S57" s="51">
        <f t="shared" si="4"/>
        <v>32.900000000000006</v>
      </c>
      <c r="T57" s="51">
        <v>37.020000000000003</v>
      </c>
      <c r="U57" s="51">
        <v>37.020000000000003</v>
      </c>
      <c r="V57" s="51">
        <v>33.4</v>
      </c>
      <c r="W57" s="51">
        <v>32.799999999999997</v>
      </c>
      <c r="X57" s="51">
        <v>29</v>
      </c>
      <c r="Y57" s="51">
        <v>29</v>
      </c>
      <c r="Z57" s="51">
        <v>29</v>
      </c>
      <c r="AA57" s="51">
        <v>29</v>
      </c>
      <c r="AB57" s="57">
        <f>7.6+22.9</f>
        <v>30.5</v>
      </c>
      <c r="AC57" s="57">
        <f>7.6+22.9</f>
        <v>30.5</v>
      </c>
      <c r="AD57" s="57">
        <f>7.6+22.9</f>
        <v>30.5</v>
      </c>
      <c r="AE57" s="57">
        <f>7.6+22.9</f>
        <v>30.5</v>
      </c>
      <c r="AF57" s="57">
        <f>7.6+22.9</f>
        <v>30.5</v>
      </c>
      <c r="AG57" s="55">
        <v>240</v>
      </c>
      <c r="AH57" s="47">
        <f t="shared" si="2"/>
        <v>39.799999999999997</v>
      </c>
      <c r="AI57" s="48">
        <f t="shared" si="3"/>
        <v>29</v>
      </c>
      <c r="AK57" s="50"/>
    </row>
    <row r="58" spans="1:88" ht="15.75" thickBot="1" x14ac:dyDescent="0.3">
      <c r="A58" s="59" t="s">
        <v>58</v>
      </c>
      <c r="B58" s="60">
        <f t="shared" ref="B58:D58" si="5">SUM(B11:B56)</f>
        <v>703.40000000000009</v>
      </c>
      <c r="C58" s="60">
        <f t="shared" si="5"/>
        <v>653.9</v>
      </c>
      <c r="D58" s="60">
        <f t="shared" si="5"/>
        <v>648.5</v>
      </c>
      <c r="E58" s="60">
        <f t="shared" ref="E58:AF58" si="6">SUM(E11:E56)</f>
        <v>647.6</v>
      </c>
      <c r="F58" s="60">
        <f t="shared" si="6"/>
        <v>647.40000000000009</v>
      </c>
      <c r="G58" s="60">
        <f t="shared" si="6"/>
        <v>647.29999999999995</v>
      </c>
      <c r="H58" s="60">
        <f t="shared" si="6"/>
        <v>646.79999999999995</v>
      </c>
      <c r="I58" s="60">
        <f t="shared" si="6"/>
        <v>646.79999999999995</v>
      </c>
      <c r="J58" s="60">
        <f t="shared" si="6"/>
        <v>646.70000000000005</v>
      </c>
      <c r="K58" s="60">
        <f t="shared" si="6"/>
        <v>646.70000000000005</v>
      </c>
      <c r="L58" s="60">
        <f t="shared" si="6"/>
        <v>646.70000000000005</v>
      </c>
      <c r="M58" s="60">
        <f t="shared" si="6"/>
        <v>646.70000000000005</v>
      </c>
      <c r="N58" s="60">
        <f t="shared" si="6"/>
        <v>646.70000000000005</v>
      </c>
      <c r="O58" s="60">
        <f t="shared" si="6"/>
        <v>646.70000000000005</v>
      </c>
      <c r="P58" s="60">
        <f t="shared" si="6"/>
        <v>646.70000000000005</v>
      </c>
      <c r="Q58" s="60">
        <f t="shared" si="6"/>
        <v>646.70000000000005</v>
      </c>
      <c r="R58" s="60">
        <f t="shared" si="6"/>
        <v>640.70000000000005</v>
      </c>
      <c r="S58" s="60">
        <f t="shared" si="6"/>
        <v>640.70000000000005</v>
      </c>
      <c r="T58" s="60">
        <f t="shared" si="6"/>
        <v>638</v>
      </c>
      <c r="U58" s="60">
        <f t="shared" si="6"/>
        <v>638.09900000000005</v>
      </c>
      <c r="V58" s="60">
        <f t="shared" si="6"/>
        <v>638.09900000000005</v>
      </c>
      <c r="W58" s="60">
        <f t="shared" si="6"/>
        <v>638.09900000000005</v>
      </c>
      <c r="X58" s="60">
        <f t="shared" si="6"/>
        <v>638.09900000000005</v>
      </c>
      <c r="Y58" s="60">
        <f t="shared" ref="Y58" si="7">SUM(Y11:Y56)</f>
        <v>636.46</v>
      </c>
      <c r="Z58" s="60">
        <f t="shared" si="6"/>
        <v>636</v>
      </c>
      <c r="AA58" s="60">
        <f t="shared" ref="AA58" si="8">SUM(AA11:AA56)</f>
        <v>636</v>
      </c>
      <c r="AB58" s="60">
        <f t="shared" si="6"/>
        <v>635.10000000000014</v>
      </c>
      <c r="AC58" s="60">
        <f t="shared" si="6"/>
        <v>635.10000000000014</v>
      </c>
      <c r="AD58" s="60">
        <f t="shared" si="6"/>
        <v>635.10000000000014</v>
      </c>
      <c r="AE58" s="60">
        <f t="shared" si="6"/>
        <v>635.10000000000014</v>
      </c>
      <c r="AF58" s="60">
        <f t="shared" si="6"/>
        <v>641.10000000000014</v>
      </c>
      <c r="AG58" s="61">
        <f>SUM(AG14:AG56)</f>
        <v>1042.4000000000001</v>
      </c>
      <c r="AH58" s="47">
        <f t="shared" si="2"/>
        <v>703.40000000000009</v>
      </c>
      <c r="AI58" s="48">
        <f t="shared" si="3"/>
        <v>635.10000000000014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60</v>
      </c>
      <c r="K59" s="45">
        <v>150</v>
      </c>
      <c r="L59" s="45">
        <v>370</v>
      </c>
      <c r="M59" s="45">
        <v>380</v>
      </c>
      <c r="N59" s="63">
        <v>360</v>
      </c>
      <c r="O59" s="63">
        <v>290</v>
      </c>
      <c r="P59" s="63">
        <v>140</v>
      </c>
      <c r="Q59" s="63">
        <v>20</v>
      </c>
      <c r="R59" s="63">
        <v>30</v>
      </c>
      <c r="S59" s="45">
        <v>75</v>
      </c>
      <c r="T59" s="45">
        <v>66</v>
      </c>
      <c r="U59" s="45">
        <v>12</v>
      </c>
      <c r="V59" s="45">
        <v>240</v>
      </c>
      <c r="W59" s="45">
        <v>380</v>
      </c>
      <c r="X59" s="45">
        <v>456</v>
      </c>
      <c r="Y59" s="45">
        <v>456</v>
      </c>
      <c r="Z59" s="45">
        <v>346</v>
      </c>
      <c r="AA59" s="45">
        <v>346</v>
      </c>
      <c r="AB59" s="45">
        <v>100</v>
      </c>
      <c r="AC59" s="45">
        <v>100</v>
      </c>
      <c r="AD59" s="45">
        <v>15</v>
      </c>
      <c r="AE59" s="45">
        <v>0</v>
      </c>
      <c r="AF59" s="45">
        <v>0</v>
      </c>
      <c r="AG59" s="52">
        <v>456</v>
      </c>
      <c r="AH59" s="47">
        <f t="shared" si="2"/>
        <v>456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42</v>
      </c>
      <c r="C60" s="65">
        <v>42</v>
      </c>
      <c r="D60" s="65">
        <v>42</v>
      </c>
      <c r="E60" s="65">
        <v>42</v>
      </c>
      <c r="F60" s="65">
        <v>42</v>
      </c>
      <c r="G60" s="65">
        <v>42</v>
      </c>
      <c r="H60" s="65">
        <v>42</v>
      </c>
      <c r="I60" s="65">
        <v>42</v>
      </c>
      <c r="J60" s="65">
        <v>42</v>
      </c>
      <c r="K60" s="65">
        <v>42</v>
      </c>
      <c r="L60" s="65">
        <v>42</v>
      </c>
      <c r="M60" s="65">
        <v>42</v>
      </c>
      <c r="N60" s="65">
        <v>42</v>
      </c>
      <c r="O60" s="65">
        <v>42</v>
      </c>
      <c r="P60" s="65">
        <v>42</v>
      </c>
      <c r="Q60" s="65">
        <v>42</v>
      </c>
      <c r="R60" s="65">
        <v>42</v>
      </c>
      <c r="S60" s="65">
        <v>42</v>
      </c>
      <c r="T60" s="65">
        <v>42</v>
      </c>
      <c r="U60" s="65">
        <v>42</v>
      </c>
      <c r="V60" s="65">
        <v>42</v>
      </c>
      <c r="W60" s="65">
        <v>42</v>
      </c>
      <c r="X60" s="65">
        <v>42</v>
      </c>
      <c r="Y60" s="65">
        <v>42</v>
      </c>
      <c r="Z60" s="65">
        <v>42</v>
      </c>
      <c r="AA60" s="65">
        <v>42</v>
      </c>
      <c r="AB60" s="65">
        <v>42</v>
      </c>
      <c r="AC60" s="65">
        <v>42</v>
      </c>
      <c r="AD60" s="65">
        <v>42</v>
      </c>
      <c r="AE60" s="65">
        <v>42</v>
      </c>
      <c r="AF60" s="65">
        <v>42</v>
      </c>
      <c r="AG60" s="55">
        <v>60</v>
      </c>
      <c r="AH60" s="47">
        <f t="shared" si="2"/>
        <v>42</v>
      </c>
      <c r="AI60" s="48">
        <f t="shared" si="3"/>
        <v>42</v>
      </c>
      <c r="AK60" s="50"/>
    </row>
    <row r="61" spans="1:88" ht="15.75" thickBot="1" x14ac:dyDescent="0.3">
      <c r="A61" s="66" t="s">
        <v>61</v>
      </c>
      <c r="B61" s="67">
        <v>14.1</v>
      </c>
      <c r="C61" s="67">
        <v>14.2</v>
      </c>
      <c r="D61" s="67">
        <v>14.2</v>
      </c>
      <c r="E61" s="67">
        <v>14.1</v>
      </c>
      <c r="F61" s="67">
        <v>14.2</v>
      </c>
      <c r="G61" s="67">
        <v>14.2</v>
      </c>
      <c r="H61" s="67">
        <v>14.2</v>
      </c>
      <c r="I61" s="67">
        <v>14.2</v>
      </c>
      <c r="J61" s="67">
        <v>14.2</v>
      </c>
      <c r="K61" s="67">
        <v>14.2</v>
      </c>
      <c r="L61" s="67">
        <v>19.600000000000001</v>
      </c>
      <c r="M61" s="67">
        <v>14.1</v>
      </c>
      <c r="N61" s="67">
        <v>14.1</v>
      </c>
      <c r="O61" s="67">
        <v>14.1</v>
      </c>
      <c r="P61" s="67">
        <v>14.1</v>
      </c>
      <c r="Q61" s="67">
        <v>14.1</v>
      </c>
      <c r="R61" s="67">
        <v>14.1</v>
      </c>
      <c r="S61" s="67">
        <v>14.1</v>
      </c>
      <c r="T61" s="67">
        <v>14.1</v>
      </c>
      <c r="U61" s="67">
        <v>14.1</v>
      </c>
      <c r="V61" s="67">
        <v>14.1</v>
      </c>
      <c r="W61" s="67">
        <v>14.2</v>
      </c>
      <c r="X61" s="67">
        <v>20.2</v>
      </c>
      <c r="Y61" s="67">
        <v>20.2</v>
      </c>
      <c r="Z61" s="67">
        <v>20.2</v>
      </c>
      <c r="AA61" s="67">
        <v>20.2</v>
      </c>
      <c r="AB61" s="67">
        <v>20.2</v>
      </c>
      <c r="AC61" s="67">
        <v>20.2</v>
      </c>
      <c r="AD61" s="67">
        <v>13.2</v>
      </c>
      <c r="AE61" s="67">
        <v>13.2</v>
      </c>
      <c r="AF61" s="67">
        <v>13.1</v>
      </c>
      <c r="AG61" s="68">
        <v>22.1</v>
      </c>
      <c r="AH61" s="47">
        <f t="shared" si="2"/>
        <v>20.2</v>
      </c>
      <c r="AI61" s="48">
        <f t="shared" si="3"/>
        <v>13.1</v>
      </c>
      <c r="AK61" s="50"/>
    </row>
    <row r="62" spans="1:88" ht="15.75" thickBot="1" x14ac:dyDescent="0.3">
      <c r="A62" s="69" t="s">
        <v>62</v>
      </c>
      <c r="B62" s="60">
        <f t="shared" ref="B62:AG62" si="9">SUM(B59:B61)</f>
        <v>56.1</v>
      </c>
      <c r="C62" s="60">
        <f t="shared" si="9"/>
        <v>56.2</v>
      </c>
      <c r="D62" s="60">
        <f t="shared" si="9"/>
        <v>56.2</v>
      </c>
      <c r="E62" s="60">
        <f t="shared" si="9"/>
        <v>56.1</v>
      </c>
      <c r="F62" s="60">
        <f t="shared" si="9"/>
        <v>56.2</v>
      </c>
      <c r="G62" s="60">
        <f t="shared" si="9"/>
        <v>56.2</v>
      </c>
      <c r="H62" s="60">
        <f t="shared" si="9"/>
        <v>56.2</v>
      </c>
      <c r="I62" s="60">
        <f t="shared" si="9"/>
        <v>56.2</v>
      </c>
      <c r="J62" s="60">
        <f t="shared" si="9"/>
        <v>116.2</v>
      </c>
      <c r="K62" s="60">
        <f t="shared" si="9"/>
        <v>206.2</v>
      </c>
      <c r="L62" s="60">
        <f t="shared" si="9"/>
        <v>431.6</v>
      </c>
      <c r="M62" s="60">
        <f t="shared" si="9"/>
        <v>436.1</v>
      </c>
      <c r="N62" s="60">
        <f t="shared" si="9"/>
        <v>416.1</v>
      </c>
      <c r="O62" s="60">
        <f t="shared" si="9"/>
        <v>346.1</v>
      </c>
      <c r="P62" s="60">
        <f t="shared" si="9"/>
        <v>196.1</v>
      </c>
      <c r="Q62" s="60">
        <f t="shared" si="9"/>
        <v>76.099999999999994</v>
      </c>
      <c r="R62" s="60">
        <f t="shared" si="9"/>
        <v>86.1</v>
      </c>
      <c r="S62" s="60">
        <f t="shared" si="9"/>
        <v>131.1</v>
      </c>
      <c r="T62" s="60">
        <f t="shared" si="9"/>
        <v>122.1</v>
      </c>
      <c r="U62" s="60">
        <f t="shared" si="9"/>
        <v>68.099999999999994</v>
      </c>
      <c r="V62" s="60">
        <f t="shared" si="9"/>
        <v>296.10000000000002</v>
      </c>
      <c r="W62" s="60">
        <f t="shared" si="9"/>
        <v>436.2</v>
      </c>
      <c r="X62" s="60">
        <f t="shared" si="9"/>
        <v>518.20000000000005</v>
      </c>
      <c r="Y62" s="60">
        <f t="shared" si="9"/>
        <v>518.20000000000005</v>
      </c>
      <c r="Z62" s="60">
        <f t="shared" si="9"/>
        <v>408.2</v>
      </c>
      <c r="AA62" s="60">
        <f t="shared" si="9"/>
        <v>408.2</v>
      </c>
      <c r="AB62" s="60">
        <f t="shared" si="9"/>
        <v>162.19999999999999</v>
      </c>
      <c r="AC62" s="60">
        <f t="shared" si="9"/>
        <v>162.19999999999999</v>
      </c>
      <c r="AD62" s="60">
        <f t="shared" si="9"/>
        <v>70.2</v>
      </c>
      <c r="AE62" s="60">
        <f t="shared" si="9"/>
        <v>55.2</v>
      </c>
      <c r="AF62" s="60">
        <f t="shared" si="9"/>
        <v>55.1</v>
      </c>
      <c r="AG62" s="61">
        <f t="shared" si="9"/>
        <v>538.1</v>
      </c>
      <c r="AH62" s="47">
        <f t="shared" si="2"/>
        <v>518.20000000000005</v>
      </c>
      <c r="AI62" s="48">
        <f t="shared" si="3"/>
        <v>55.1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30.2</v>
      </c>
      <c r="G63" s="45">
        <v>80</v>
      </c>
      <c r="H63" s="45">
        <v>81</v>
      </c>
      <c r="I63" s="45">
        <v>81</v>
      </c>
      <c r="J63" s="45">
        <v>116.1</v>
      </c>
      <c r="K63" s="45">
        <v>145.80000000000001</v>
      </c>
      <c r="L63" s="45">
        <v>145.9</v>
      </c>
      <c r="M63" s="45">
        <v>145.9</v>
      </c>
      <c r="N63" s="45">
        <v>145.9</v>
      </c>
      <c r="O63" s="45">
        <v>145</v>
      </c>
      <c r="P63" s="45">
        <v>145</v>
      </c>
      <c r="Q63" s="45">
        <v>109.3</v>
      </c>
      <c r="R63" s="45">
        <v>71.2</v>
      </c>
      <c r="S63" s="45">
        <v>80.8</v>
      </c>
      <c r="T63" s="45">
        <v>81.099999999999994</v>
      </c>
      <c r="U63" s="45">
        <v>96.1</v>
      </c>
      <c r="V63" s="45">
        <v>123</v>
      </c>
      <c r="W63" s="45">
        <v>144</v>
      </c>
      <c r="X63" s="45">
        <v>144</v>
      </c>
      <c r="Y63" s="45">
        <v>144</v>
      </c>
      <c r="Z63" s="45">
        <v>144</v>
      </c>
      <c r="AA63" s="45">
        <v>141.1</v>
      </c>
      <c r="AB63" s="45">
        <v>141.5</v>
      </c>
      <c r="AC63" s="45">
        <v>141.5</v>
      </c>
      <c r="AD63" s="45">
        <v>111</v>
      </c>
      <c r="AE63" s="45">
        <v>60.7</v>
      </c>
      <c r="AF63" s="45">
        <v>0</v>
      </c>
      <c r="AG63" s="52">
        <v>144</v>
      </c>
      <c r="AH63" s="47">
        <f t="shared" si="2"/>
        <v>145.9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35</v>
      </c>
      <c r="G64" s="65">
        <v>34.799999999999997</v>
      </c>
      <c r="H64" s="65">
        <v>59.3</v>
      </c>
      <c r="I64" s="65">
        <v>59.3</v>
      </c>
      <c r="J64" s="65">
        <v>50.8</v>
      </c>
      <c r="K64" s="65">
        <v>69.099999999999994</v>
      </c>
      <c r="L64" s="65">
        <v>69.400000000000006</v>
      </c>
      <c r="M64" s="65">
        <v>69.400000000000006</v>
      </c>
      <c r="N64" s="65">
        <v>61</v>
      </c>
      <c r="O64" s="65">
        <v>59</v>
      </c>
      <c r="P64" s="65">
        <v>59</v>
      </c>
      <c r="Q64" s="65">
        <v>30.4</v>
      </c>
      <c r="R64" s="65">
        <v>30.1</v>
      </c>
      <c r="S64" s="45">
        <v>30</v>
      </c>
      <c r="T64" s="45">
        <v>29.8</v>
      </c>
      <c r="U64" s="45">
        <v>35.6</v>
      </c>
      <c r="V64" s="45">
        <v>70</v>
      </c>
      <c r="W64" s="45">
        <v>70</v>
      </c>
      <c r="X64" s="45">
        <v>70</v>
      </c>
      <c r="Y64" s="45">
        <v>70</v>
      </c>
      <c r="Z64" s="45">
        <v>70</v>
      </c>
      <c r="AA64" s="45">
        <v>70</v>
      </c>
      <c r="AB64" s="45">
        <v>69.3</v>
      </c>
      <c r="AC64" s="45">
        <v>69.3</v>
      </c>
      <c r="AD64" s="65">
        <v>70.3</v>
      </c>
      <c r="AE64" s="45">
        <v>24.4</v>
      </c>
      <c r="AF64" s="45">
        <v>25.4</v>
      </c>
      <c r="AG64" s="55">
        <v>70</v>
      </c>
      <c r="AH64" s="47">
        <f t="shared" si="2"/>
        <v>70.3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32</v>
      </c>
      <c r="C65" s="65">
        <v>16</v>
      </c>
      <c r="D65" s="65">
        <v>16.3</v>
      </c>
      <c r="E65" s="65">
        <v>16.399999999999999</v>
      </c>
      <c r="F65" s="65">
        <v>33.299999999999997</v>
      </c>
      <c r="G65" s="65">
        <v>32.200000000000003</v>
      </c>
      <c r="H65" s="65">
        <v>33.200000000000003</v>
      </c>
      <c r="I65" s="65">
        <v>33.200000000000003</v>
      </c>
      <c r="J65" s="65">
        <v>49.8</v>
      </c>
      <c r="K65" s="65">
        <v>68.099999999999994</v>
      </c>
      <c r="L65" s="65">
        <v>68.5</v>
      </c>
      <c r="M65" s="65">
        <v>68.5</v>
      </c>
      <c r="N65" s="65">
        <v>62</v>
      </c>
      <c r="O65" s="65">
        <v>60.5</v>
      </c>
      <c r="P65" s="65">
        <v>60.5</v>
      </c>
      <c r="Q65" s="65">
        <v>34.299999999999997</v>
      </c>
      <c r="R65" s="65">
        <v>34.299999999999997</v>
      </c>
      <c r="S65" s="45">
        <v>34.5</v>
      </c>
      <c r="T65" s="45">
        <v>36.5</v>
      </c>
      <c r="U65" s="45">
        <v>46.5</v>
      </c>
      <c r="V65" s="45">
        <v>69</v>
      </c>
      <c r="W65" s="45">
        <v>69</v>
      </c>
      <c r="X65" s="45">
        <v>69</v>
      </c>
      <c r="Y65" s="45">
        <v>69</v>
      </c>
      <c r="Z65" s="45">
        <v>69</v>
      </c>
      <c r="AA65" s="45">
        <v>69</v>
      </c>
      <c r="AB65" s="45">
        <v>67.3</v>
      </c>
      <c r="AC65" s="45">
        <v>67.3</v>
      </c>
      <c r="AD65" s="65">
        <v>53.8</v>
      </c>
      <c r="AE65" s="45">
        <v>32.700000000000003</v>
      </c>
      <c r="AF65" s="45">
        <v>15.6</v>
      </c>
      <c r="AG65" s="55">
        <v>69</v>
      </c>
      <c r="AH65" s="47">
        <f t="shared" si="2"/>
        <v>69</v>
      </c>
      <c r="AI65" s="48">
        <f t="shared" si="3"/>
        <v>15.6</v>
      </c>
      <c r="AK65" s="50"/>
    </row>
    <row r="66" spans="1:41" x14ac:dyDescent="0.25">
      <c r="A66" s="54" t="s">
        <v>66</v>
      </c>
      <c r="B66" s="65">
        <v>57</v>
      </c>
      <c r="C66" s="65">
        <v>56.4</v>
      </c>
      <c r="D66" s="65">
        <v>54.2</v>
      </c>
      <c r="E66" s="65">
        <v>55.2</v>
      </c>
      <c r="F66" s="65">
        <v>55.2</v>
      </c>
      <c r="G66" s="65">
        <v>53.2</v>
      </c>
      <c r="H66" s="65">
        <v>56.5</v>
      </c>
      <c r="I66" s="65">
        <v>56.5</v>
      </c>
      <c r="J66" s="65">
        <v>56.5</v>
      </c>
      <c r="K66" s="57">
        <v>56.5</v>
      </c>
      <c r="L66" s="57">
        <v>56.5</v>
      </c>
      <c r="M66" s="57">
        <v>56.5</v>
      </c>
      <c r="N66" s="57">
        <v>56.5</v>
      </c>
      <c r="O66" s="57">
        <v>56.5</v>
      </c>
      <c r="P66" s="57">
        <v>56.5</v>
      </c>
      <c r="Q66" s="57">
        <v>58</v>
      </c>
      <c r="R66" s="57">
        <v>54.4</v>
      </c>
      <c r="S66" s="45">
        <v>51.4</v>
      </c>
      <c r="T66" s="45">
        <v>51.6</v>
      </c>
      <c r="U66" s="45">
        <v>54.4</v>
      </c>
      <c r="V66" s="45">
        <v>54.4</v>
      </c>
      <c r="W66" s="45">
        <v>54.4</v>
      </c>
      <c r="X66" s="45">
        <v>54.5</v>
      </c>
      <c r="Y66" s="45">
        <v>54.5</v>
      </c>
      <c r="Z66" s="45">
        <v>54.5</v>
      </c>
      <c r="AA66" s="45">
        <v>54.5</v>
      </c>
      <c r="AB66" s="45">
        <v>54.5</v>
      </c>
      <c r="AC66" s="45">
        <v>54.5</v>
      </c>
      <c r="AD66" s="65">
        <v>57.2</v>
      </c>
      <c r="AE66" s="45">
        <v>60.4</v>
      </c>
      <c r="AF66" s="45">
        <v>58.2</v>
      </c>
      <c r="AG66" s="55">
        <v>60</v>
      </c>
      <c r="AH66" s="47">
        <f t="shared" si="2"/>
        <v>60.4</v>
      </c>
      <c r="AI66" s="48">
        <f t="shared" si="3"/>
        <v>51.4</v>
      </c>
      <c r="AK66" s="50"/>
    </row>
    <row r="67" spans="1:41" x14ac:dyDescent="0.25">
      <c r="A67" s="54" t="s">
        <v>67</v>
      </c>
      <c r="B67" s="65">
        <v>0</v>
      </c>
      <c r="C67" s="65">
        <v>10</v>
      </c>
      <c r="D67" s="65">
        <v>10</v>
      </c>
      <c r="E67" s="65">
        <v>10</v>
      </c>
      <c r="F67" s="65">
        <v>10</v>
      </c>
      <c r="G67" s="65">
        <v>10</v>
      </c>
      <c r="H67" s="65">
        <v>10</v>
      </c>
      <c r="I67" s="65">
        <v>10</v>
      </c>
      <c r="J67" s="65">
        <v>28</v>
      </c>
      <c r="K67" s="57">
        <v>28</v>
      </c>
      <c r="L67" s="57">
        <v>23</v>
      </c>
      <c r="M67" s="57">
        <v>23</v>
      </c>
      <c r="N67" s="57">
        <v>10</v>
      </c>
      <c r="O67" s="57">
        <v>10</v>
      </c>
      <c r="P67" s="57">
        <v>10</v>
      </c>
      <c r="Q67" s="57">
        <v>0</v>
      </c>
      <c r="R67" s="57">
        <v>0</v>
      </c>
      <c r="S67" s="45">
        <v>0</v>
      </c>
      <c r="T67" s="45">
        <v>0</v>
      </c>
      <c r="U67" s="45">
        <v>15</v>
      </c>
      <c r="V67" s="45">
        <v>27</v>
      </c>
      <c r="W67" s="45">
        <v>27</v>
      </c>
      <c r="X67" s="45">
        <v>29</v>
      </c>
      <c r="Y67" s="45">
        <v>29</v>
      </c>
      <c r="Z67" s="45">
        <v>29</v>
      </c>
      <c r="AA67" s="45">
        <v>29</v>
      </c>
      <c r="AB67" s="45">
        <v>10</v>
      </c>
      <c r="AC67" s="45">
        <v>10</v>
      </c>
      <c r="AD67" s="65">
        <v>14</v>
      </c>
      <c r="AE67" s="45">
        <v>10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0.6</v>
      </c>
      <c r="M68" s="65">
        <v>0.6</v>
      </c>
      <c r="N68" s="65">
        <v>5</v>
      </c>
      <c r="O68" s="65">
        <v>14</v>
      </c>
      <c r="P68" s="65">
        <v>15.3</v>
      </c>
      <c r="Q68" s="65">
        <v>15.4</v>
      </c>
      <c r="R68" s="65">
        <v>11</v>
      </c>
      <c r="S68" s="45">
        <v>3.9</v>
      </c>
      <c r="T68" s="45">
        <v>5.6</v>
      </c>
      <c r="U68" s="45">
        <v>5.6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65">
        <v>0</v>
      </c>
      <c r="AE68" s="45">
        <v>0</v>
      </c>
      <c r="AF68" s="45">
        <v>0</v>
      </c>
      <c r="AG68" s="55">
        <v>25</v>
      </c>
      <c r="AH68" s="47">
        <f t="shared" si="2"/>
        <v>15.4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16</v>
      </c>
      <c r="AI69" s="48">
        <f t="shared" si="3"/>
        <v>16</v>
      </c>
      <c r="AK69" s="50"/>
    </row>
    <row r="70" spans="1:41" x14ac:dyDescent="0.25">
      <c r="A70" s="54" t="s">
        <v>70</v>
      </c>
      <c r="B70" s="65">
        <v>2.4</v>
      </c>
      <c r="C70" s="65">
        <v>2.4</v>
      </c>
      <c r="D70" s="65">
        <v>2.4</v>
      </c>
      <c r="E70" s="65">
        <v>2.4</v>
      </c>
      <c r="F70" s="65">
        <v>2.4</v>
      </c>
      <c r="G70" s="65">
        <v>2.4</v>
      </c>
      <c r="H70" s="65">
        <v>2.4</v>
      </c>
      <c r="I70" s="65">
        <v>2.4</v>
      </c>
      <c r="J70" s="65">
        <v>2.4</v>
      </c>
      <c r="K70" s="65">
        <v>2.4</v>
      </c>
      <c r="L70" s="65">
        <v>2.4</v>
      </c>
      <c r="M70" s="65">
        <v>2.4</v>
      </c>
      <c r="N70" s="65">
        <v>2.4</v>
      </c>
      <c r="O70" s="65">
        <v>2.4</v>
      </c>
      <c r="P70" s="65">
        <v>2.4</v>
      </c>
      <c r="Q70" s="65">
        <v>2.4</v>
      </c>
      <c r="R70" s="65">
        <v>3</v>
      </c>
      <c r="S70" s="65">
        <v>3</v>
      </c>
      <c r="T70" s="65">
        <v>3</v>
      </c>
      <c r="U70" s="65">
        <v>3</v>
      </c>
      <c r="V70" s="65">
        <v>3</v>
      </c>
      <c r="W70" s="65">
        <v>3</v>
      </c>
      <c r="X70" s="65">
        <v>3</v>
      </c>
      <c r="Y70" s="65">
        <v>3</v>
      </c>
      <c r="Z70" s="65">
        <v>3</v>
      </c>
      <c r="AA70" s="65">
        <v>3</v>
      </c>
      <c r="AB70" s="65">
        <v>3</v>
      </c>
      <c r="AC70" s="65">
        <v>3</v>
      </c>
      <c r="AD70" s="65">
        <v>3</v>
      </c>
      <c r="AE70" s="65">
        <v>3</v>
      </c>
      <c r="AF70" s="65">
        <v>3</v>
      </c>
      <c r="AG70" s="55">
        <v>15</v>
      </c>
      <c r="AH70" s="47">
        <f t="shared" si="2"/>
        <v>3</v>
      </c>
      <c r="AI70" s="48">
        <f t="shared" si="3"/>
        <v>2.4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13.9</v>
      </c>
      <c r="C71" s="65">
        <v>14</v>
      </c>
      <c r="D71" s="65">
        <v>14.1</v>
      </c>
      <c r="E71" s="65">
        <v>14.1</v>
      </c>
      <c r="F71" s="65">
        <v>14.1</v>
      </c>
      <c r="G71" s="65">
        <v>14.1</v>
      </c>
      <c r="H71" s="65">
        <v>14.1</v>
      </c>
      <c r="I71" s="65">
        <v>14.1</v>
      </c>
      <c r="J71" s="65">
        <v>14.1</v>
      </c>
      <c r="K71" s="65">
        <v>14.1</v>
      </c>
      <c r="L71" s="65">
        <v>14.1</v>
      </c>
      <c r="M71" s="65">
        <v>14.1</v>
      </c>
      <c r="N71" s="65">
        <v>14.1</v>
      </c>
      <c r="O71" s="65">
        <v>14.1</v>
      </c>
      <c r="P71" s="65">
        <v>14.1</v>
      </c>
      <c r="Q71" s="65">
        <v>12.7</v>
      </c>
      <c r="R71" s="65">
        <v>12.7</v>
      </c>
      <c r="S71" s="65">
        <v>12.7</v>
      </c>
      <c r="T71" s="65">
        <v>12.7</v>
      </c>
      <c r="U71" s="65">
        <v>12.7</v>
      </c>
      <c r="V71" s="65">
        <v>12.7</v>
      </c>
      <c r="W71" s="65">
        <v>12.7</v>
      </c>
      <c r="X71" s="65">
        <v>12.7</v>
      </c>
      <c r="Y71" s="65">
        <v>12.7</v>
      </c>
      <c r="Z71" s="65">
        <v>12.7</v>
      </c>
      <c r="AA71" s="65">
        <v>12.7</v>
      </c>
      <c r="AB71" s="65">
        <v>12.7</v>
      </c>
      <c r="AC71" s="65">
        <v>12.7</v>
      </c>
      <c r="AD71" s="65">
        <v>12.7</v>
      </c>
      <c r="AE71" s="65">
        <v>12.7</v>
      </c>
      <c r="AF71" s="65">
        <v>13.6</v>
      </c>
      <c r="AG71" s="55">
        <v>14.1</v>
      </c>
      <c r="AH71" s="47">
        <f t="shared" si="2"/>
        <v>14.1</v>
      </c>
      <c r="AI71" s="48">
        <f t="shared" si="3"/>
        <v>12.7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6.7</v>
      </c>
      <c r="C72" s="65">
        <v>6.7</v>
      </c>
      <c r="D72" s="65">
        <v>6.7</v>
      </c>
      <c r="E72" s="65">
        <v>6.7</v>
      </c>
      <c r="F72" s="65">
        <v>6.7</v>
      </c>
      <c r="G72" s="65">
        <v>6.7</v>
      </c>
      <c r="H72" s="65">
        <v>6.7</v>
      </c>
      <c r="I72" s="65">
        <v>6.7</v>
      </c>
      <c r="J72" s="65">
        <v>6.7</v>
      </c>
      <c r="K72" s="65">
        <v>6.7</v>
      </c>
      <c r="L72" s="65">
        <v>6.7</v>
      </c>
      <c r="M72" s="65">
        <v>6.7</v>
      </c>
      <c r="N72" s="65">
        <v>6.7</v>
      </c>
      <c r="O72" s="65">
        <v>6.7</v>
      </c>
      <c r="P72" s="65">
        <v>6.7</v>
      </c>
      <c r="Q72" s="65">
        <v>6.9</v>
      </c>
      <c r="R72" s="65">
        <v>4.9000000000000004</v>
      </c>
      <c r="S72" s="65">
        <v>1.2</v>
      </c>
      <c r="T72" s="65">
        <v>1.2</v>
      </c>
      <c r="U72" s="65">
        <v>1.2</v>
      </c>
      <c r="V72" s="65">
        <v>1.2</v>
      </c>
      <c r="W72" s="65">
        <v>1.2</v>
      </c>
      <c r="X72" s="65">
        <v>1.2</v>
      </c>
      <c r="Y72" s="65">
        <v>1.2</v>
      </c>
      <c r="Z72" s="65">
        <v>1.2</v>
      </c>
      <c r="AA72" s="65">
        <v>1.2</v>
      </c>
      <c r="AB72" s="65">
        <v>4</v>
      </c>
      <c r="AC72" s="65">
        <v>5</v>
      </c>
      <c r="AD72" s="65">
        <v>6.6</v>
      </c>
      <c r="AE72" s="65">
        <v>6.6</v>
      </c>
      <c r="AF72" s="65">
        <v>6.6</v>
      </c>
      <c r="AG72" s="55">
        <v>14</v>
      </c>
      <c r="AH72" s="47">
        <f t="shared" si="2"/>
        <v>6.9</v>
      </c>
      <c r="AI72" s="48">
        <f t="shared" si="3"/>
        <v>1.2</v>
      </c>
      <c r="AK72" s="50"/>
    </row>
    <row r="73" spans="1:41" x14ac:dyDescent="0.25">
      <c r="A73" s="54" t="s">
        <v>73</v>
      </c>
      <c r="B73" s="65">
        <v>6.5</v>
      </c>
      <c r="C73" s="65">
        <v>6.5</v>
      </c>
      <c r="D73" s="65">
        <v>6.5</v>
      </c>
      <c r="E73" s="65">
        <v>6.5</v>
      </c>
      <c r="F73" s="65">
        <v>6.5</v>
      </c>
      <c r="G73" s="65">
        <v>6.5</v>
      </c>
      <c r="H73" s="65">
        <v>6.5</v>
      </c>
      <c r="I73" s="65">
        <v>6.5</v>
      </c>
      <c r="J73" s="65">
        <v>6.5</v>
      </c>
      <c r="K73" s="65">
        <v>6.5</v>
      </c>
      <c r="L73" s="65">
        <v>6.5</v>
      </c>
      <c r="M73" s="65">
        <v>6.5</v>
      </c>
      <c r="N73" s="65">
        <v>6.5</v>
      </c>
      <c r="O73" s="65">
        <v>6.5</v>
      </c>
      <c r="P73" s="65">
        <v>6.5</v>
      </c>
      <c r="Q73" s="65">
        <v>6.5</v>
      </c>
      <c r="R73" s="65">
        <v>6.5</v>
      </c>
      <c r="S73" s="65">
        <v>6.5</v>
      </c>
      <c r="T73" s="65">
        <v>6.5</v>
      </c>
      <c r="U73" s="65">
        <v>6.5</v>
      </c>
      <c r="V73" s="65">
        <v>6.5</v>
      </c>
      <c r="W73" s="65">
        <v>6.5</v>
      </c>
      <c r="X73" s="65">
        <v>6.5</v>
      </c>
      <c r="Y73" s="65">
        <v>6.5</v>
      </c>
      <c r="Z73" s="65">
        <v>6.5</v>
      </c>
      <c r="AA73" s="65">
        <v>6.5</v>
      </c>
      <c r="AB73" s="65">
        <v>6.5</v>
      </c>
      <c r="AC73" s="65">
        <v>6.5</v>
      </c>
      <c r="AD73" s="65">
        <v>6.5</v>
      </c>
      <c r="AE73" s="65">
        <v>6.5</v>
      </c>
      <c r="AF73" s="65">
        <v>6.5</v>
      </c>
      <c r="AG73" s="55">
        <v>10.050000000000001</v>
      </c>
      <c r="AH73" s="47">
        <f t="shared" si="2"/>
        <v>6.5</v>
      </c>
      <c r="AI73" s="48">
        <f t="shared" si="3"/>
        <v>6.5</v>
      </c>
      <c r="AK73" s="50"/>
    </row>
    <row r="74" spans="1:41" x14ac:dyDescent="0.25">
      <c r="A74" s="54" t="s">
        <v>74</v>
      </c>
      <c r="B74" s="65">
        <v>3.52</v>
      </c>
      <c r="C74" s="65">
        <v>3.52</v>
      </c>
      <c r="D74" s="65">
        <v>3.52</v>
      </c>
      <c r="E74" s="65">
        <v>3.52</v>
      </c>
      <c r="F74" s="65">
        <v>3.52</v>
      </c>
      <c r="G74" s="65">
        <v>3.52</v>
      </c>
      <c r="H74" s="65">
        <v>3.52</v>
      </c>
      <c r="I74" s="65">
        <v>3.52</v>
      </c>
      <c r="J74" s="65">
        <v>3.52</v>
      </c>
      <c r="K74" s="65">
        <v>3.52</v>
      </c>
      <c r="L74" s="65">
        <v>3.52</v>
      </c>
      <c r="M74" s="65">
        <v>3.52</v>
      </c>
      <c r="N74" s="65">
        <v>3.52</v>
      </c>
      <c r="O74" s="65">
        <v>3.52</v>
      </c>
      <c r="P74" s="65">
        <v>3.52</v>
      </c>
      <c r="Q74" s="65">
        <v>3.52</v>
      </c>
      <c r="R74" s="65">
        <v>3.52</v>
      </c>
      <c r="S74" s="65">
        <v>3.52</v>
      </c>
      <c r="T74" s="65">
        <v>3.52</v>
      </c>
      <c r="U74" s="65">
        <v>3.52</v>
      </c>
      <c r="V74" s="65">
        <v>3.52</v>
      </c>
      <c r="W74" s="65">
        <v>3.52</v>
      </c>
      <c r="X74" s="65">
        <v>3.52</v>
      </c>
      <c r="Y74" s="65">
        <v>3.52</v>
      </c>
      <c r="Z74" s="65">
        <v>3.52</v>
      </c>
      <c r="AA74" s="65">
        <v>3.52</v>
      </c>
      <c r="AB74" s="65">
        <v>3.52</v>
      </c>
      <c r="AC74" s="65">
        <v>3.52</v>
      </c>
      <c r="AD74" s="65">
        <v>3.52</v>
      </c>
      <c r="AE74" s="65">
        <v>3.52</v>
      </c>
      <c r="AF74" s="65">
        <v>3.5</v>
      </c>
      <c r="AG74" s="55">
        <v>6.2</v>
      </c>
      <c r="AH74" s="47">
        <f t="shared" si="2"/>
        <v>3.52</v>
      </c>
      <c r="AI74" s="48">
        <f t="shared" si="3"/>
        <v>3.5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AG245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0">SUM(B63:B75)</f>
        <v>141.56</v>
      </c>
      <c r="C76" s="60">
        <f t="shared" si="10"/>
        <v>135.06</v>
      </c>
      <c r="D76" s="60">
        <f t="shared" si="10"/>
        <v>133.26</v>
      </c>
      <c r="E76" s="60">
        <f t="shared" si="10"/>
        <v>134.35999999999999</v>
      </c>
      <c r="F76" s="60">
        <f t="shared" si="10"/>
        <v>216.45999999999998</v>
      </c>
      <c r="G76" s="60">
        <f t="shared" si="10"/>
        <v>262.95999999999998</v>
      </c>
      <c r="H76" s="60">
        <f t="shared" si="10"/>
        <v>292.76</v>
      </c>
      <c r="I76" s="60">
        <f t="shared" si="10"/>
        <v>292.76</v>
      </c>
      <c r="J76" s="60">
        <f t="shared" si="10"/>
        <v>353.96</v>
      </c>
      <c r="K76" s="60">
        <f t="shared" si="10"/>
        <v>420.26</v>
      </c>
      <c r="L76" s="60">
        <f t="shared" si="10"/>
        <v>416.66</v>
      </c>
      <c r="M76" s="60">
        <f t="shared" si="10"/>
        <v>416.66</v>
      </c>
      <c r="N76" s="60">
        <f t="shared" si="10"/>
        <v>393.15999999999997</v>
      </c>
      <c r="O76" s="60">
        <f t="shared" si="10"/>
        <v>397.76</v>
      </c>
      <c r="P76" s="60">
        <f t="shared" si="10"/>
        <v>399.06</v>
      </c>
      <c r="Q76" s="60">
        <f t="shared" si="10"/>
        <v>298.95999999999992</v>
      </c>
      <c r="R76" s="60">
        <f t="shared" si="10"/>
        <v>251.16000000000003</v>
      </c>
      <c r="S76" s="60">
        <f t="shared" si="10"/>
        <v>247.06</v>
      </c>
      <c r="T76" s="60">
        <f t="shared" si="10"/>
        <v>251.05999999999995</v>
      </c>
      <c r="U76" s="60">
        <f t="shared" si="10"/>
        <v>299.65999999999997</v>
      </c>
      <c r="V76" s="60">
        <f t="shared" si="10"/>
        <v>389.85999999999996</v>
      </c>
      <c r="W76" s="60">
        <f t="shared" si="10"/>
        <v>410.85999999999996</v>
      </c>
      <c r="X76" s="60">
        <f t="shared" si="10"/>
        <v>412.96</v>
      </c>
      <c r="Y76" s="60">
        <f t="shared" si="10"/>
        <v>412.96</v>
      </c>
      <c r="Z76" s="60">
        <f t="shared" si="10"/>
        <v>412.96</v>
      </c>
      <c r="AA76" s="60">
        <v>0</v>
      </c>
      <c r="AB76" s="60">
        <f t="shared" si="10"/>
        <v>391.86</v>
      </c>
      <c r="AC76" s="60">
        <f t="shared" si="10"/>
        <v>392.86</v>
      </c>
      <c r="AD76" s="60">
        <f t="shared" si="10"/>
        <v>358.16</v>
      </c>
      <c r="AE76" s="60">
        <f t="shared" si="10"/>
        <v>240.05999999999997</v>
      </c>
      <c r="AF76" s="60">
        <f t="shared" si="10"/>
        <v>151.94</v>
      </c>
      <c r="AG76" s="61">
        <f t="shared" si="10"/>
        <v>489.91</v>
      </c>
      <c r="AH76" s="47">
        <f t="shared" si="2"/>
        <v>420.26</v>
      </c>
      <c r="AI76" s="48">
        <f t="shared" si="3"/>
        <v>0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/>
      <c r="X77" s="45">
        <v>25.2</v>
      </c>
      <c r="Y77" s="45">
        <v>0</v>
      </c>
      <c r="Z77" s="45">
        <v>0</v>
      </c>
      <c r="AA77" s="45">
        <v>0</v>
      </c>
      <c r="AB77" s="45">
        <v>59.9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59.9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/>
      <c r="F78" s="65"/>
      <c r="G78" s="65"/>
      <c r="H78" s="65"/>
      <c r="I78" s="65"/>
      <c r="J78" s="65"/>
      <c r="K78" s="65"/>
      <c r="L78" s="65"/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/>
      <c r="X78" s="65">
        <v>14.3</v>
      </c>
      <c r="Y78" s="65">
        <v>7.8</v>
      </c>
      <c r="Z78" s="65">
        <v>0</v>
      </c>
      <c r="AA78" s="65">
        <v>0</v>
      </c>
      <c r="AB78" s="65">
        <v>22.8</v>
      </c>
      <c r="AC78" s="65">
        <v>6.8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22.8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/>
      <c r="F79" s="67"/>
      <c r="G79" s="67"/>
      <c r="H79" s="67"/>
      <c r="I79" s="67"/>
      <c r="J79" s="67"/>
      <c r="K79" s="67"/>
      <c r="L79" s="67"/>
      <c r="M79" s="67">
        <v>0</v>
      </c>
      <c r="N79" s="67">
        <v>0</v>
      </c>
      <c r="O79" s="67">
        <v>0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0</v>
      </c>
      <c r="W79" s="67"/>
      <c r="X79" s="67">
        <v>5.2</v>
      </c>
      <c r="Y79" s="67">
        <v>1.9</v>
      </c>
      <c r="Z79" s="67">
        <v>0</v>
      </c>
      <c r="AA79" s="67">
        <v>0</v>
      </c>
      <c r="AB79" s="67">
        <v>8.3000000000000007</v>
      </c>
      <c r="AC79" s="67">
        <v>2.5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8.3000000000000007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11">B77+B78+B79</f>
        <v>0</v>
      </c>
      <c r="C80" s="60">
        <f t="shared" si="11"/>
        <v>0</v>
      </c>
      <c r="D80" s="60">
        <f t="shared" si="11"/>
        <v>0</v>
      </c>
      <c r="E80" s="60">
        <f t="shared" si="11"/>
        <v>0</v>
      </c>
      <c r="F80" s="60">
        <f t="shared" si="11"/>
        <v>0</v>
      </c>
      <c r="G80" s="60">
        <f t="shared" si="11"/>
        <v>0</v>
      </c>
      <c r="H80" s="60">
        <f t="shared" si="11"/>
        <v>0</v>
      </c>
      <c r="I80" s="60">
        <f t="shared" si="11"/>
        <v>0</v>
      </c>
      <c r="J80" s="60">
        <f t="shared" si="11"/>
        <v>0</v>
      </c>
      <c r="K80" s="60">
        <f t="shared" si="11"/>
        <v>0</v>
      </c>
      <c r="L80" s="60">
        <f t="shared" si="11"/>
        <v>0</v>
      </c>
      <c r="M80" s="60">
        <f t="shared" si="11"/>
        <v>0</v>
      </c>
      <c r="N80" s="60">
        <f t="shared" si="11"/>
        <v>0</v>
      </c>
      <c r="O80" s="60">
        <f t="shared" si="11"/>
        <v>0</v>
      </c>
      <c r="P80" s="60">
        <f t="shared" si="11"/>
        <v>0</v>
      </c>
      <c r="Q80" s="60">
        <f t="shared" si="11"/>
        <v>0</v>
      </c>
      <c r="R80" s="60">
        <f t="shared" si="11"/>
        <v>0</v>
      </c>
      <c r="S80" s="60">
        <f t="shared" si="11"/>
        <v>0</v>
      </c>
      <c r="T80" s="60">
        <f t="shared" si="11"/>
        <v>0</v>
      </c>
      <c r="U80" s="60">
        <f t="shared" si="11"/>
        <v>0</v>
      </c>
      <c r="V80" s="60">
        <f t="shared" si="11"/>
        <v>0</v>
      </c>
      <c r="W80" s="60">
        <f t="shared" si="11"/>
        <v>0</v>
      </c>
      <c r="X80" s="60">
        <f t="shared" si="11"/>
        <v>44.7</v>
      </c>
      <c r="Y80" s="60">
        <f t="shared" si="11"/>
        <v>9.6999999999999993</v>
      </c>
      <c r="Z80" s="60">
        <f t="shared" si="11"/>
        <v>0</v>
      </c>
      <c r="AA80" s="60">
        <f t="shared" si="11"/>
        <v>0</v>
      </c>
      <c r="AB80" s="60">
        <f t="shared" si="11"/>
        <v>91</v>
      </c>
      <c r="AC80" s="60">
        <f t="shared" si="11"/>
        <v>9.3000000000000007</v>
      </c>
      <c r="AD80" s="60">
        <f t="shared" si="11"/>
        <v>0</v>
      </c>
      <c r="AE80" s="60">
        <f t="shared" si="11"/>
        <v>0</v>
      </c>
      <c r="AF80" s="60">
        <f t="shared" si="11"/>
        <v>0</v>
      </c>
      <c r="AG80" s="61">
        <f>SUM(AG77:AG79)</f>
        <v>106</v>
      </c>
      <c r="AH80" s="47">
        <f t="shared" si="2"/>
        <v>91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38.799999999999997</v>
      </c>
      <c r="C81" s="45">
        <v>28.9</v>
      </c>
      <c r="D81" s="45">
        <v>32.299999999999997</v>
      </c>
      <c r="E81" s="45">
        <v>32.9</v>
      </c>
      <c r="F81" s="45">
        <v>30.1</v>
      </c>
      <c r="G81" s="45">
        <v>27.9</v>
      </c>
      <c r="H81" s="45">
        <v>28.9</v>
      </c>
      <c r="I81" s="45">
        <v>50.9</v>
      </c>
      <c r="J81" s="45">
        <v>53</v>
      </c>
      <c r="K81" s="45">
        <v>49</v>
      </c>
      <c r="L81" s="45">
        <v>32</v>
      </c>
      <c r="M81" s="45">
        <v>22.8</v>
      </c>
      <c r="N81" s="45">
        <v>22</v>
      </c>
      <c r="O81" s="45">
        <v>41</v>
      </c>
      <c r="P81" s="45">
        <v>28</v>
      </c>
      <c r="Q81" s="45">
        <v>35</v>
      </c>
      <c r="R81" s="45">
        <v>40.9</v>
      </c>
      <c r="S81" s="45">
        <v>39.6</v>
      </c>
      <c r="T81" s="45">
        <v>53</v>
      </c>
      <c r="U81" s="45">
        <v>52</v>
      </c>
      <c r="V81" s="45">
        <v>22</v>
      </c>
      <c r="W81" s="45">
        <v>20.100000000000001</v>
      </c>
      <c r="X81" s="45">
        <v>25.6</v>
      </c>
      <c r="Y81" s="45">
        <v>29</v>
      </c>
      <c r="Z81" s="45">
        <v>26</v>
      </c>
      <c r="AA81" s="45">
        <v>18.100000000000001</v>
      </c>
      <c r="AB81" s="45">
        <v>28.4</v>
      </c>
      <c r="AC81" s="45">
        <v>35.200000000000003</v>
      </c>
      <c r="AD81" s="45">
        <v>50.6</v>
      </c>
      <c r="AE81" s="45">
        <v>42.2</v>
      </c>
      <c r="AF81" s="45">
        <v>52.6</v>
      </c>
      <c r="AG81" s="52"/>
      <c r="AH81" s="47">
        <f t="shared" si="2"/>
        <v>53</v>
      </c>
      <c r="AI81" s="48">
        <f t="shared" si="3"/>
        <v>18.100000000000001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>
        <v>0</v>
      </c>
      <c r="N82" s="65"/>
      <c r="O82" s="65"/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/>
      <c r="V82" s="65"/>
      <c r="W82" s="65"/>
      <c r="X82" s="65"/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108.9</v>
      </c>
      <c r="C83" s="65">
        <v>99</v>
      </c>
      <c r="D83" s="65">
        <v>85.2</v>
      </c>
      <c r="E83" s="65">
        <v>82.5</v>
      </c>
      <c r="F83" s="65">
        <v>28</v>
      </c>
      <c r="G83" s="65">
        <v>76.7</v>
      </c>
      <c r="H83" s="65">
        <v>98.9</v>
      </c>
      <c r="I83" s="65">
        <v>203.3</v>
      </c>
      <c r="J83" s="65">
        <v>193.5</v>
      </c>
      <c r="K83" s="65">
        <v>125</v>
      </c>
      <c r="L83" s="65">
        <v>25</v>
      </c>
      <c r="M83" s="65">
        <v>30</v>
      </c>
      <c r="N83" s="65">
        <v>5</v>
      </c>
      <c r="O83" s="65">
        <v>0</v>
      </c>
      <c r="P83" s="65">
        <v>72.099999999999994</v>
      </c>
      <c r="Q83" s="65">
        <v>238.7</v>
      </c>
      <c r="R83" s="65">
        <v>245.4</v>
      </c>
      <c r="S83" s="65">
        <v>210</v>
      </c>
      <c r="T83" s="65">
        <v>222</v>
      </c>
      <c r="U83" s="65">
        <v>254</v>
      </c>
      <c r="V83" s="65">
        <v>41.9</v>
      </c>
      <c r="W83" s="65">
        <v>15.3</v>
      </c>
      <c r="X83" s="65">
        <v>5.0999999999999996</v>
      </c>
      <c r="Y83" s="65">
        <v>3</v>
      </c>
      <c r="Z83" s="65">
        <v>22</v>
      </c>
      <c r="AA83" s="65">
        <v>132</v>
      </c>
      <c r="AB83" s="65">
        <f>110.2</f>
        <v>110.2</v>
      </c>
      <c r="AC83" s="65">
        <v>139.9</v>
      </c>
      <c r="AD83" s="65">
        <v>192.1</v>
      </c>
      <c r="AE83" s="65">
        <v>157</v>
      </c>
      <c r="AF83" s="65">
        <v>148</v>
      </c>
      <c r="AG83" s="75"/>
      <c r="AH83" s="47">
        <f t="shared" si="2"/>
        <v>254</v>
      </c>
      <c r="AI83" s="48">
        <f t="shared" si="3"/>
        <v>0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>
        <v>0</v>
      </c>
      <c r="N84" s="76">
        <v>0</v>
      </c>
      <c r="O84" s="76">
        <v>0</v>
      </c>
      <c r="P84" s="76">
        <v>0</v>
      </c>
      <c r="Q84" s="76">
        <v>0</v>
      </c>
      <c r="R84" s="76">
        <v>0</v>
      </c>
      <c r="S84" s="76">
        <v>0</v>
      </c>
      <c r="T84" s="76">
        <v>0</v>
      </c>
      <c r="U84" s="76"/>
      <c r="V84" s="76"/>
      <c r="W84" s="76"/>
      <c r="X84" s="76"/>
      <c r="Y84" s="76"/>
      <c r="Z84" s="76"/>
      <c r="AA84" s="76"/>
      <c r="AB84" s="76">
        <v>0</v>
      </c>
      <c r="AC84" s="76">
        <v>0</v>
      </c>
      <c r="AD84" s="65">
        <v>0</v>
      </c>
      <c r="AE84" s="76">
        <v>0</v>
      </c>
      <c r="AF84" s="76">
        <v>0</v>
      </c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/>
      <c r="U85" s="45"/>
      <c r="V85" s="45"/>
      <c r="W85" s="45"/>
      <c r="X85" s="45"/>
      <c r="Y85" s="45"/>
      <c r="Z85" s="45"/>
      <c r="AA85" s="45"/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12">MAX(B85:AF85)</f>
        <v>0</v>
      </c>
      <c r="AI85" s="48">
        <f t="shared" ref="AI85:AI130" si="13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/>
      <c r="U86" s="77"/>
      <c r="V86" s="77"/>
      <c r="W86" s="77"/>
      <c r="X86" s="77"/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12"/>
        <v>0</v>
      </c>
      <c r="AI86" s="48">
        <f t="shared" si="13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>
        <v>0</v>
      </c>
      <c r="T87" s="77"/>
      <c r="U87" s="77"/>
      <c r="V87" s="77"/>
      <c r="W87" s="77"/>
      <c r="X87" s="77"/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12"/>
        <v>0</v>
      </c>
      <c r="AI87" s="48">
        <f t="shared" si="13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/>
      <c r="U88" s="77"/>
      <c r="V88" s="77"/>
      <c r="W88" s="77"/>
      <c r="X88" s="77"/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12"/>
        <v>0</v>
      </c>
      <c r="AI88" s="48">
        <f t="shared" si="13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77"/>
      <c r="U89" s="77"/>
      <c r="V89" s="77"/>
      <c r="W89" s="77"/>
      <c r="X89" s="77"/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12"/>
        <v>0</v>
      </c>
      <c r="AI89" s="48">
        <f t="shared" si="13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/>
      <c r="U90" s="77"/>
      <c r="V90" s="77"/>
      <c r="W90" s="77"/>
      <c r="X90" s="77"/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12"/>
        <v>0</v>
      </c>
      <c r="AI90" s="48">
        <f t="shared" si="13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>
        <v>0</v>
      </c>
      <c r="T91" s="77"/>
      <c r="U91" s="77"/>
      <c r="V91" s="77"/>
      <c r="W91" s="77"/>
      <c r="X91" s="77"/>
      <c r="Y91" s="77"/>
      <c r="Z91" s="77"/>
      <c r="AA91" s="77"/>
      <c r="AB91" s="77">
        <v>0</v>
      </c>
      <c r="AC91" s="77">
        <v>0</v>
      </c>
      <c r="AD91" s="77">
        <v>0</v>
      </c>
      <c r="AE91" s="77">
        <v>0</v>
      </c>
      <c r="AF91" s="77">
        <v>0</v>
      </c>
      <c r="AG91" s="85"/>
      <c r="AH91" s="47">
        <f t="shared" si="12"/>
        <v>0</v>
      </c>
      <c r="AI91" s="48">
        <f t="shared" si="13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14">SUMIF(B81:B91,"&gt;0")</f>
        <v>147.69999999999999</v>
      </c>
      <c r="C92" s="60">
        <f t="shared" si="14"/>
        <v>127.9</v>
      </c>
      <c r="D92" s="60">
        <f t="shared" si="14"/>
        <v>117.5</v>
      </c>
      <c r="E92" s="60">
        <f t="shared" si="14"/>
        <v>115.4</v>
      </c>
      <c r="F92" s="60">
        <f t="shared" si="14"/>
        <v>58.1</v>
      </c>
      <c r="G92" s="60">
        <f t="shared" si="14"/>
        <v>104.6</v>
      </c>
      <c r="H92" s="60">
        <f t="shared" si="14"/>
        <v>127.80000000000001</v>
      </c>
      <c r="I92" s="60">
        <f t="shared" si="14"/>
        <v>254.20000000000002</v>
      </c>
      <c r="J92" s="60">
        <f t="shared" si="14"/>
        <v>246.5</v>
      </c>
      <c r="K92" s="60">
        <f t="shared" si="14"/>
        <v>174</v>
      </c>
      <c r="L92" s="60">
        <f t="shared" si="14"/>
        <v>57</v>
      </c>
      <c r="M92" s="60">
        <f t="shared" si="14"/>
        <v>52.8</v>
      </c>
      <c r="N92" s="60">
        <f t="shared" si="14"/>
        <v>27</v>
      </c>
      <c r="O92" s="60">
        <f t="shared" si="14"/>
        <v>41</v>
      </c>
      <c r="P92" s="60">
        <f t="shared" si="14"/>
        <v>100.1</v>
      </c>
      <c r="Q92" s="60">
        <f t="shared" si="14"/>
        <v>273.7</v>
      </c>
      <c r="R92" s="60">
        <f t="shared" si="14"/>
        <v>286.3</v>
      </c>
      <c r="S92" s="60">
        <f t="shared" si="14"/>
        <v>249.6</v>
      </c>
      <c r="T92" s="60">
        <f t="shared" si="14"/>
        <v>275</v>
      </c>
      <c r="U92" s="60">
        <f t="shared" si="14"/>
        <v>306</v>
      </c>
      <c r="V92" s="60">
        <f t="shared" si="14"/>
        <v>63.9</v>
      </c>
      <c r="W92" s="60">
        <f t="shared" si="14"/>
        <v>35.400000000000006</v>
      </c>
      <c r="X92" s="60">
        <f t="shared" si="14"/>
        <v>30.700000000000003</v>
      </c>
      <c r="Y92" s="60">
        <f t="shared" si="14"/>
        <v>32</v>
      </c>
      <c r="Z92" s="60">
        <f t="shared" si="14"/>
        <v>48</v>
      </c>
      <c r="AA92" s="60">
        <f t="shared" si="14"/>
        <v>150.1</v>
      </c>
      <c r="AB92" s="60">
        <f t="shared" si="14"/>
        <v>138.6</v>
      </c>
      <c r="AC92" s="60">
        <f t="shared" si="14"/>
        <v>175.10000000000002</v>
      </c>
      <c r="AD92" s="60">
        <f t="shared" si="14"/>
        <v>242.7</v>
      </c>
      <c r="AE92" s="60">
        <f t="shared" si="14"/>
        <v>199.2</v>
      </c>
      <c r="AF92" s="60">
        <f t="shared" si="14"/>
        <v>200.6</v>
      </c>
      <c r="AG92" s="88">
        <f>SUM(AG81:AG91)</f>
        <v>0</v>
      </c>
      <c r="AH92" s="47">
        <f t="shared" si="12"/>
        <v>306</v>
      </c>
      <c r="AI92" s="48">
        <f t="shared" si="13"/>
        <v>27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12"/>
        <v>0</v>
      </c>
      <c r="AI93" s="48">
        <f t="shared" si="13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12"/>
        <v>0</v>
      </c>
      <c r="AI94" s="48">
        <f t="shared" si="13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12"/>
        <v>0</v>
      </c>
      <c r="AI95" s="48">
        <f t="shared" si="13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12"/>
        <v>0</v>
      </c>
      <c r="AI96" s="48">
        <f t="shared" si="13"/>
        <v>0</v>
      </c>
    </row>
    <row r="97" spans="1:37" ht="15.75" thickBot="1" x14ac:dyDescent="0.3">
      <c r="A97" s="74" t="s">
        <v>100</v>
      </c>
      <c r="B97" s="95">
        <f t="shared" ref="B97:AG97" si="15">B58+B62+B80+B76+B92+B96</f>
        <v>1048.7600000000002</v>
      </c>
      <c r="C97" s="95">
        <f t="shared" si="15"/>
        <v>973.06000000000006</v>
      </c>
      <c r="D97" s="95">
        <f t="shared" si="15"/>
        <v>955.46</v>
      </c>
      <c r="E97" s="95">
        <f t="shared" si="15"/>
        <v>953.46</v>
      </c>
      <c r="F97" s="95">
        <f t="shared" si="15"/>
        <v>978.1600000000002</v>
      </c>
      <c r="G97" s="95">
        <f t="shared" si="15"/>
        <v>1071.06</v>
      </c>
      <c r="H97" s="95">
        <f t="shared" si="15"/>
        <v>1123.56</v>
      </c>
      <c r="I97" s="95">
        <f t="shared" si="15"/>
        <v>1249.96</v>
      </c>
      <c r="J97" s="95">
        <f t="shared" si="15"/>
        <v>1363.3600000000001</v>
      </c>
      <c r="K97" s="95">
        <f t="shared" si="15"/>
        <v>1447.16</v>
      </c>
      <c r="L97" s="95">
        <f t="shared" si="15"/>
        <v>1551.9600000000003</v>
      </c>
      <c r="M97" s="95">
        <f t="shared" si="15"/>
        <v>1552.2600000000002</v>
      </c>
      <c r="N97" s="95">
        <f t="shared" si="15"/>
        <v>1482.96</v>
      </c>
      <c r="O97" s="95">
        <f t="shared" si="15"/>
        <v>1431.56</v>
      </c>
      <c r="P97" s="95">
        <f t="shared" si="15"/>
        <v>1341.96</v>
      </c>
      <c r="Q97" s="95">
        <f t="shared" si="15"/>
        <v>1295.46</v>
      </c>
      <c r="R97" s="95">
        <f t="shared" si="15"/>
        <v>1264.26</v>
      </c>
      <c r="S97" s="95">
        <f t="shared" si="15"/>
        <v>1268.46</v>
      </c>
      <c r="T97" s="95">
        <f t="shared" si="15"/>
        <v>1286.1599999999999</v>
      </c>
      <c r="U97" s="95">
        <f t="shared" si="15"/>
        <v>1311.8589999999999</v>
      </c>
      <c r="V97" s="95">
        <f t="shared" si="15"/>
        <v>1387.9590000000001</v>
      </c>
      <c r="W97" s="95">
        <f t="shared" si="15"/>
        <v>1520.559</v>
      </c>
      <c r="X97" s="95">
        <f t="shared" si="15"/>
        <v>1644.6590000000001</v>
      </c>
      <c r="Y97" s="95">
        <f t="shared" si="15"/>
        <v>1609.3200000000002</v>
      </c>
      <c r="Z97" s="95">
        <f t="shared" si="15"/>
        <v>1505.16</v>
      </c>
      <c r="AA97" s="95">
        <f t="shared" si="15"/>
        <v>1194.3</v>
      </c>
      <c r="AB97" s="95">
        <f t="shared" si="15"/>
        <v>1418.7600000000002</v>
      </c>
      <c r="AC97" s="95">
        <f t="shared" si="15"/>
        <v>1374.56</v>
      </c>
      <c r="AD97" s="95">
        <f t="shared" si="15"/>
        <v>1306.1600000000003</v>
      </c>
      <c r="AE97" s="95">
        <f t="shared" si="15"/>
        <v>1129.5600000000002</v>
      </c>
      <c r="AF97" s="95">
        <f t="shared" si="15"/>
        <v>1048.74</v>
      </c>
      <c r="AG97" s="61">
        <f t="shared" si="15"/>
        <v>2231.81</v>
      </c>
      <c r="AH97" s="47">
        <f t="shared" si="12"/>
        <v>1644.6590000000001</v>
      </c>
      <c r="AI97" s="48">
        <f t="shared" si="13"/>
        <v>953.46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70</v>
      </c>
      <c r="L98" s="97">
        <v>70</v>
      </c>
      <c r="M98" s="97">
        <v>70</v>
      </c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12"/>
        <v>70</v>
      </c>
      <c r="AI98" s="48">
        <f t="shared" si="13"/>
        <v>70</v>
      </c>
    </row>
    <row r="99" spans="1:37" ht="15.75" thickBot="1" x14ac:dyDescent="0.3">
      <c r="A99" s="74" t="s">
        <v>102</v>
      </c>
      <c r="B99" s="95">
        <f t="shared" ref="B99:AF99" si="16">B97+B98</f>
        <v>1048.7600000000002</v>
      </c>
      <c r="C99" s="95">
        <f t="shared" si="16"/>
        <v>973.06000000000006</v>
      </c>
      <c r="D99" s="95">
        <f t="shared" si="16"/>
        <v>955.46</v>
      </c>
      <c r="E99" s="95">
        <f t="shared" si="16"/>
        <v>953.46</v>
      </c>
      <c r="F99" s="95">
        <f t="shared" si="16"/>
        <v>978.1600000000002</v>
      </c>
      <c r="G99" s="95">
        <f t="shared" si="16"/>
        <v>1071.06</v>
      </c>
      <c r="H99" s="95">
        <f t="shared" si="16"/>
        <v>1123.56</v>
      </c>
      <c r="I99" s="95">
        <f t="shared" si="16"/>
        <v>1249.96</v>
      </c>
      <c r="J99" s="95">
        <f t="shared" si="16"/>
        <v>1363.3600000000001</v>
      </c>
      <c r="K99" s="95">
        <f t="shared" si="16"/>
        <v>1517.16</v>
      </c>
      <c r="L99" s="95">
        <f t="shared" si="16"/>
        <v>1621.9600000000003</v>
      </c>
      <c r="M99" s="95">
        <f t="shared" si="16"/>
        <v>1622.2600000000002</v>
      </c>
      <c r="N99" s="95">
        <f t="shared" si="16"/>
        <v>1482.96</v>
      </c>
      <c r="O99" s="95">
        <f t="shared" si="16"/>
        <v>1431.56</v>
      </c>
      <c r="P99" s="95">
        <f t="shared" si="16"/>
        <v>1341.96</v>
      </c>
      <c r="Q99" s="95">
        <f t="shared" si="16"/>
        <v>1295.46</v>
      </c>
      <c r="R99" s="95">
        <f t="shared" si="16"/>
        <v>1264.26</v>
      </c>
      <c r="S99" s="95">
        <f t="shared" si="16"/>
        <v>1268.46</v>
      </c>
      <c r="T99" s="95">
        <f t="shared" si="16"/>
        <v>1286.1599999999999</v>
      </c>
      <c r="U99" s="95">
        <f t="shared" si="16"/>
        <v>1311.8589999999999</v>
      </c>
      <c r="V99" s="95">
        <f t="shared" si="16"/>
        <v>1387.9590000000001</v>
      </c>
      <c r="W99" s="95">
        <f t="shared" si="16"/>
        <v>1520.559</v>
      </c>
      <c r="X99" s="95">
        <f t="shared" si="16"/>
        <v>1644.6590000000001</v>
      </c>
      <c r="Y99" s="95">
        <f t="shared" si="16"/>
        <v>1609.3200000000002</v>
      </c>
      <c r="Z99" s="95">
        <f t="shared" si="16"/>
        <v>1505.16</v>
      </c>
      <c r="AA99" s="95">
        <f t="shared" si="16"/>
        <v>1194.3</v>
      </c>
      <c r="AB99" s="95">
        <f t="shared" si="16"/>
        <v>1418.7600000000002</v>
      </c>
      <c r="AC99" s="95">
        <f t="shared" si="16"/>
        <v>1374.56</v>
      </c>
      <c r="AD99" s="95">
        <f t="shared" si="16"/>
        <v>1306.1600000000003</v>
      </c>
      <c r="AE99" s="95">
        <f t="shared" si="16"/>
        <v>1129.5600000000002</v>
      </c>
      <c r="AF99" s="95">
        <f t="shared" si="16"/>
        <v>1048.74</v>
      </c>
      <c r="AG99" s="88">
        <f>AG96+AG92+AG80+AG76+AG58+AG98</f>
        <v>1693.71</v>
      </c>
      <c r="AH99" s="47">
        <f t="shared" si="12"/>
        <v>1644.6590000000001</v>
      </c>
      <c r="AI99" s="48">
        <f t="shared" si="13"/>
        <v>953.46</v>
      </c>
    </row>
    <row r="100" spans="1:37" ht="15.75" thickBot="1" x14ac:dyDescent="0.3">
      <c r="A100" s="74" t="s">
        <v>103</v>
      </c>
      <c r="B100" s="95">
        <f t="shared" ref="B100:M100" si="17">B99-(B107)</f>
        <v>1048.7600000000002</v>
      </c>
      <c r="C100" s="95">
        <f t="shared" si="17"/>
        <v>973.06000000000006</v>
      </c>
      <c r="D100" s="95">
        <f t="shared" si="17"/>
        <v>955.46</v>
      </c>
      <c r="E100" s="95">
        <f t="shared" si="17"/>
        <v>953.46</v>
      </c>
      <c r="F100" s="95">
        <f t="shared" si="17"/>
        <v>978.1600000000002</v>
      </c>
      <c r="G100" s="95">
        <f t="shared" si="17"/>
        <v>1071.06</v>
      </c>
      <c r="H100" s="95">
        <f t="shared" si="17"/>
        <v>1123.56</v>
      </c>
      <c r="I100" s="95">
        <f t="shared" si="17"/>
        <v>1249.96</v>
      </c>
      <c r="J100" s="95">
        <f t="shared" si="17"/>
        <v>1363.3600000000001</v>
      </c>
      <c r="K100" s="95">
        <f t="shared" si="17"/>
        <v>1517.16</v>
      </c>
      <c r="L100" s="95">
        <f t="shared" si="17"/>
        <v>1621.9600000000003</v>
      </c>
      <c r="M100" s="95">
        <f t="shared" si="17"/>
        <v>1622.2600000000002</v>
      </c>
      <c r="N100" s="95">
        <f>N99-(N107)</f>
        <v>1482.96</v>
      </c>
      <c r="O100" s="95">
        <f t="shared" ref="O100" si="18">O99-(O107)</f>
        <v>1431.56</v>
      </c>
      <c r="P100" s="95">
        <f t="shared" ref="P100" si="19">P99-(P107)</f>
        <v>1341.96</v>
      </c>
      <c r="Q100" s="95">
        <f t="shared" ref="Q100" si="20">Q99-(Q107)</f>
        <v>1295.46</v>
      </c>
      <c r="R100" s="95">
        <f t="shared" ref="R100" si="21">R99-(R107)</f>
        <v>1264.26</v>
      </c>
      <c r="S100" s="95">
        <f t="shared" ref="S100" si="22">S99-(S107)</f>
        <v>1268.46</v>
      </c>
      <c r="T100" s="95">
        <f t="shared" ref="T100" si="23">T99-(T107)</f>
        <v>1286.1599999999999</v>
      </c>
      <c r="U100" s="95">
        <f t="shared" ref="U100" si="24">U99-(U107)</f>
        <v>1311.8589999999999</v>
      </c>
      <c r="V100" s="95">
        <f t="shared" ref="V100" si="25">V99-(V107)</f>
        <v>1387.9590000000001</v>
      </c>
      <c r="W100" s="95">
        <f t="shared" ref="W100" si="26">W99-(W107)</f>
        <v>1520.559</v>
      </c>
      <c r="X100" s="95">
        <f t="shared" ref="X100" si="27">X99-(X107)</f>
        <v>1644.6590000000001</v>
      </c>
      <c r="Y100" s="95">
        <f t="shared" ref="Y100" si="28">Y99-(Y107)</f>
        <v>1609.3200000000002</v>
      </c>
      <c r="Z100" s="95">
        <f t="shared" ref="Z100:AA100" si="29">Z99-(Z107)</f>
        <v>1505.16</v>
      </c>
      <c r="AA100" s="95">
        <f t="shared" si="29"/>
        <v>1194.3</v>
      </c>
      <c r="AB100" s="95">
        <f t="shared" ref="AB100" si="30">AB99-(AB107)</f>
        <v>1418.7600000000002</v>
      </c>
      <c r="AC100" s="95">
        <f t="shared" ref="AC100" si="31">AC99-(AC107)</f>
        <v>1374.56</v>
      </c>
      <c r="AD100" s="95">
        <f t="shared" ref="AD100" si="32">AD99-(AD107)</f>
        <v>1306.1600000000003</v>
      </c>
      <c r="AE100" s="95">
        <f t="shared" ref="AE100" si="33">AE99-(AE107)</f>
        <v>1129.5600000000002</v>
      </c>
      <c r="AF100" s="95">
        <f t="shared" ref="AF100" si="34">AF99-(AF107)</f>
        <v>1048.74</v>
      </c>
      <c r="AG100" s="88"/>
      <c r="AH100" s="47">
        <f t="shared" si="12"/>
        <v>1644.6590000000001</v>
      </c>
      <c r="AI100" s="48">
        <f t="shared" si="13"/>
        <v>953.46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35">IF(C84&lt;0,C84*-1,0)</f>
        <v>0</v>
      </c>
      <c r="D101" s="76">
        <f t="shared" si="35"/>
        <v>0</v>
      </c>
      <c r="E101" s="76">
        <f t="shared" si="35"/>
        <v>0</v>
      </c>
      <c r="F101" s="76">
        <f t="shared" si="35"/>
        <v>0</v>
      </c>
      <c r="G101" s="76">
        <f t="shared" si="35"/>
        <v>0</v>
      </c>
      <c r="H101" s="76">
        <f t="shared" si="35"/>
        <v>0</v>
      </c>
      <c r="I101" s="76">
        <f t="shared" si="35"/>
        <v>0</v>
      </c>
      <c r="J101" s="76">
        <f t="shared" si="35"/>
        <v>0</v>
      </c>
      <c r="K101" s="76">
        <f t="shared" si="35"/>
        <v>0</v>
      </c>
      <c r="L101" s="76">
        <f t="shared" si="35"/>
        <v>0</v>
      </c>
      <c r="M101" s="76">
        <f t="shared" si="35"/>
        <v>0</v>
      </c>
      <c r="N101" s="76">
        <f t="shared" si="35"/>
        <v>0</v>
      </c>
      <c r="O101" s="76">
        <f t="shared" si="35"/>
        <v>0</v>
      </c>
      <c r="P101" s="76">
        <f t="shared" si="35"/>
        <v>0</v>
      </c>
      <c r="Q101" s="76">
        <f t="shared" si="35"/>
        <v>0</v>
      </c>
      <c r="R101" s="76">
        <f t="shared" si="35"/>
        <v>0</v>
      </c>
      <c r="S101" s="76">
        <f t="shared" si="35"/>
        <v>0</v>
      </c>
      <c r="T101" s="76">
        <f t="shared" si="35"/>
        <v>0</v>
      </c>
      <c r="U101" s="76">
        <f t="shared" si="35"/>
        <v>0</v>
      </c>
      <c r="V101" s="76">
        <f t="shared" si="35"/>
        <v>0</v>
      </c>
      <c r="W101" s="76">
        <f t="shared" si="35"/>
        <v>0</v>
      </c>
      <c r="X101" s="76">
        <f t="shared" si="35"/>
        <v>0</v>
      </c>
      <c r="Y101" s="76">
        <f t="shared" si="35"/>
        <v>0</v>
      </c>
      <c r="Z101" s="76">
        <f t="shared" si="35"/>
        <v>0</v>
      </c>
      <c r="AA101" s="76">
        <f t="shared" si="35"/>
        <v>0</v>
      </c>
      <c r="AB101" s="76">
        <f t="shared" si="35"/>
        <v>0</v>
      </c>
      <c r="AC101" s="76">
        <f t="shared" si="35"/>
        <v>0</v>
      </c>
      <c r="AD101" s="76">
        <f t="shared" si="35"/>
        <v>0</v>
      </c>
      <c r="AE101" s="76">
        <f t="shared" si="35"/>
        <v>0</v>
      </c>
      <c r="AF101" s="76">
        <f t="shared" si="35"/>
        <v>0</v>
      </c>
      <c r="AG101" s="52"/>
      <c r="AH101" s="47">
        <f t="shared" si="12"/>
        <v>0</v>
      </c>
      <c r="AI101" s="48">
        <f t="shared" si="13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36">IF(C82&lt;0,C82*-1,0)</f>
        <v>0</v>
      </c>
      <c r="D102" s="76">
        <f t="shared" si="36"/>
        <v>0</v>
      </c>
      <c r="E102" s="76">
        <f t="shared" si="36"/>
        <v>0</v>
      </c>
      <c r="F102" s="76">
        <f t="shared" si="36"/>
        <v>0</v>
      </c>
      <c r="G102" s="76">
        <f t="shared" si="36"/>
        <v>0</v>
      </c>
      <c r="H102" s="76">
        <f t="shared" si="36"/>
        <v>0</v>
      </c>
      <c r="I102" s="76">
        <f t="shared" si="36"/>
        <v>0</v>
      </c>
      <c r="J102" s="76">
        <f t="shared" si="36"/>
        <v>0</v>
      </c>
      <c r="K102" s="76">
        <f t="shared" si="36"/>
        <v>0</v>
      </c>
      <c r="L102" s="76">
        <f t="shared" si="36"/>
        <v>0</v>
      </c>
      <c r="M102" s="76">
        <f t="shared" si="36"/>
        <v>0</v>
      </c>
      <c r="N102" s="76">
        <f t="shared" si="36"/>
        <v>0</v>
      </c>
      <c r="O102" s="76">
        <f t="shared" si="36"/>
        <v>0</v>
      </c>
      <c r="P102" s="76">
        <f t="shared" si="36"/>
        <v>0</v>
      </c>
      <c r="Q102" s="76">
        <f t="shared" si="36"/>
        <v>0</v>
      </c>
      <c r="R102" s="76">
        <f t="shared" si="36"/>
        <v>0</v>
      </c>
      <c r="S102" s="76">
        <f t="shared" si="36"/>
        <v>0</v>
      </c>
      <c r="T102" s="76">
        <f t="shared" si="36"/>
        <v>0</v>
      </c>
      <c r="U102" s="76">
        <f t="shared" si="36"/>
        <v>0</v>
      </c>
      <c r="V102" s="76">
        <f t="shared" si="36"/>
        <v>0</v>
      </c>
      <c r="W102" s="76">
        <f t="shared" si="36"/>
        <v>0</v>
      </c>
      <c r="X102" s="76">
        <f t="shared" si="36"/>
        <v>0</v>
      </c>
      <c r="Y102" s="76">
        <f t="shared" si="36"/>
        <v>0</v>
      </c>
      <c r="Z102" s="76">
        <f t="shared" si="36"/>
        <v>0</v>
      </c>
      <c r="AA102" s="76">
        <f t="shared" si="36"/>
        <v>0</v>
      </c>
      <c r="AB102" s="76">
        <f t="shared" si="36"/>
        <v>0</v>
      </c>
      <c r="AC102" s="76">
        <f t="shared" si="36"/>
        <v>0</v>
      </c>
      <c r="AD102" s="76">
        <f t="shared" si="36"/>
        <v>0</v>
      </c>
      <c r="AE102" s="76">
        <f t="shared" si="36"/>
        <v>0</v>
      </c>
      <c r="AF102" s="76">
        <f t="shared" si="36"/>
        <v>0</v>
      </c>
      <c r="AG102" s="55"/>
      <c r="AH102" s="47">
        <f t="shared" si="12"/>
        <v>0</v>
      </c>
      <c r="AI102" s="48">
        <f t="shared" si="13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37">IF(C85&lt;0,C85*-1,0)</f>
        <v>0</v>
      </c>
      <c r="D103" s="76">
        <f t="shared" si="37"/>
        <v>0</v>
      </c>
      <c r="E103" s="76">
        <f t="shared" si="37"/>
        <v>0</v>
      </c>
      <c r="F103" s="76">
        <f t="shared" si="37"/>
        <v>0</v>
      </c>
      <c r="G103" s="76">
        <f t="shared" si="37"/>
        <v>0</v>
      </c>
      <c r="H103" s="76">
        <f t="shared" si="37"/>
        <v>0</v>
      </c>
      <c r="I103" s="76">
        <f t="shared" si="37"/>
        <v>0</v>
      </c>
      <c r="J103" s="76">
        <f t="shared" si="37"/>
        <v>0</v>
      </c>
      <c r="K103" s="76">
        <f t="shared" si="37"/>
        <v>0</v>
      </c>
      <c r="L103" s="76">
        <f t="shared" si="37"/>
        <v>0</v>
      </c>
      <c r="M103" s="76">
        <f t="shared" si="37"/>
        <v>0</v>
      </c>
      <c r="N103" s="76">
        <f t="shared" si="37"/>
        <v>0</v>
      </c>
      <c r="O103" s="76">
        <f t="shared" si="37"/>
        <v>0</v>
      </c>
      <c r="P103" s="76">
        <f t="shared" si="37"/>
        <v>0</v>
      </c>
      <c r="Q103" s="76">
        <f t="shared" si="37"/>
        <v>0</v>
      </c>
      <c r="R103" s="76">
        <f t="shared" si="37"/>
        <v>0</v>
      </c>
      <c r="S103" s="76">
        <f t="shared" si="37"/>
        <v>0</v>
      </c>
      <c r="T103" s="76">
        <f t="shared" si="37"/>
        <v>0</v>
      </c>
      <c r="U103" s="76">
        <f t="shared" si="37"/>
        <v>0</v>
      </c>
      <c r="V103" s="76">
        <f t="shared" si="37"/>
        <v>0</v>
      </c>
      <c r="W103" s="76">
        <f t="shared" si="37"/>
        <v>0</v>
      </c>
      <c r="X103" s="76">
        <f t="shared" si="37"/>
        <v>0</v>
      </c>
      <c r="Y103" s="76">
        <f t="shared" si="37"/>
        <v>0</v>
      </c>
      <c r="Z103" s="76">
        <f t="shared" si="37"/>
        <v>0</v>
      </c>
      <c r="AA103" s="76">
        <f t="shared" si="37"/>
        <v>0</v>
      </c>
      <c r="AB103" s="76">
        <f t="shared" si="37"/>
        <v>0</v>
      </c>
      <c r="AC103" s="76">
        <f t="shared" si="37"/>
        <v>0</v>
      </c>
      <c r="AD103" s="76">
        <f t="shared" si="37"/>
        <v>0</v>
      </c>
      <c r="AE103" s="76">
        <f t="shared" si="37"/>
        <v>0</v>
      </c>
      <c r="AF103" s="76">
        <f t="shared" si="37"/>
        <v>0</v>
      </c>
      <c r="AG103" s="98"/>
      <c r="AH103" s="47">
        <f t="shared" si="12"/>
        <v>0</v>
      </c>
      <c r="AI103" s="48">
        <f t="shared" si="13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38">IF(C83&lt;0,C83*-1,0)</f>
        <v>0</v>
      </c>
      <c r="D104" s="76">
        <f t="shared" si="38"/>
        <v>0</v>
      </c>
      <c r="E104" s="76">
        <f t="shared" si="38"/>
        <v>0</v>
      </c>
      <c r="F104" s="76">
        <f t="shared" si="38"/>
        <v>0</v>
      </c>
      <c r="G104" s="76">
        <f t="shared" si="38"/>
        <v>0</v>
      </c>
      <c r="H104" s="76">
        <f t="shared" si="38"/>
        <v>0</v>
      </c>
      <c r="I104" s="76">
        <f t="shared" si="38"/>
        <v>0</v>
      </c>
      <c r="J104" s="76">
        <f t="shared" si="38"/>
        <v>0</v>
      </c>
      <c r="K104" s="76">
        <f t="shared" si="38"/>
        <v>0</v>
      </c>
      <c r="L104" s="76">
        <f t="shared" si="38"/>
        <v>0</v>
      </c>
      <c r="M104" s="76">
        <f t="shared" si="38"/>
        <v>0</v>
      </c>
      <c r="N104" s="76">
        <f t="shared" si="38"/>
        <v>0</v>
      </c>
      <c r="O104" s="76">
        <f t="shared" si="38"/>
        <v>0</v>
      </c>
      <c r="P104" s="76">
        <f t="shared" si="38"/>
        <v>0</v>
      </c>
      <c r="Q104" s="76">
        <f t="shared" si="38"/>
        <v>0</v>
      </c>
      <c r="R104" s="76">
        <f t="shared" si="38"/>
        <v>0</v>
      </c>
      <c r="S104" s="76">
        <f t="shared" si="38"/>
        <v>0</v>
      </c>
      <c r="T104" s="76">
        <f t="shared" si="38"/>
        <v>0</v>
      </c>
      <c r="U104" s="76">
        <f t="shared" si="38"/>
        <v>0</v>
      </c>
      <c r="V104" s="76">
        <f t="shared" si="38"/>
        <v>0</v>
      </c>
      <c r="W104" s="76">
        <f t="shared" si="38"/>
        <v>0</v>
      </c>
      <c r="X104" s="76">
        <f t="shared" si="38"/>
        <v>0</v>
      </c>
      <c r="Y104" s="76">
        <f t="shared" si="38"/>
        <v>0</v>
      </c>
      <c r="Z104" s="76">
        <f t="shared" si="38"/>
        <v>0</v>
      </c>
      <c r="AA104" s="76">
        <f t="shared" si="38"/>
        <v>0</v>
      </c>
      <c r="AB104" s="76">
        <f t="shared" si="38"/>
        <v>0</v>
      </c>
      <c r="AC104" s="76">
        <f t="shared" si="38"/>
        <v>0</v>
      </c>
      <c r="AD104" s="76">
        <f t="shared" si="38"/>
        <v>0</v>
      </c>
      <c r="AE104" s="76">
        <f t="shared" si="38"/>
        <v>0</v>
      </c>
      <c r="AF104" s="76">
        <f t="shared" si="38"/>
        <v>0</v>
      </c>
      <c r="AG104" s="98"/>
      <c r="AH104" s="47">
        <f t="shared" si="12"/>
        <v>0</v>
      </c>
      <c r="AI104" s="48">
        <f t="shared" si="13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39">IF(C81&lt;0,C81*-1,0)</f>
        <v>0</v>
      </c>
      <c r="D105" s="76">
        <f t="shared" si="39"/>
        <v>0</v>
      </c>
      <c r="E105" s="76">
        <f t="shared" si="39"/>
        <v>0</v>
      </c>
      <c r="F105" s="76">
        <f t="shared" si="39"/>
        <v>0</v>
      </c>
      <c r="G105" s="76">
        <f t="shared" si="39"/>
        <v>0</v>
      </c>
      <c r="H105" s="76">
        <f t="shared" si="39"/>
        <v>0</v>
      </c>
      <c r="I105" s="76">
        <f t="shared" si="39"/>
        <v>0</v>
      </c>
      <c r="J105" s="76">
        <f t="shared" si="39"/>
        <v>0</v>
      </c>
      <c r="K105" s="76">
        <f t="shared" si="39"/>
        <v>0</v>
      </c>
      <c r="L105" s="76">
        <f t="shared" si="39"/>
        <v>0</v>
      </c>
      <c r="M105" s="76">
        <f t="shared" si="39"/>
        <v>0</v>
      </c>
      <c r="N105" s="76">
        <f t="shared" si="39"/>
        <v>0</v>
      </c>
      <c r="O105" s="76">
        <f t="shared" si="39"/>
        <v>0</v>
      </c>
      <c r="P105" s="76">
        <f t="shared" si="39"/>
        <v>0</v>
      </c>
      <c r="Q105" s="76">
        <f t="shared" si="39"/>
        <v>0</v>
      </c>
      <c r="R105" s="76">
        <f t="shared" si="39"/>
        <v>0</v>
      </c>
      <c r="S105" s="76">
        <f t="shared" si="39"/>
        <v>0</v>
      </c>
      <c r="T105" s="76">
        <f t="shared" si="39"/>
        <v>0</v>
      </c>
      <c r="U105" s="76">
        <f t="shared" si="39"/>
        <v>0</v>
      </c>
      <c r="V105" s="76">
        <f t="shared" si="39"/>
        <v>0</v>
      </c>
      <c r="W105" s="76">
        <f t="shared" si="39"/>
        <v>0</v>
      </c>
      <c r="X105" s="76">
        <f t="shared" si="39"/>
        <v>0</v>
      </c>
      <c r="Y105" s="76">
        <f t="shared" si="39"/>
        <v>0</v>
      </c>
      <c r="Z105" s="76">
        <f t="shared" si="39"/>
        <v>0</v>
      </c>
      <c r="AA105" s="76">
        <f t="shared" si="39"/>
        <v>0</v>
      </c>
      <c r="AB105" s="76">
        <f t="shared" si="39"/>
        <v>0</v>
      </c>
      <c r="AC105" s="76">
        <f t="shared" si="39"/>
        <v>0</v>
      </c>
      <c r="AD105" s="76">
        <f t="shared" si="39"/>
        <v>0</v>
      </c>
      <c r="AE105" s="76">
        <f t="shared" si="39"/>
        <v>0</v>
      </c>
      <c r="AF105" s="76">
        <f t="shared" si="39"/>
        <v>0</v>
      </c>
      <c r="AG105" s="98"/>
      <c r="AH105" s="47">
        <f t="shared" si="12"/>
        <v>0</v>
      </c>
      <c r="AI105" s="48">
        <f t="shared" si="13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12"/>
        <v>0</v>
      </c>
      <c r="AI106" s="48">
        <f t="shared" si="13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40">SUM(C101:C106)</f>
        <v>0</v>
      </c>
      <c r="D107" s="60">
        <f t="shared" si="40"/>
        <v>0</v>
      </c>
      <c r="E107" s="60">
        <f t="shared" si="40"/>
        <v>0</v>
      </c>
      <c r="F107" s="60">
        <f t="shared" si="40"/>
        <v>0</v>
      </c>
      <c r="G107" s="60">
        <f t="shared" si="40"/>
        <v>0</v>
      </c>
      <c r="H107" s="60">
        <f t="shared" si="40"/>
        <v>0</v>
      </c>
      <c r="I107" s="60">
        <f t="shared" si="40"/>
        <v>0</v>
      </c>
      <c r="J107" s="60">
        <f t="shared" si="40"/>
        <v>0</v>
      </c>
      <c r="K107" s="60">
        <f t="shared" si="40"/>
        <v>0</v>
      </c>
      <c r="L107" s="60">
        <f t="shared" si="40"/>
        <v>0</v>
      </c>
      <c r="M107" s="60">
        <f t="shared" si="40"/>
        <v>0</v>
      </c>
      <c r="N107" s="60">
        <f t="shared" si="40"/>
        <v>0</v>
      </c>
      <c r="O107" s="60">
        <f t="shared" si="40"/>
        <v>0</v>
      </c>
      <c r="P107" s="60">
        <f t="shared" si="40"/>
        <v>0</v>
      </c>
      <c r="Q107" s="60">
        <f t="shared" si="40"/>
        <v>0</v>
      </c>
      <c r="R107" s="60">
        <f t="shared" si="40"/>
        <v>0</v>
      </c>
      <c r="S107" s="60">
        <f t="shared" si="40"/>
        <v>0</v>
      </c>
      <c r="T107" s="60">
        <f t="shared" si="40"/>
        <v>0</v>
      </c>
      <c r="U107" s="60">
        <f t="shared" si="40"/>
        <v>0</v>
      </c>
      <c r="V107" s="60">
        <f t="shared" si="40"/>
        <v>0</v>
      </c>
      <c r="W107" s="60">
        <f t="shared" si="40"/>
        <v>0</v>
      </c>
      <c r="X107" s="60">
        <f t="shared" si="40"/>
        <v>0</v>
      </c>
      <c r="Y107" s="60">
        <f t="shared" si="40"/>
        <v>0</v>
      </c>
      <c r="Z107" s="60">
        <f t="shared" si="40"/>
        <v>0</v>
      </c>
      <c r="AA107" s="60">
        <f t="shared" si="40"/>
        <v>0</v>
      </c>
      <c r="AB107" s="60">
        <f t="shared" si="40"/>
        <v>0</v>
      </c>
      <c r="AC107" s="60">
        <f t="shared" si="40"/>
        <v>0</v>
      </c>
      <c r="AD107" s="60">
        <f t="shared" si="40"/>
        <v>0</v>
      </c>
      <c r="AE107" s="60">
        <f t="shared" si="40"/>
        <v>0</v>
      </c>
      <c r="AF107" s="60">
        <f t="shared" si="40"/>
        <v>0</v>
      </c>
      <c r="AG107" s="88"/>
      <c r="AH107" s="47">
        <f t="shared" si="12"/>
        <v>0</v>
      </c>
      <c r="AI107" s="48">
        <f t="shared" si="13"/>
        <v>0</v>
      </c>
      <c r="AK107" s="50"/>
    </row>
    <row r="108" spans="1:37" ht="15.75" thickBot="1" x14ac:dyDescent="0.3">
      <c r="A108" s="74" t="s">
        <v>108</v>
      </c>
      <c r="B108" s="60">
        <f t="shared" ref="B108:AF108" si="41">B92-B107</f>
        <v>147.69999999999999</v>
      </c>
      <c r="C108" s="60">
        <f t="shared" si="41"/>
        <v>127.9</v>
      </c>
      <c r="D108" s="60">
        <f t="shared" si="41"/>
        <v>117.5</v>
      </c>
      <c r="E108" s="60">
        <f t="shared" si="41"/>
        <v>115.4</v>
      </c>
      <c r="F108" s="60">
        <f t="shared" si="41"/>
        <v>58.1</v>
      </c>
      <c r="G108" s="60">
        <f t="shared" si="41"/>
        <v>104.6</v>
      </c>
      <c r="H108" s="60">
        <f t="shared" si="41"/>
        <v>127.80000000000001</v>
      </c>
      <c r="I108" s="60">
        <f t="shared" si="41"/>
        <v>254.20000000000002</v>
      </c>
      <c r="J108" s="60">
        <f t="shared" si="41"/>
        <v>246.5</v>
      </c>
      <c r="K108" s="60">
        <f t="shared" si="41"/>
        <v>174</v>
      </c>
      <c r="L108" s="60">
        <f t="shared" si="41"/>
        <v>57</v>
      </c>
      <c r="M108" s="60">
        <f t="shared" si="41"/>
        <v>52.8</v>
      </c>
      <c r="N108" s="60">
        <f t="shared" si="41"/>
        <v>27</v>
      </c>
      <c r="O108" s="60">
        <f t="shared" si="41"/>
        <v>41</v>
      </c>
      <c r="P108" s="60">
        <f t="shared" si="41"/>
        <v>100.1</v>
      </c>
      <c r="Q108" s="60">
        <f t="shared" si="41"/>
        <v>273.7</v>
      </c>
      <c r="R108" s="60">
        <f t="shared" si="41"/>
        <v>286.3</v>
      </c>
      <c r="S108" s="60">
        <f t="shared" si="41"/>
        <v>249.6</v>
      </c>
      <c r="T108" s="60">
        <f t="shared" si="41"/>
        <v>275</v>
      </c>
      <c r="U108" s="60">
        <f t="shared" si="41"/>
        <v>306</v>
      </c>
      <c r="V108" s="60">
        <f t="shared" si="41"/>
        <v>63.9</v>
      </c>
      <c r="W108" s="60">
        <f t="shared" si="41"/>
        <v>35.400000000000006</v>
      </c>
      <c r="X108" s="60">
        <f t="shared" si="41"/>
        <v>30.700000000000003</v>
      </c>
      <c r="Y108" s="60">
        <f t="shared" si="41"/>
        <v>32</v>
      </c>
      <c r="Z108" s="60">
        <f t="shared" si="41"/>
        <v>48</v>
      </c>
      <c r="AA108" s="60">
        <f t="shared" si="41"/>
        <v>150.1</v>
      </c>
      <c r="AB108" s="60">
        <f t="shared" si="41"/>
        <v>138.6</v>
      </c>
      <c r="AC108" s="60">
        <f t="shared" si="41"/>
        <v>175.10000000000002</v>
      </c>
      <c r="AD108" s="60">
        <f t="shared" si="41"/>
        <v>242.7</v>
      </c>
      <c r="AE108" s="60">
        <f t="shared" si="41"/>
        <v>199.2</v>
      </c>
      <c r="AF108" s="60">
        <f t="shared" si="41"/>
        <v>200.6</v>
      </c>
      <c r="AG108" s="88"/>
      <c r="AH108" s="47">
        <f t="shared" si="12"/>
        <v>306</v>
      </c>
      <c r="AI108" s="48">
        <f t="shared" si="13"/>
        <v>27</v>
      </c>
    </row>
    <row r="109" spans="1:37" x14ac:dyDescent="0.25">
      <c r="A109" s="100" t="s">
        <v>109</v>
      </c>
      <c r="B109" s="101">
        <v>49.87</v>
      </c>
      <c r="C109" s="101">
        <v>49.97</v>
      </c>
      <c r="D109" s="101">
        <v>50.1</v>
      </c>
      <c r="E109" s="101">
        <v>50.033000000000001</v>
      </c>
      <c r="F109" s="101">
        <v>50.072000000000003</v>
      </c>
      <c r="G109" s="101">
        <v>50.015999999999998</v>
      </c>
      <c r="H109" s="101">
        <v>50.06</v>
      </c>
      <c r="I109" s="101">
        <v>50.042999999999999</v>
      </c>
      <c r="J109" s="101">
        <v>50.014000000000003</v>
      </c>
      <c r="K109" s="101">
        <v>50.11</v>
      </c>
      <c r="L109" s="101">
        <v>50.02</v>
      </c>
      <c r="M109" s="101">
        <v>50.12</v>
      </c>
      <c r="N109" s="101">
        <v>49.96</v>
      </c>
      <c r="O109" s="101">
        <v>50.045000000000002</v>
      </c>
      <c r="P109" s="101">
        <v>49.912999999999997</v>
      </c>
      <c r="Q109" s="101">
        <v>50.024000000000001</v>
      </c>
      <c r="R109" s="101">
        <v>49.991999999999997</v>
      </c>
      <c r="S109" s="101">
        <v>50.030999999999999</v>
      </c>
      <c r="T109" s="101">
        <v>50.006</v>
      </c>
      <c r="U109" s="101">
        <v>49.94</v>
      </c>
      <c r="V109" s="101">
        <v>49.963999999999999</v>
      </c>
      <c r="W109" s="101">
        <v>50.012999999999998</v>
      </c>
      <c r="X109" s="101">
        <v>49.957000000000001</v>
      </c>
      <c r="Y109" s="101">
        <v>50.015999999999998</v>
      </c>
      <c r="Z109" s="101">
        <v>49.930999999999997</v>
      </c>
      <c r="AA109" s="101">
        <v>49.999000000000002</v>
      </c>
      <c r="AB109" s="101">
        <v>50.027000000000001</v>
      </c>
      <c r="AC109" s="101">
        <v>49.981000000000002</v>
      </c>
      <c r="AD109" s="101">
        <v>49.976999999999997</v>
      </c>
      <c r="AE109" s="101">
        <v>50.064</v>
      </c>
      <c r="AF109" s="101">
        <v>49.963000000000001</v>
      </c>
      <c r="AG109" s="102"/>
      <c r="AH109" s="47">
        <f t="shared" si="12"/>
        <v>50.12</v>
      </c>
      <c r="AI109" s="48">
        <f t="shared" si="13"/>
        <v>49.87</v>
      </c>
    </row>
    <row r="110" spans="1:37" x14ac:dyDescent="0.25">
      <c r="A110" s="103" t="s">
        <v>110</v>
      </c>
      <c r="B110" s="65">
        <v>130.4</v>
      </c>
      <c r="C110" s="65">
        <v>130.9</v>
      </c>
      <c r="D110" s="65">
        <v>131.6</v>
      </c>
      <c r="E110" s="65">
        <v>131</v>
      </c>
      <c r="F110" s="65">
        <v>130.19999999999999</v>
      </c>
      <c r="G110" s="65">
        <v>129.69999999999999</v>
      </c>
      <c r="H110" s="65">
        <v>128</v>
      </c>
      <c r="I110" s="65">
        <v>126.4</v>
      </c>
      <c r="J110" s="65">
        <v>127</v>
      </c>
      <c r="K110" s="65">
        <v>125.3</v>
      </c>
      <c r="L110" s="65">
        <v>123.7</v>
      </c>
      <c r="M110" s="65">
        <v>125.1</v>
      </c>
      <c r="N110" s="65">
        <v>123</v>
      </c>
      <c r="O110" s="65">
        <v>123.9</v>
      </c>
      <c r="P110" s="65">
        <v>124.3</v>
      </c>
      <c r="Q110" s="65">
        <v>125.4</v>
      </c>
      <c r="R110" s="65">
        <v>125.6</v>
      </c>
      <c r="S110" s="65">
        <v>124.4</v>
      </c>
      <c r="T110" s="65">
        <v>125.3</v>
      </c>
      <c r="U110" s="65">
        <v>124.9</v>
      </c>
      <c r="V110" s="65">
        <v>125</v>
      </c>
      <c r="W110" s="65">
        <v>123.8</v>
      </c>
      <c r="X110" s="65">
        <v>125.9</v>
      </c>
      <c r="Y110" s="65">
        <v>126.3</v>
      </c>
      <c r="Z110" s="65">
        <v>127.4</v>
      </c>
      <c r="AA110" s="65">
        <v>128.80000000000001</v>
      </c>
      <c r="AB110" s="65">
        <v>130.30000000000001</v>
      </c>
      <c r="AC110" s="65">
        <v>128.19999999999999</v>
      </c>
      <c r="AD110" s="65">
        <v>127</v>
      </c>
      <c r="AE110" s="65">
        <v>129.4</v>
      </c>
      <c r="AF110" s="65">
        <v>129.6</v>
      </c>
      <c r="AG110" s="104"/>
      <c r="AH110" s="47">
        <f t="shared" si="12"/>
        <v>131.6</v>
      </c>
      <c r="AI110" s="48">
        <f t="shared" si="13"/>
        <v>123</v>
      </c>
    </row>
    <row r="111" spans="1:37" x14ac:dyDescent="0.25">
      <c r="A111" s="103" t="s">
        <v>111</v>
      </c>
      <c r="B111" s="65">
        <v>134.4</v>
      </c>
      <c r="C111" s="65">
        <v>134.69999999999999</v>
      </c>
      <c r="D111" s="65">
        <v>135.4</v>
      </c>
      <c r="E111" s="65">
        <v>134.9</v>
      </c>
      <c r="F111" s="65">
        <v>134.4</v>
      </c>
      <c r="G111" s="65">
        <v>133.6</v>
      </c>
      <c r="H111" s="65">
        <v>132.30000000000001</v>
      </c>
      <c r="I111" s="65">
        <v>130.5</v>
      </c>
      <c r="J111" s="65">
        <v>130.19999999999999</v>
      </c>
      <c r="K111" s="65">
        <v>127.8</v>
      </c>
      <c r="L111" s="65">
        <v>126.3</v>
      </c>
      <c r="M111" s="65">
        <v>127.3</v>
      </c>
      <c r="N111" s="65">
        <v>126</v>
      </c>
      <c r="O111" s="65">
        <v>127.1</v>
      </c>
      <c r="P111" s="65">
        <v>127.5</v>
      </c>
      <c r="Q111" s="65">
        <v>128.69999999999999</v>
      </c>
      <c r="R111" s="65">
        <v>129</v>
      </c>
      <c r="S111" s="65">
        <v>128.19999999999999</v>
      </c>
      <c r="T111" s="65">
        <v>128.80000000000001</v>
      </c>
      <c r="U111" s="65">
        <v>128.5</v>
      </c>
      <c r="V111" s="65">
        <v>128</v>
      </c>
      <c r="W111" s="65">
        <v>126.6</v>
      </c>
      <c r="X111" s="65">
        <v>127.5</v>
      </c>
      <c r="Y111" s="65">
        <v>127.6</v>
      </c>
      <c r="Z111" s="65">
        <v>128.9</v>
      </c>
      <c r="AA111" s="65">
        <v>130.6</v>
      </c>
      <c r="AB111" s="65">
        <v>132.4</v>
      </c>
      <c r="AC111" s="65">
        <v>130.80000000000001</v>
      </c>
      <c r="AD111" s="65">
        <v>129.80000000000001</v>
      </c>
      <c r="AE111" s="65">
        <v>132.6</v>
      </c>
      <c r="AF111" s="65">
        <v>133.4</v>
      </c>
      <c r="AG111" s="104"/>
      <c r="AH111" s="47">
        <f t="shared" si="12"/>
        <v>135.4</v>
      </c>
      <c r="AI111" s="48">
        <f t="shared" si="13"/>
        <v>126</v>
      </c>
    </row>
    <row r="112" spans="1:37" x14ac:dyDescent="0.25">
      <c r="A112" s="103" t="s">
        <v>112</v>
      </c>
      <c r="B112" s="65">
        <v>131.4</v>
      </c>
      <c r="C112" s="65">
        <v>131.9</v>
      </c>
      <c r="D112" s="65">
        <v>131.9</v>
      </c>
      <c r="E112" s="65">
        <v>132.1</v>
      </c>
      <c r="F112" s="65">
        <v>130.9</v>
      </c>
      <c r="G112" s="65">
        <v>131</v>
      </c>
      <c r="H112" s="65">
        <v>130.19999999999999</v>
      </c>
      <c r="I112" s="65">
        <v>129.19999999999999</v>
      </c>
      <c r="J112" s="65">
        <v>129.19999999999999</v>
      </c>
      <c r="K112" s="65">
        <v>126.6</v>
      </c>
      <c r="L112" s="65">
        <v>122.8</v>
      </c>
      <c r="M112" s="65">
        <v>127.9</v>
      </c>
      <c r="N112" s="65">
        <v>125.9</v>
      </c>
      <c r="O112" s="65">
        <v>127.2</v>
      </c>
      <c r="P112" s="65">
        <v>126.5</v>
      </c>
      <c r="Q112" s="65">
        <v>126.3</v>
      </c>
      <c r="R112" s="65">
        <v>128</v>
      </c>
      <c r="S112" s="65">
        <v>124.6</v>
      </c>
      <c r="T112" s="65">
        <v>128.4</v>
      </c>
      <c r="U112" s="65">
        <v>125.6</v>
      </c>
      <c r="V112" s="65">
        <v>128</v>
      </c>
      <c r="W112" s="65">
        <v>124.6</v>
      </c>
      <c r="X112" s="65">
        <v>128.1</v>
      </c>
      <c r="Y112" s="65">
        <v>128.69999999999999</v>
      </c>
      <c r="Z112" s="65">
        <v>129.6</v>
      </c>
      <c r="AA112" s="65">
        <v>130</v>
      </c>
      <c r="AB112" s="65">
        <v>129.1</v>
      </c>
      <c r="AC112" s="65">
        <v>130.9</v>
      </c>
      <c r="AD112" s="65">
        <v>130.9</v>
      </c>
      <c r="AE112" s="65">
        <v>133.19999999999999</v>
      </c>
      <c r="AF112" s="65">
        <v>129.6</v>
      </c>
      <c r="AG112" s="104"/>
      <c r="AH112" s="47">
        <f t="shared" si="12"/>
        <v>133.19999999999999</v>
      </c>
      <c r="AI112" s="48">
        <f t="shared" si="13"/>
        <v>122.8</v>
      </c>
    </row>
    <row r="113" spans="1:35" x14ac:dyDescent="0.25">
      <c r="A113" s="105" t="s">
        <v>113</v>
      </c>
      <c r="B113" s="65">
        <v>133.5</v>
      </c>
      <c r="C113" s="65">
        <v>134</v>
      </c>
      <c r="D113" s="65">
        <v>133.9</v>
      </c>
      <c r="E113" s="65">
        <v>134.30000000000001</v>
      </c>
      <c r="F113" s="65">
        <v>132.80000000000001</v>
      </c>
      <c r="G113" s="65">
        <v>132.5</v>
      </c>
      <c r="H113" s="65">
        <v>131.9</v>
      </c>
      <c r="I113" s="65">
        <v>130.19999999999999</v>
      </c>
      <c r="J113" s="65">
        <v>129.9</v>
      </c>
      <c r="K113" s="65">
        <v>128.19999999999999</v>
      </c>
      <c r="L113" s="65">
        <v>124.2</v>
      </c>
      <c r="M113" s="65">
        <v>127.9</v>
      </c>
      <c r="N113" s="65">
        <v>126.3</v>
      </c>
      <c r="O113" s="65">
        <v>129.19999999999999</v>
      </c>
      <c r="P113" s="65">
        <v>128.69999999999999</v>
      </c>
      <c r="Q113" s="65">
        <v>128</v>
      </c>
      <c r="R113" s="65">
        <v>129.69999999999999</v>
      </c>
      <c r="S113" s="65">
        <v>127</v>
      </c>
      <c r="T113" s="65">
        <v>130.1</v>
      </c>
      <c r="U113" s="65">
        <v>127.1</v>
      </c>
      <c r="V113" s="65">
        <v>129</v>
      </c>
      <c r="W113" s="65">
        <v>125.9</v>
      </c>
      <c r="X113" s="65">
        <v>128.6</v>
      </c>
      <c r="Y113" s="65">
        <v>131.6</v>
      </c>
      <c r="Z113" s="65">
        <v>131.69999999999999</v>
      </c>
      <c r="AA113" s="65">
        <v>132.19999999999999</v>
      </c>
      <c r="AB113" s="65">
        <v>132.9</v>
      </c>
      <c r="AC113" s="65">
        <v>133.6</v>
      </c>
      <c r="AD113" s="65">
        <v>131</v>
      </c>
      <c r="AE113" s="65">
        <v>132.6</v>
      </c>
      <c r="AF113" s="65">
        <v>129.9</v>
      </c>
      <c r="AG113" s="104"/>
      <c r="AH113" s="47">
        <f t="shared" si="12"/>
        <v>134.30000000000001</v>
      </c>
      <c r="AI113" s="48">
        <f t="shared" si="13"/>
        <v>124.2</v>
      </c>
    </row>
    <row r="114" spans="1:35" x14ac:dyDescent="0.25">
      <c r="A114" s="105" t="s">
        <v>114</v>
      </c>
      <c r="B114" s="106">
        <v>135.5</v>
      </c>
      <c r="C114" s="106">
        <v>135.69999999999999</v>
      </c>
      <c r="D114" s="106">
        <v>135.30000000000001</v>
      </c>
      <c r="E114" s="106">
        <v>135.30000000000001</v>
      </c>
      <c r="F114" s="106">
        <v>136.4</v>
      </c>
      <c r="G114" s="106">
        <v>134.80000000000001</v>
      </c>
      <c r="H114" s="106">
        <v>133.4</v>
      </c>
      <c r="I114" s="106">
        <v>131.6</v>
      </c>
      <c r="J114" s="106">
        <v>135.30000000000001</v>
      </c>
      <c r="K114" s="106">
        <v>133</v>
      </c>
      <c r="L114" s="106">
        <v>132.30000000000001</v>
      </c>
      <c r="M114" s="106">
        <v>133.69999999999999</v>
      </c>
      <c r="N114" s="106">
        <v>132.69999999999999</v>
      </c>
      <c r="O114" s="106">
        <v>133.80000000000001</v>
      </c>
      <c r="P114" s="106">
        <v>133.6</v>
      </c>
      <c r="Q114" s="106">
        <v>135.30000000000001</v>
      </c>
      <c r="R114" s="106">
        <v>71.5</v>
      </c>
      <c r="S114" s="106">
        <v>132.9</v>
      </c>
      <c r="T114" s="106">
        <v>134.80000000000001</v>
      </c>
      <c r="U114" s="106">
        <v>134.6</v>
      </c>
      <c r="V114" s="106">
        <v>133</v>
      </c>
      <c r="W114" s="106">
        <v>134.80000000000001</v>
      </c>
      <c r="X114" s="106">
        <v>135.19999999999999</v>
      </c>
      <c r="Y114" s="106">
        <v>135.5</v>
      </c>
      <c r="Z114" s="106">
        <v>133.69999999999999</v>
      </c>
      <c r="AA114" s="106">
        <v>134.30000000000001</v>
      </c>
      <c r="AB114" s="106">
        <v>136.9</v>
      </c>
      <c r="AC114" s="106">
        <v>134</v>
      </c>
      <c r="AD114" s="106">
        <v>132.9</v>
      </c>
      <c r="AE114" s="106">
        <v>136.9</v>
      </c>
      <c r="AF114" s="106">
        <v>135.30000000000001</v>
      </c>
      <c r="AG114" s="107"/>
      <c r="AH114" s="47">
        <f t="shared" si="12"/>
        <v>136.9</v>
      </c>
      <c r="AI114" s="48">
        <f t="shared" si="13"/>
        <v>71.5</v>
      </c>
    </row>
    <row r="115" spans="1:35" x14ac:dyDescent="0.25">
      <c r="A115" s="103" t="s">
        <v>115</v>
      </c>
      <c r="B115" s="65">
        <v>135.80000000000001</v>
      </c>
      <c r="C115" s="65">
        <v>135.69999999999999</v>
      </c>
      <c r="D115" s="65">
        <v>133.5</v>
      </c>
      <c r="E115" s="65">
        <v>130.19999999999999</v>
      </c>
      <c r="F115" s="65">
        <v>132.80000000000001</v>
      </c>
      <c r="G115" s="65">
        <v>133.9</v>
      </c>
      <c r="H115" s="65">
        <v>132.6</v>
      </c>
      <c r="I115" s="65">
        <v>128.80000000000001</v>
      </c>
      <c r="J115" s="65">
        <v>133</v>
      </c>
      <c r="K115" s="65">
        <v>133.9</v>
      </c>
      <c r="L115" s="65">
        <v>131</v>
      </c>
      <c r="M115" s="65">
        <v>132.30000000000001</v>
      </c>
      <c r="N115" s="65">
        <v>129.9</v>
      </c>
      <c r="O115" s="65">
        <v>125</v>
      </c>
      <c r="P115" s="65">
        <v>132</v>
      </c>
      <c r="Q115" s="65">
        <v>137.69999999999999</v>
      </c>
      <c r="R115" s="65">
        <v>134.5</v>
      </c>
      <c r="S115" s="65">
        <v>133.69999999999999</v>
      </c>
      <c r="T115" s="65">
        <v>132.4</v>
      </c>
      <c r="U115" s="65">
        <v>132.6</v>
      </c>
      <c r="V115" s="65">
        <v>131</v>
      </c>
      <c r="W115" s="65">
        <v>129.69999999999999</v>
      </c>
      <c r="X115" s="65">
        <v>130.19999999999999</v>
      </c>
      <c r="Y115" s="65">
        <v>132.30000000000001</v>
      </c>
      <c r="Z115" s="65">
        <v>133.69999999999999</v>
      </c>
      <c r="AA115" s="65">
        <v>134.19999999999999</v>
      </c>
      <c r="AB115" s="65">
        <v>133.5</v>
      </c>
      <c r="AC115" s="65">
        <v>134.6</v>
      </c>
      <c r="AD115" s="65">
        <v>134.4</v>
      </c>
      <c r="AE115" s="65">
        <v>138</v>
      </c>
      <c r="AF115" s="65">
        <v>135.69999999999999</v>
      </c>
      <c r="AG115" s="104"/>
      <c r="AH115" s="47">
        <f t="shared" si="12"/>
        <v>138</v>
      </c>
      <c r="AI115" s="48">
        <f t="shared" si="13"/>
        <v>125</v>
      </c>
    </row>
    <row r="116" spans="1:35" ht="15.75" thickBot="1" x14ac:dyDescent="0.3">
      <c r="A116" s="103" t="s">
        <v>116</v>
      </c>
      <c r="B116" s="92">
        <v>67.400000000000006</v>
      </c>
      <c r="C116" s="92">
        <v>67.5</v>
      </c>
      <c r="D116" s="92">
        <v>67.8</v>
      </c>
      <c r="E116" s="92">
        <v>67.7</v>
      </c>
      <c r="F116" s="92">
        <v>67.3</v>
      </c>
      <c r="G116" s="92">
        <v>66.900000000000006</v>
      </c>
      <c r="H116" s="92">
        <v>66.099999999999994</v>
      </c>
      <c r="I116" s="92">
        <v>65.3</v>
      </c>
      <c r="J116" s="92">
        <v>65.099999999999994</v>
      </c>
      <c r="K116" s="92">
        <v>64.099999999999994</v>
      </c>
      <c r="L116" s="92">
        <v>63.3</v>
      </c>
      <c r="M116" s="92">
        <v>63.7</v>
      </c>
      <c r="N116" s="92">
        <v>63.4</v>
      </c>
      <c r="O116" s="92">
        <v>63.6</v>
      </c>
      <c r="P116" s="92">
        <v>64</v>
      </c>
      <c r="Q116" s="92">
        <v>64.599999999999994</v>
      </c>
      <c r="R116" s="92">
        <v>64.7</v>
      </c>
      <c r="S116" s="92">
        <v>64.3</v>
      </c>
      <c r="T116" s="92">
        <v>64.599999999999994</v>
      </c>
      <c r="U116" s="92">
        <v>64.400000000000006</v>
      </c>
      <c r="V116" s="92">
        <v>64.3</v>
      </c>
      <c r="W116" s="92">
        <v>63.4</v>
      </c>
      <c r="X116" s="92">
        <v>64</v>
      </c>
      <c r="Y116" s="92">
        <v>64.099999999999994</v>
      </c>
      <c r="Z116" s="92">
        <v>64.7</v>
      </c>
      <c r="AA116" s="92">
        <v>65.599999999999994</v>
      </c>
      <c r="AB116" s="92">
        <v>66.3</v>
      </c>
      <c r="AC116" s="92">
        <v>65.5</v>
      </c>
      <c r="AD116" s="92">
        <v>65.2</v>
      </c>
      <c r="AE116" s="92">
        <v>66.5</v>
      </c>
      <c r="AF116" s="92">
        <v>67.2</v>
      </c>
      <c r="AG116" s="108"/>
      <c r="AH116" s="47">
        <f t="shared" si="12"/>
        <v>67.8</v>
      </c>
      <c r="AI116" s="48">
        <f t="shared" si="13"/>
        <v>63.3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2"/>
        <v>0</v>
      </c>
      <c r="AI117" s="48">
        <f t="shared" si="13"/>
        <v>0</v>
      </c>
    </row>
    <row r="118" spans="1:35" ht="15.75" thickBot="1" x14ac:dyDescent="0.3">
      <c r="A118" s="110" t="s">
        <v>118</v>
      </c>
      <c r="B118" s="111">
        <f t="shared" ref="B118:O118" si="42">SUM(B22,B28,B31:B32,B66,B68:B69,B71,B73,B119:B123,B148,B154,B160,B169,B171,B183,B190,B193:B194,B201,B203,B205,B209:B211,B213:B215,B220,B226:B227,B229:B231,B239,B244)</f>
        <v>79.990000000000009</v>
      </c>
      <c r="C118" s="111">
        <f t="shared" si="42"/>
        <v>76.589999999999975</v>
      </c>
      <c r="D118" s="111">
        <f t="shared" si="42"/>
        <v>68.440000000000012</v>
      </c>
      <c r="E118" s="111">
        <f t="shared" si="42"/>
        <v>65.939999999999984</v>
      </c>
      <c r="F118" s="111">
        <f t="shared" si="42"/>
        <v>52.14</v>
      </c>
      <c r="G118" s="111">
        <f t="shared" si="42"/>
        <v>78.339999999999989</v>
      </c>
      <c r="H118" s="111">
        <f t="shared" si="42"/>
        <v>108.44</v>
      </c>
      <c r="I118" s="111">
        <f t="shared" si="42"/>
        <v>146.63999999999999</v>
      </c>
      <c r="J118" s="111">
        <f t="shared" si="42"/>
        <v>202.94</v>
      </c>
      <c r="K118" s="111">
        <f t="shared" si="42"/>
        <v>264.73999999999995</v>
      </c>
      <c r="L118" s="111">
        <f t="shared" si="42"/>
        <v>288.73999999999995</v>
      </c>
      <c r="M118" s="111">
        <f t="shared" si="42"/>
        <v>318.33999999999997</v>
      </c>
      <c r="N118" s="111">
        <f t="shared" si="42"/>
        <v>224.34</v>
      </c>
      <c r="O118" s="111">
        <f t="shared" si="42"/>
        <v>226.54000000000002</v>
      </c>
      <c r="P118" s="111">
        <v>42</v>
      </c>
      <c r="Q118" s="111">
        <f t="shared" ref="Q118:AF118" si="43">SUM(Q22,Q28,Q31:Q32,Q66,Q68:Q69,Q71,Q73,Q119:Q123,Q148,Q154,Q160,Q169,Q171,Q183,Q190,Q193:Q194,Q201,Q203,Q205,Q209:Q211,Q213:Q215,Q220,Q226:Q227,Q229:Q231,Q239,Q244)</f>
        <v>229.49700000000001</v>
      </c>
      <c r="R118" s="111">
        <f t="shared" si="43"/>
        <v>219.78899999999996</v>
      </c>
      <c r="S118" s="111">
        <f t="shared" si="43"/>
        <v>216.52199999999999</v>
      </c>
      <c r="T118" s="111">
        <f t="shared" si="43"/>
        <v>220.03999999999996</v>
      </c>
      <c r="U118" s="111">
        <f t="shared" si="43"/>
        <v>222.12400000000002</v>
      </c>
      <c r="V118" s="111">
        <f t="shared" si="43"/>
        <v>244.94</v>
      </c>
      <c r="W118" s="111">
        <f t="shared" si="43"/>
        <v>304.7</v>
      </c>
      <c r="X118" s="111">
        <f t="shared" si="43"/>
        <v>372.98399999999998</v>
      </c>
      <c r="Y118" s="111">
        <f t="shared" si="43"/>
        <v>374.976</v>
      </c>
      <c r="Z118" s="111">
        <f t="shared" si="43"/>
        <v>339.45600000000002</v>
      </c>
      <c r="AA118" s="111">
        <f>SUM(AA22,AA28,AA31:AA32,AA66,AA68:AA69,AA71,AA73,AA119:AA123,AA148,AA154,AA160,AA169,AA171,AA183,AA190,AA193:AA194,AA201,AA203,AA205,AA209:AA211,AA213:AA215,AA220,AA226:AA227,AA229:AA231,AA239,AA244)</f>
        <v>344.05599999999998</v>
      </c>
      <c r="AB118" s="111">
        <f t="shared" si="43"/>
        <v>293.89</v>
      </c>
      <c r="AC118" s="111">
        <f t="shared" si="43"/>
        <v>262.69</v>
      </c>
      <c r="AD118" s="111"/>
      <c r="AE118" s="111">
        <f t="shared" si="43"/>
        <v>160.53599999999997</v>
      </c>
      <c r="AF118" s="111">
        <f t="shared" si="43"/>
        <v>122.565</v>
      </c>
      <c r="AG118" s="112"/>
      <c r="AH118" s="47">
        <f t="shared" si="12"/>
        <v>374.976</v>
      </c>
      <c r="AI118" s="48">
        <f t="shared" si="13"/>
        <v>42</v>
      </c>
    </row>
    <row r="119" spans="1:35" x14ac:dyDescent="0.25">
      <c r="A119" s="181" t="s">
        <v>119</v>
      </c>
      <c r="B119" s="113">
        <v>0</v>
      </c>
      <c r="C119" s="113">
        <v>0</v>
      </c>
      <c r="D119" s="113">
        <v>0</v>
      </c>
      <c r="E119" s="113">
        <v>0</v>
      </c>
      <c r="F119" s="113">
        <v>0</v>
      </c>
      <c r="G119" s="113">
        <v>0</v>
      </c>
      <c r="H119" s="113">
        <v>0</v>
      </c>
      <c r="I119" s="113">
        <v>0</v>
      </c>
      <c r="J119" s="113">
        <v>0</v>
      </c>
      <c r="K119" s="113"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40</v>
      </c>
      <c r="Y119" s="113">
        <v>32</v>
      </c>
      <c r="Z119" s="113"/>
      <c r="AA119" s="113">
        <v>32</v>
      </c>
      <c r="AB119" s="113">
        <v>0</v>
      </c>
      <c r="AC119" s="113">
        <v>0</v>
      </c>
      <c r="AD119" s="113">
        <v>0</v>
      </c>
      <c r="AE119" s="113">
        <v>0</v>
      </c>
      <c r="AF119" s="113">
        <v>0</v>
      </c>
      <c r="AG119" s="114">
        <v>75</v>
      </c>
      <c r="AH119" s="47">
        <f t="shared" si="12"/>
        <v>40</v>
      </c>
      <c r="AI119" s="48">
        <f t="shared" si="13"/>
        <v>0</v>
      </c>
    </row>
    <row r="120" spans="1:35" x14ac:dyDescent="0.25">
      <c r="A120" s="182" t="s">
        <v>120</v>
      </c>
      <c r="B120" s="115">
        <v>6.6</v>
      </c>
      <c r="C120" s="115">
        <v>8.1999999999999993</v>
      </c>
      <c r="D120" s="115">
        <v>6.8</v>
      </c>
      <c r="E120" s="115">
        <v>9.1</v>
      </c>
      <c r="F120" s="115">
        <v>33.4</v>
      </c>
      <c r="G120" s="115">
        <v>43.1</v>
      </c>
      <c r="H120" s="115">
        <v>46.1</v>
      </c>
      <c r="I120" s="115">
        <v>34.200000000000003</v>
      </c>
      <c r="J120" s="115">
        <v>47.2</v>
      </c>
      <c r="K120" s="115">
        <v>53.3</v>
      </c>
      <c r="L120" s="115">
        <v>46.4</v>
      </c>
      <c r="M120" s="115">
        <v>45.7</v>
      </c>
      <c r="N120" s="115">
        <v>50.8</v>
      </c>
      <c r="O120" s="115">
        <v>69.2</v>
      </c>
      <c r="P120" s="115">
        <v>79.2</v>
      </c>
      <c r="Q120" s="115">
        <v>53.2</v>
      </c>
      <c r="R120" s="115">
        <v>35.200000000000003</v>
      </c>
      <c r="S120" s="115">
        <v>45.3</v>
      </c>
      <c r="T120" s="115">
        <v>48</v>
      </c>
      <c r="U120" s="115">
        <v>53.8</v>
      </c>
      <c r="V120" s="115">
        <v>63.7</v>
      </c>
      <c r="W120" s="115">
        <v>63</v>
      </c>
      <c r="X120" s="115">
        <v>43.9</v>
      </c>
      <c r="Y120" s="115">
        <v>51</v>
      </c>
      <c r="Z120" s="115">
        <v>60.3</v>
      </c>
      <c r="AA120" s="115">
        <v>62.5</v>
      </c>
      <c r="AB120" s="115">
        <v>59.4</v>
      </c>
      <c r="AC120" s="115">
        <v>67.099999999999994</v>
      </c>
      <c r="AD120" s="115">
        <v>67.900000000000006</v>
      </c>
      <c r="AE120" s="115">
        <v>40.299999999999997</v>
      </c>
      <c r="AF120" s="115">
        <v>18.399999999999999</v>
      </c>
      <c r="AG120" s="114">
        <v>240</v>
      </c>
      <c r="AH120" s="47">
        <f t="shared" si="12"/>
        <v>79.2</v>
      </c>
      <c r="AI120" s="48">
        <f t="shared" si="13"/>
        <v>6.6</v>
      </c>
    </row>
    <row r="121" spans="1:35" x14ac:dyDescent="0.25">
      <c r="A121" s="182" t="s">
        <v>121</v>
      </c>
      <c r="B121" s="115">
        <f>-31.9-36.1</f>
        <v>-68</v>
      </c>
      <c r="C121" s="115">
        <f>-31.9-35.4</f>
        <v>-67.3</v>
      </c>
      <c r="D121" s="115">
        <f>-32.6-36.4</f>
        <v>-69</v>
      </c>
      <c r="E121" s="115">
        <f>-34-39</f>
        <v>-73</v>
      </c>
      <c r="F121" s="115">
        <f>-40-45</f>
        <v>-85</v>
      </c>
      <c r="G121" s="115">
        <f>-36-40</f>
        <v>-76</v>
      </c>
      <c r="H121" s="115">
        <f>-33-38</f>
        <v>-71</v>
      </c>
      <c r="I121" s="115">
        <f>-26-30</f>
        <v>-56</v>
      </c>
      <c r="J121" s="115">
        <f>-16-19</f>
        <v>-35</v>
      </c>
      <c r="K121" s="115">
        <f>-8-11.3</f>
        <v>-19.3</v>
      </c>
      <c r="L121" s="115">
        <f>-6.4-8.2</f>
        <v>-14.6</v>
      </c>
      <c r="M121" s="115">
        <v>-8</v>
      </c>
      <c r="N121" s="115">
        <v>-33</v>
      </c>
      <c r="O121" s="115">
        <v>-43</v>
      </c>
      <c r="P121" s="115">
        <v>-56</v>
      </c>
      <c r="Q121" s="115">
        <v>-40</v>
      </c>
      <c r="R121" s="115">
        <v>-35.799999999999997</v>
      </c>
      <c r="S121" s="115">
        <v>-38</v>
      </c>
      <c r="T121" s="115">
        <v>-33.6</v>
      </c>
      <c r="U121" s="115">
        <v>-33.6</v>
      </c>
      <c r="V121" s="115">
        <v>-31</v>
      </c>
      <c r="W121" s="115">
        <v>-20.6</v>
      </c>
      <c r="X121" s="115">
        <v>-16</v>
      </c>
      <c r="Y121" s="115">
        <v>2</v>
      </c>
      <c r="Z121" s="115">
        <v>5.6</v>
      </c>
      <c r="AA121" s="115">
        <v>6.2</v>
      </c>
      <c r="AB121" s="115">
        <f>-23.1-32.1</f>
        <v>-55.2</v>
      </c>
      <c r="AC121" s="115">
        <v>-65</v>
      </c>
      <c r="AD121" s="115">
        <v>-23</v>
      </c>
      <c r="AE121" s="115">
        <v>-46</v>
      </c>
      <c r="AF121" s="115">
        <v>-56</v>
      </c>
      <c r="AG121" s="114">
        <v>240</v>
      </c>
      <c r="AH121" s="47">
        <f t="shared" si="12"/>
        <v>6.2</v>
      </c>
      <c r="AI121" s="48">
        <f t="shared" si="13"/>
        <v>-85</v>
      </c>
    </row>
    <row r="122" spans="1:35" ht="15.75" thickBot="1" x14ac:dyDescent="0.3">
      <c r="A122" s="182" t="s">
        <v>122</v>
      </c>
      <c r="B122" s="115">
        <v>-0.5</v>
      </c>
      <c r="C122" s="115">
        <v>-1.8</v>
      </c>
      <c r="D122" s="115">
        <v>-1.3</v>
      </c>
      <c r="E122" s="115">
        <v>-2.2000000000000002</v>
      </c>
      <c r="F122" s="115">
        <v>-2.8</v>
      </c>
      <c r="G122" s="115">
        <v>0.7</v>
      </c>
      <c r="H122" s="115">
        <v>0</v>
      </c>
      <c r="I122" s="115">
        <v>3.6</v>
      </c>
      <c r="J122" s="115">
        <v>9.4</v>
      </c>
      <c r="K122" s="115">
        <v>14.9</v>
      </c>
      <c r="L122" s="115">
        <v>16.5</v>
      </c>
      <c r="M122" s="115">
        <v>19.100000000000001</v>
      </c>
      <c r="N122" s="115">
        <v>12.3</v>
      </c>
      <c r="O122" s="115">
        <v>13.6</v>
      </c>
      <c r="P122" s="115">
        <v>10.7</v>
      </c>
      <c r="Q122" s="115">
        <v>11.5</v>
      </c>
      <c r="R122" s="115">
        <v>10.9</v>
      </c>
      <c r="S122" s="115">
        <v>10</v>
      </c>
      <c r="T122" s="115">
        <v>10.199999999999999</v>
      </c>
      <c r="U122" s="115">
        <v>10</v>
      </c>
      <c r="V122" s="115">
        <v>13.4</v>
      </c>
      <c r="W122" s="115">
        <v>17.100000000000001</v>
      </c>
      <c r="X122" s="115">
        <v>34.200000000000003</v>
      </c>
      <c r="Y122" s="115">
        <v>22.7</v>
      </c>
      <c r="Z122" s="115">
        <v>23.5</v>
      </c>
      <c r="AA122" s="115">
        <v>22</v>
      </c>
      <c r="AB122" s="115">
        <v>40.5</v>
      </c>
      <c r="AC122" s="115">
        <v>11.4</v>
      </c>
      <c r="AD122" s="115">
        <v>16.5</v>
      </c>
      <c r="AE122" s="115">
        <v>7.5</v>
      </c>
      <c r="AF122" s="115">
        <v>2.4</v>
      </c>
      <c r="AG122" s="114">
        <v>60</v>
      </c>
      <c r="AH122" s="47">
        <f t="shared" si="12"/>
        <v>40.5</v>
      </c>
      <c r="AI122" s="48">
        <f t="shared" si="13"/>
        <v>-2.8</v>
      </c>
    </row>
    <row r="123" spans="1:35" x14ac:dyDescent="0.25">
      <c r="A123" s="181" t="s">
        <v>267</v>
      </c>
      <c r="B123" s="117">
        <f>9.5*1.5</f>
        <v>14.25</v>
      </c>
      <c r="C123" s="117">
        <f>6.9*1.5</f>
        <v>10.350000000000001</v>
      </c>
      <c r="D123" s="117">
        <f>4.6*1.5</f>
        <v>6.8999999999999995</v>
      </c>
      <c r="E123" s="117">
        <f>4*1.5</f>
        <v>6</v>
      </c>
      <c r="F123" s="117">
        <f>-13*1.5</f>
        <v>-19.5</v>
      </c>
      <c r="G123" s="117">
        <f>-9*1.5</f>
        <v>-13.5</v>
      </c>
      <c r="H123" s="117">
        <v>6</v>
      </c>
      <c r="I123" s="117">
        <f>25*1.5</f>
        <v>37.5</v>
      </c>
      <c r="J123" s="117">
        <f>36*1.5</f>
        <v>54</v>
      </c>
      <c r="K123" s="117">
        <f>59*1.5</f>
        <v>88.5</v>
      </c>
      <c r="L123" s="117">
        <f>75*1.5</f>
        <v>112.5</v>
      </c>
      <c r="M123" s="117">
        <f>80*1.67</f>
        <v>133.6</v>
      </c>
      <c r="N123" s="117">
        <v>61.9</v>
      </c>
      <c r="O123" s="117">
        <v>45.4</v>
      </c>
      <c r="P123" s="117">
        <f>24*1.67</f>
        <v>40.08</v>
      </c>
      <c r="Q123" s="117">
        <f>37.1*1.67</f>
        <v>61.957000000000001</v>
      </c>
      <c r="R123" s="117">
        <f>44.7*1.67</f>
        <v>74.649000000000001</v>
      </c>
      <c r="S123" s="117">
        <f>44.6*1.67</f>
        <v>74.481999999999999</v>
      </c>
      <c r="T123" s="117">
        <f>1.6*43</f>
        <v>68.8</v>
      </c>
      <c r="U123" s="117">
        <f>1.64*38.1</f>
        <v>62.484000000000002</v>
      </c>
      <c r="V123" s="117">
        <v>75</v>
      </c>
      <c r="W123" s="117">
        <f>1.64*74</f>
        <v>121.36</v>
      </c>
      <c r="X123" s="117">
        <f>1.64*89.6</f>
        <v>146.94399999999999</v>
      </c>
      <c r="Y123" s="117">
        <f>1.64*87.4</f>
        <v>143.33600000000001</v>
      </c>
      <c r="Z123" s="117">
        <f>1.64*76.9</f>
        <v>126.116</v>
      </c>
      <c r="AA123" s="117">
        <f>1.64*59.4</f>
        <v>97.415999999999997</v>
      </c>
      <c r="AB123" s="117">
        <f>83.5*1.5</f>
        <v>125.25</v>
      </c>
      <c r="AC123" s="117">
        <f>75*1.67</f>
        <v>125.25</v>
      </c>
      <c r="AD123" s="117">
        <f>28.3*1.67</f>
        <v>47.260999999999996</v>
      </c>
      <c r="AE123" s="117">
        <f>17.2*1.68</f>
        <v>28.895999999999997</v>
      </c>
      <c r="AF123" s="117">
        <f>17.5*1.67</f>
        <v>29.224999999999998</v>
      </c>
      <c r="AG123" s="118">
        <v>120</v>
      </c>
      <c r="AH123" s="47">
        <f t="shared" si="12"/>
        <v>146.94399999999999</v>
      </c>
      <c r="AI123" s="48">
        <f t="shared" si="13"/>
        <v>-19.5</v>
      </c>
    </row>
    <row r="124" spans="1:35" x14ac:dyDescent="0.25">
      <c r="A124" s="182" t="s">
        <v>266</v>
      </c>
      <c r="B124" s="117">
        <v>44.1</v>
      </c>
      <c r="C124" s="117">
        <v>42.2</v>
      </c>
      <c r="D124" s="117">
        <v>40.4</v>
      </c>
      <c r="E124" s="117">
        <v>38.4</v>
      </c>
      <c r="F124" s="117">
        <v>25</v>
      </c>
      <c r="G124" s="117">
        <v>27.8</v>
      </c>
      <c r="H124" s="117">
        <v>38.700000000000003</v>
      </c>
      <c r="I124" s="117">
        <v>55.8</v>
      </c>
      <c r="J124" s="117">
        <v>64</v>
      </c>
      <c r="K124" s="117">
        <v>83</v>
      </c>
      <c r="L124" s="117">
        <v>95.6</v>
      </c>
      <c r="M124" s="117">
        <v>99.6</v>
      </c>
      <c r="N124" s="117">
        <v>84.8</v>
      </c>
      <c r="O124" s="117">
        <v>71</v>
      </c>
      <c r="P124" s="117">
        <v>54.2</v>
      </c>
      <c r="Q124" s="117">
        <v>65.099999999999994</v>
      </c>
      <c r="R124" s="117">
        <v>70.7</v>
      </c>
      <c r="S124" s="117">
        <v>70.099999999999994</v>
      </c>
      <c r="T124" s="117">
        <v>68.900000000000006</v>
      </c>
      <c r="U124" s="117">
        <v>66.599999999999994</v>
      </c>
      <c r="V124" s="117">
        <v>77.5</v>
      </c>
      <c r="W124" s="117">
        <v>95.1</v>
      </c>
      <c r="X124" s="117">
        <v>107.8</v>
      </c>
      <c r="Y124" s="117">
        <v>105</v>
      </c>
      <c r="Z124" s="117">
        <v>97</v>
      </c>
      <c r="AA124" s="117">
        <v>82.5</v>
      </c>
      <c r="AB124" s="117">
        <v>103.3</v>
      </c>
      <c r="AC124" s="117">
        <v>96.5</v>
      </c>
      <c r="AD124" s="117">
        <v>59.3</v>
      </c>
      <c r="AE124" s="117">
        <v>50.6</v>
      </c>
      <c r="AF124" s="117">
        <v>51.2</v>
      </c>
      <c r="AG124" s="118"/>
      <c r="AH124" s="47"/>
      <c r="AI124" s="48"/>
    </row>
    <row r="125" spans="1:35" x14ac:dyDescent="0.25">
      <c r="A125" s="182" t="s">
        <v>263</v>
      </c>
      <c r="B125" s="117">
        <v>19.8</v>
      </c>
      <c r="C125" s="117">
        <v>18.399999999999999</v>
      </c>
      <c r="D125" s="117">
        <v>18.8</v>
      </c>
      <c r="E125" s="117">
        <v>17.899999999999999</v>
      </c>
      <c r="F125" s="117">
        <v>-10.3</v>
      </c>
      <c r="G125" s="117">
        <v>-19.600000000000001</v>
      </c>
      <c r="H125" s="117">
        <v>-21</v>
      </c>
      <c r="I125" s="117">
        <v>-10.4</v>
      </c>
      <c r="J125" s="117">
        <v>-34.700000000000003</v>
      </c>
      <c r="K125" s="117">
        <v>-42</v>
      </c>
      <c r="L125" s="117">
        <v>-33.700000000000003</v>
      </c>
      <c r="M125" s="117">
        <v>-32.1</v>
      </c>
      <c r="N125" s="117">
        <v>-23</v>
      </c>
      <c r="O125" s="117">
        <v>-34</v>
      </c>
      <c r="P125" s="117">
        <v>-50</v>
      </c>
      <c r="Q125" s="117">
        <v>-26.1</v>
      </c>
      <c r="R125" s="117">
        <v>-5.6</v>
      </c>
      <c r="S125" s="117">
        <v>-17.899999999999999</v>
      </c>
      <c r="T125" s="117">
        <v>10.5</v>
      </c>
      <c r="U125" s="117">
        <v>-28.5</v>
      </c>
      <c r="V125" s="117">
        <v>-38.9</v>
      </c>
      <c r="W125" s="117">
        <v>-35.799999999999997</v>
      </c>
      <c r="X125" s="117">
        <v>-42.8</v>
      </c>
      <c r="Y125" s="117">
        <v>-46.4</v>
      </c>
      <c r="Z125" s="117">
        <v>-56</v>
      </c>
      <c r="AA125" s="117">
        <v>-71.8</v>
      </c>
      <c r="AB125" s="117">
        <v>-17.100000000000001</v>
      </c>
      <c r="AC125" s="117">
        <v>-21.8</v>
      </c>
      <c r="AD125" s="117">
        <v>-66.8</v>
      </c>
      <c r="AE125" s="117">
        <v>-25.4</v>
      </c>
      <c r="AF125" s="117">
        <v>10.199999999999999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40.200000000000003</v>
      </c>
      <c r="C126" s="117">
        <v>34.799999999999997</v>
      </c>
      <c r="D126" s="117">
        <v>31.8</v>
      </c>
      <c r="E126" s="117">
        <v>32.1</v>
      </c>
      <c r="F126" s="117">
        <v>14.6</v>
      </c>
      <c r="G126" s="117">
        <v>14.3</v>
      </c>
      <c r="H126" s="117">
        <v>30.8</v>
      </c>
      <c r="I126" s="117">
        <v>50.2</v>
      </c>
      <c r="J126" s="117">
        <v>55.5</v>
      </c>
      <c r="K126" s="117">
        <v>66.900000000000006</v>
      </c>
      <c r="L126" s="117">
        <v>82</v>
      </c>
      <c r="M126" s="117">
        <v>73.400000000000006</v>
      </c>
      <c r="N126" s="117">
        <v>82</v>
      </c>
      <c r="O126" s="117">
        <v>50</v>
      </c>
      <c r="P126" s="117">
        <v>38</v>
      </c>
      <c r="Q126" s="117">
        <v>61</v>
      </c>
      <c r="R126" s="117">
        <v>66.900000000000006</v>
      </c>
      <c r="S126" s="117">
        <v>64.7</v>
      </c>
      <c r="T126" s="117">
        <v>59</v>
      </c>
      <c r="U126" s="117">
        <v>60.1</v>
      </c>
      <c r="V126" s="117">
        <v>58.1</v>
      </c>
      <c r="W126" s="117">
        <v>73.3</v>
      </c>
      <c r="X126" s="117">
        <v>78.8</v>
      </c>
      <c r="Y126" s="117">
        <v>78</v>
      </c>
      <c r="Z126" s="117">
        <v>73.3</v>
      </c>
      <c r="AA126" s="117">
        <v>57.7</v>
      </c>
      <c r="AB126" s="117">
        <v>22.5</v>
      </c>
      <c r="AC126" s="117">
        <v>14.9</v>
      </c>
      <c r="AD126" s="117">
        <v>42.7</v>
      </c>
      <c r="AE126" s="117">
        <v>37.5</v>
      </c>
      <c r="AF126" s="117">
        <v>45.1</v>
      </c>
      <c r="AG126" s="114"/>
      <c r="AH126" s="47">
        <f t="shared" si="12"/>
        <v>82</v>
      </c>
      <c r="AI126" s="48">
        <f t="shared" si="13"/>
        <v>14.3</v>
      </c>
    </row>
    <row r="127" spans="1:35" x14ac:dyDescent="0.25">
      <c r="A127" s="181" t="s">
        <v>264</v>
      </c>
      <c r="B127" s="117">
        <v>8</v>
      </c>
      <c r="C127" s="117">
        <v>7.4</v>
      </c>
      <c r="D127" s="117">
        <v>4.4000000000000004</v>
      </c>
      <c r="E127" s="117">
        <v>3.4</v>
      </c>
      <c r="F127" s="117">
        <v>-6.3</v>
      </c>
      <c r="G127" s="117">
        <v>67.599999999999994</v>
      </c>
      <c r="H127" s="117">
        <v>-11.1</v>
      </c>
      <c r="I127" s="117">
        <v>-3.8</v>
      </c>
      <c r="J127" s="117">
        <v>-15.3</v>
      </c>
      <c r="K127" s="117">
        <v>-10.1</v>
      </c>
      <c r="L127" s="117">
        <v>-6.8</v>
      </c>
      <c r="M127" s="117">
        <v>-6.8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-9</v>
      </c>
      <c r="W127" s="117">
        <v>13</v>
      </c>
      <c r="X127" s="117">
        <v>4.2</v>
      </c>
      <c r="Y127" s="117">
        <v>6.4</v>
      </c>
      <c r="Z127" s="117">
        <v>11.3</v>
      </c>
      <c r="AA127" s="117">
        <v>10.9</v>
      </c>
      <c r="AB127" s="117">
        <v>-13.8</v>
      </c>
      <c r="AC127" s="117">
        <v>-20.6</v>
      </c>
      <c r="AD127" s="117">
        <v>-22.1</v>
      </c>
      <c r="AE127" s="117">
        <v>-15.4</v>
      </c>
      <c r="AF127" s="106">
        <v>2.2000000000000002</v>
      </c>
      <c r="AG127" s="114"/>
      <c r="AH127" s="47">
        <f t="shared" si="12"/>
        <v>67.599999999999994</v>
      </c>
      <c r="AI127" s="48">
        <f t="shared" si="13"/>
        <v>-22.1</v>
      </c>
    </row>
    <row r="128" spans="1:35" x14ac:dyDescent="0.25">
      <c r="A128" s="182" t="s">
        <v>126</v>
      </c>
      <c r="B128" s="106">
        <v>10</v>
      </c>
      <c r="C128" s="106">
        <v>9.8000000000000007</v>
      </c>
      <c r="D128" s="106">
        <v>10</v>
      </c>
      <c r="E128" s="106">
        <v>9.8000000000000007</v>
      </c>
      <c r="F128" s="106">
        <v>9.5</v>
      </c>
      <c r="G128" s="106">
        <v>3.7</v>
      </c>
      <c r="H128" s="106">
        <v>-2</v>
      </c>
      <c r="I128" s="106">
        <v>-6.9</v>
      </c>
      <c r="J128" s="106">
        <v>-16.2</v>
      </c>
      <c r="K128" s="106">
        <v>-23.8</v>
      </c>
      <c r="L128" s="106">
        <v>-26.3</v>
      </c>
      <c r="M128" s="106">
        <v>-31</v>
      </c>
      <c r="N128" s="106">
        <v>-19</v>
      </c>
      <c r="O128" s="106">
        <v>-18</v>
      </c>
      <c r="P128" s="106">
        <v>-11.9</v>
      </c>
      <c r="Q128" s="106">
        <v>-13.5</v>
      </c>
      <c r="R128" s="106">
        <v>-9.8000000000000007</v>
      </c>
      <c r="S128" s="106">
        <v>-13.2</v>
      </c>
      <c r="T128" s="106">
        <v>-10</v>
      </c>
      <c r="U128" s="106">
        <v>-14.6</v>
      </c>
      <c r="V128" s="106">
        <v>-26.1</v>
      </c>
      <c r="W128" s="106">
        <v>-38.4</v>
      </c>
      <c r="X128" s="106">
        <v>-37.5</v>
      </c>
      <c r="Y128" s="106">
        <v>-30</v>
      </c>
      <c r="Z128" s="106">
        <v>-26.7</v>
      </c>
      <c r="AA128" s="106">
        <v>-16.600000000000001</v>
      </c>
      <c r="AB128" s="106">
        <v>-17.600000000000001</v>
      </c>
      <c r="AC128" s="106">
        <v>-13.5</v>
      </c>
      <c r="AD128" s="106">
        <v>-6.7</v>
      </c>
      <c r="AE128" s="106">
        <v>-0.4</v>
      </c>
      <c r="AF128" s="106">
        <v>2.7</v>
      </c>
      <c r="AG128" s="114"/>
      <c r="AH128" s="47">
        <f t="shared" si="12"/>
        <v>10</v>
      </c>
      <c r="AI128" s="48">
        <f t="shared" si="13"/>
        <v>-38.4</v>
      </c>
    </row>
    <row r="129" spans="1:37" x14ac:dyDescent="0.25">
      <c r="A129" s="182" t="s">
        <v>268</v>
      </c>
      <c r="B129" s="106">
        <v>53.3</v>
      </c>
      <c r="C129" s="106">
        <v>50.7</v>
      </c>
      <c r="D129" s="106">
        <v>54.1</v>
      </c>
      <c r="E129" s="106">
        <v>57.3</v>
      </c>
      <c r="F129" s="106">
        <v>77.3</v>
      </c>
      <c r="G129" s="106">
        <v>77.099999999999994</v>
      </c>
      <c r="H129" s="106">
        <v>70.2</v>
      </c>
      <c r="I129" s="106">
        <v>53.4</v>
      </c>
      <c r="J129" s="106">
        <v>41</v>
      </c>
      <c r="K129" s="106">
        <v>32.9</v>
      </c>
      <c r="L129" s="106">
        <v>24.7</v>
      </c>
      <c r="M129" s="106">
        <v>15.6</v>
      </c>
      <c r="N129" s="106">
        <v>44.8</v>
      </c>
      <c r="O129" s="106">
        <v>58.8</v>
      </c>
      <c r="P129" s="106">
        <v>75.900000000000006</v>
      </c>
      <c r="Q129" s="106">
        <v>53.8</v>
      </c>
      <c r="R129" s="106">
        <v>38.299999999999997</v>
      </c>
      <c r="S129" s="106">
        <v>42.7</v>
      </c>
      <c r="T129" s="106">
        <v>44.3</v>
      </c>
      <c r="U129" s="106">
        <v>45.8</v>
      </c>
      <c r="V129" s="106">
        <v>42.3</v>
      </c>
      <c r="W129" s="106">
        <v>29.9</v>
      </c>
      <c r="X129" s="106">
        <v>10.4</v>
      </c>
      <c r="Y129" s="106">
        <v>7.7</v>
      </c>
      <c r="Z129" s="106">
        <v>13.6</v>
      </c>
      <c r="AA129" s="106">
        <v>19.5</v>
      </c>
      <c r="AB129" s="106">
        <v>85.7</v>
      </c>
      <c r="AC129" s="106">
        <v>69.099999999999994</v>
      </c>
      <c r="AD129" s="106">
        <v>43.5</v>
      </c>
      <c r="AE129" s="106">
        <v>50.9</v>
      </c>
      <c r="AF129" s="106">
        <v>49.1</v>
      </c>
      <c r="AG129" s="114"/>
      <c r="AH129" s="47">
        <f t="shared" si="12"/>
        <v>85.7</v>
      </c>
      <c r="AI129" s="48">
        <f t="shared" si="13"/>
        <v>7.7</v>
      </c>
    </row>
    <row r="130" spans="1:37" x14ac:dyDescent="0.25">
      <c r="A130" s="182" t="s">
        <v>265</v>
      </c>
      <c r="B130" s="106">
        <v>69.7</v>
      </c>
      <c r="C130" s="106">
        <v>70.3</v>
      </c>
      <c r="D130" s="106">
        <v>70.8</v>
      </c>
      <c r="E130" s="106">
        <v>66.7</v>
      </c>
      <c r="F130" s="106">
        <v>68</v>
      </c>
      <c r="G130" s="106">
        <v>74.7</v>
      </c>
      <c r="H130" s="106">
        <v>72.099999999999994</v>
      </c>
      <c r="I130" s="106">
        <v>83.4</v>
      </c>
      <c r="J130" s="106">
        <v>90.9</v>
      </c>
      <c r="K130" s="106">
        <v>94.3</v>
      </c>
      <c r="L130" s="106">
        <v>105.2</v>
      </c>
      <c r="M130" s="106">
        <v>109.6</v>
      </c>
      <c r="N130" s="106">
        <v>105</v>
      </c>
      <c r="O130" s="106">
        <v>106</v>
      </c>
      <c r="P130" s="106">
        <v>106.8</v>
      </c>
      <c r="Q130" s="106">
        <v>92</v>
      </c>
      <c r="R130" s="106">
        <v>91.4</v>
      </c>
      <c r="S130" s="106">
        <v>99.5</v>
      </c>
      <c r="T130" s="106">
        <v>74.5</v>
      </c>
      <c r="U130" s="106">
        <v>63.7</v>
      </c>
      <c r="V130" s="106">
        <v>103</v>
      </c>
      <c r="W130" s="106">
        <v>95.1</v>
      </c>
      <c r="X130" s="106">
        <v>84.2</v>
      </c>
      <c r="Y130" s="106">
        <v>80.7</v>
      </c>
      <c r="Z130" s="106">
        <v>67.599999999999994</v>
      </c>
      <c r="AA130" s="106">
        <v>74.099999999999994</v>
      </c>
      <c r="AB130" s="106">
        <v>98.2</v>
      </c>
      <c r="AC130" s="106">
        <v>95.1</v>
      </c>
      <c r="AD130" s="106">
        <v>84.5</v>
      </c>
      <c r="AE130" s="106">
        <v>67.900000000000006</v>
      </c>
      <c r="AF130" s="106">
        <v>73.900000000000006</v>
      </c>
      <c r="AG130" s="114"/>
      <c r="AH130" s="47">
        <f t="shared" si="12"/>
        <v>109.6</v>
      </c>
      <c r="AI130" s="48">
        <f t="shared" si="13"/>
        <v>63.7</v>
      </c>
    </row>
    <row r="131" spans="1:37" ht="15.75" thickBot="1" x14ac:dyDescent="0.3">
      <c r="A131" s="122" t="s">
        <v>129</v>
      </c>
      <c r="B131" s="123"/>
      <c r="C131" s="123"/>
      <c r="D131" s="123"/>
      <c r="E131" s="123"/>
      <c r="F131" s="176" t="s">
        <v>258</v>
      </c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83"/>
      <c r="AH131" s="47"/>
      <c r="AI131" s="48"/>
      <c r="AK131" s="50"/>
    </row>
    <row r="132" spans="1:37" x14ac:dyDescent="0.25">
      <c r="A132" s="125" t="s">
        <v>130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>
        <v>9.94</v>
      </c>
      <c r="AH132" s="47"/>
      <c r="AI132" s="48"/>
      <c r="AK132" s="50"/>
    </row>
    <row r="133" spans="1:37" x14ac:dyDescent="0.25">
      <c r="A133" s="103" t="s">
        <v>131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132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133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134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135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136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137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138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139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140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141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142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143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144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145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146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1">
        <v>9.9</v>
      </c>
      <c r="AH148" s="47"/>
      <c r="AI148" s="48"/>
      <c r="AK148" s="50"/>
    </row>
    <row r="149" spans="1:37" x14ac:dyDescent="0.25">
      <c r="A149" s="116" t="s">
        <v>147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9.6579999999999995</v>
      </c>
      <c r="AH149" s="47"/>
      <c r="AI149" s="48"/>
      <c r="AK149" s="50"/>
    </row>
    <row r="150" spans="1:37" x14ac:dyDescent="0.25">
      <c r="A150" s="116" t="s">
        <v>148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9.6</v>
      </c>
      <c r="AH150" s="47"/>
      <c r="AI150" s="48"/>
      <c r="AK150" s="50"/>
    </row>
    <row r="151" spans="1:37" x14ac:dyDescent="0.25">
      <c r="A151" s="116" t="s">
        <v>149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9.51</v>
      </c>
      <c r="AH151" s="47"/>
      <c r="AI151" s="48"/>
      <c r="AK151" s="50"/>
    </row>
    <row r="152" spans="1:37" x14ac:dyDescent="0.25">
      <c r="A152" s="116" t="s">
        <v>150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9.4</v>
      </c>
      <c r="AH152" s="47"/>
      <c r="AI152" s="48"/>
      <c r="AK152" s="50"/>
    </row>
    <row r="153" spans="1:37" x14ac:dyDescent="0.25">
      <c r="A153" s="116" t="s">
        <v>151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8.8000000000000007</v>
      </c>
      <c r="AH153" s="47"/>
      <c r="AI153" s="48"/>
      <c r="AK153" s="50"/>
    </row>
    <row r="154" spans="1:37" x14ac:dyDescent="0.25">
      <c r="A154" s="116" t="s">
        <v>152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8.5</v>
      </c>
      <c r="AH154" s="47"/>
      <c r="AI154" s="48"/>
      <c r="AK154" s="50"/>
    </row>
    <row r="155" spans="1:37" x14ac:dyDescent="0.25">
      <c r="A155" s="116" t="s">
        <v>153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8.5</v>
      </c>
      <c r="AH155" s="47"/>
      <c r="AI155" s="48"/>
      <c r="AK155" s="50"/>
    </row>
    <row r="156" spans="1:37" x14ac:dyDescent="0.25">
      <c r="A156" s="116" t="s">
        <v>154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8.4</v>
      </c>
      <c r="AH156" s="47"/>
      <c r="AI156" s="48"/>
      <c r="AK156" s="50"/>
    </row>
    <row r="157" spans="1:37" ht="13.5" customHeight="1" x14ac:dyDescent="0.25">
      <c r="A157" s="116" t="s">
        <v>155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8</v>
      </c>
      <c r="AH157" s="47"/>
      <c r="AI157" s="48"/>
      <c r="AK157" s="50"/>
    </row>
    <row r="158" spans="1:37" x14ac:dyDescent="0.25">
      <c r="A158" s="116" t="s">
        <v>156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</v>
      </c>
      <c r="AH158" s="47"/>
      <c r="AI158" s="48"/>
      <c r="AK158" s="50"/>
    </row>
    <row r="159" spans="1:37" x14ac:dyDescent="0.25">
      <c r="A159" s="116" t="s">
        <v>157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</v>
      </c>
      <c r="AH159" s="47"/>
      <c r="AI159" s="48"/>
      <c r="AK159" s="50"/>
    </row>
    <row r="160" spans="1:37" x14ac:dyDescent="0.25">
      <c r="A160" s="116" t="s">
        <v>158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7.8</v>
      </c>
      <c r="AH160" s="47"/>
      <c r="AI160" s="48"/>
      <c r="AK160" s="50"/>
    </row>
    <row r="161" spans="1:37" x14ac:dyDescent="0.25">
      <c r="A161" s="116" t="s">
        <v>159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7.6</v>
      </c>
      <c r="AH161" s="47"/>
      <c r="AI161" s="48"/>
      <c r="AK161" s="50"/>
    </row>
    <row r="162" spans="1:37" x14ac:dyDescent="0.25">
      <c r="A162" s="116" t="s">
        <v>160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7.5</v>
      </c>
      <c r="AH162" s="47"/>
      <c r="AI162" s="48"/>
      <c r="AK162" s="50"/>
    </row>
    <row r="163" spans="1:37" x14ac:dyDescent="0.25">
      <c r="A163" s="116" t="s">
        <v>161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7.5</v>
      </c>
      <c r="AH163" s="47"/>
      <c r="AI163" s="48"/>
      <c r="AK163" s="50"/>
    </row>
    <row r="164" spans="1:37" x14ac:dyDescent="0.25">
      <c r="A164" s="116" t="s">
        <v>162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7</v>
      </c>
      <c r="AH164" s="47"/>
      <c r="AI164" s="48"/>
      <c r="AK164" s="50"/>
    </row>
    <row r="165" spans="1:37" x14ac:dyDescent="0.25">
      <c r="A165" s="116" t="s">
        <v>163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</v>
      </c>
      <c r="AH165" s="47"/>
      <c r="AI165" s="48"/>
      <c r="AK165" s="50"/>
    </row>
    <row r="166" spans="1:37" x14ac:dyDescent="0.25">
      <c r="A166" s="116" t="s">
        <v>164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</v>
      </c>
      <c r="AH166" s="47"/>
      <c r="AI166" s="48"/>
      <c r="AK166" s="50"/>
    </row>
    <row r="167" spans="1:37" x14ac:dyDescent="0.25">
      <c r="A167" s="116" t="s">
        <v>165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</v>
      </c>
      <c r="AH167" s="47"/>
      <c r="AI167" s="48"/>
      <c r="AK167" s="50"/>
    </row>
    <row r="168" spans="1:37" x14ac:dyDescent="0.25">
      <c r="A168" s="116" t="s">
        <v>166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6.6</v>
      </c>
      <c r="AH168" s="47"/>
      <c r="AI168" s="48"/>
      <c r="AK168" s="50"/>
    </row>
    <row r="169" spans="1:37" x14ac:dyDescent="0.25">
      <c r="A169" s="116" t="s">
        <v>167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6.6</v>
      </c>
      <c r="AH169" s="47"/>
      <c r="AI169" s="48"/>
      <c r="AK169" s="50"/>
    </row>
    <row r="170" spans="1:37" x14ac:dyDescent="0.25">
      <c r="A170" s="116" t="s">
        <v>168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6.4</v>
      </c>
      <c r="AH170" s="47"/>
      <c r="AI170" s="48"/>
      <c r="AK170" s="50"/>
    </row>
    <row r="171" spans="1:37" x14ac:dyDescent="0.25">
      <c r="A171" s="116" t="s">
        <v>169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6</v>
      </c>
      <c r="AH171" s="47"/>
      <c r="AI171" s="48"/>
      <c r="AK171" s="50"/>
    </row>
    <row r="172" spans="1:37" x14ac:dyDescent="0.25">
      <c r="A172" s="116" t="s">
        <v>170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5.0999999999999996</v>
      </c>
      <c r="AH172" s="47"/>
      <c r="AI172" s="48"/>
      <c r="AK172" s="50"/>
    </row>
    <row r="173" spans="1:37" x14ac:dyDescent="0.25">
      <c r="A173" s="116" t="s">
        <v>171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5</v>
      </c>
      <c r="AH173" s="47"/>
      <c r="AI173" s="48"/>
      <c r="AK173" s="50"/>
    </row>
    <row r="174" spans="1:37" x14ac:dyDescent="0.25">
      <c r="A174" s="103" t="s">
        <v>172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1">
        <v>5</v>
      </c>
      <c r="AH174" s="47"/>
      <c r="AI174" s="48"/>
      <c r="AK174" s="50"/>
    </row>
    <row r="175" spans="1:37" x14ac:dyDescent="0.25">
      <c r="A175" s="116" t="s">
        <v>173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5</v>
      </c>
      <c r="AH175" s="47"/>
      <c r="AI175" s="48"/>
      <c r="AK175" s="50"/>
    </row>
    <row r="176" spans="1:37" x14ac:dyDescent="0.25">
      <c r="A176" s="116" t="s">
        <v>174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5</v>
      </c>
      <c r="AH176" s="47"/>
      <c r="AI176" s="48"/>
      <c r="AK176" s="50"/>
    </row>
    <row r="177" spans="1:37" x14ac:dyDescent="0.25">
      <c r="A177" s="116" t="s">
        <v>175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</v>
      </c>
      <c r="AH177" s="47"/>
      <c r="AI177" s="48"/>
      <c r="AK177" s="50"/>
    </row>
    <row r="178" spans="1:37" x14ac:dyDescent="0.25">
      <c r="A178" s="116" t="s">
        <v>176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16" t="s">
        <v>177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</v>
      </c>
      <c r="AH179" s="47"/>
      <c r="AI179" s="48"/>
      <c r="AK179" s="50"/>
    </row>
    <row r="180" spans="1:37" x14ac:dyDescent="0.25">
      <c r="A180" s="116" t="s">
        <v>178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4.9930000000000003</v>
      </c>
      <c r="AH180" s="47"/>
      <c r="AI180" s="48"/>
      <c r="AK180" s="50"/>
    </row>
    <row r="181" spans="1:37" x14ac:dyDescent="0.25">
      <c r="A181" s="116" t="s">
        <v>179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4.9800000000000004</v>
      </c>
      <c r="AH181" s="47"/>
      <c r="AI181" s="48"/>
      <c r="AK181" s="50"/>
    </row>
    <row r="182" spans="1:37" x14ac:dyDescent="0.25">
      <c r="A182" s="116" t="s">
        <v>180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4.95</v>
      </c>
      <c r="AH182" s="47"/>
      <c r="AI182" s="48"/>
      <c r="AK182" s="50"/>
    </row>
    <row r="183" spans="1:37" x14ac:dyDescent="0.25">
      <c r="A183" s="116" t="s">
        <v>181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4.95</v>
      </c>
      <c r="AH183" s="47"/>
      <c r="AI183" s="48"/>
      <c r="AK183" s="50"/>
    </row>
    <row r="184" spans="1:37" x14ac:dyDescent="0.25">
      <c r="A184" s="116" t="s">
        <v>182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4.8</v>
      </c>
      <c r="AH184" s="47"/>
      <c r="AI184" s="48"/>
      <c r="AK184" s="50"/>
    </row>
    <row r="185" spans="1:37" x14ac:dyDescent="0.25">
      <c r="A185" s="116" t="s">
        <v>183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4.8</v>
      </c>
      <c r="AH185" s="47"/>
      <c r="AI185" s="48"/>
      <c r="AK185" s="50"/>
    </row>
    <row r="186" spans="1:37" x14ac:dyDescent="0.25">
      <c r="A186" s="116" t="s">
        <v>184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4.8</v>
      </c>
      <c r="AH186" s="47"/>
      <c r="AI186" s="48"/>
      <c r="AK186" s="50"/>
    </row>
    <row r="187" spans="1:37" x14ac:dyDescent="0.25">
      <c r="A187" s="116" t="s">
        <v>185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4.5</v>
      </c>
      <c r="AH187" s="47"/>
      <c r="AI187" s="48"/>
      <c r="AK187" s="50"/>
    </row>
    <row r="188" spans="1:37" x14ac:dyDescent="0.25">
      <c r="A188" s="116" t="s">
        <v>186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4.5</v>
      </c>
      <c r="AH188" s="47"/>
      <c r="AI188" s="48"/>
      <c r="AK188" s="50"/>
    </row>
    <row r="189" spans="1:37" x14ac:dyDescent="0.25">
      <c r="A189" s="116" t="s">
        <v>187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4.4550000000000001</v>
      </c>
      <c r="AH189" s="47"/>
      <c r="AI189" s="48"/>
      <c r="AK189" s="50"/>
    </row>
    <row r="190" spans="1:37" x14ac:dyDescent="0.25">
      <c r="A190" s="116" t="s">
        <v>188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4.41</v>
      </c>
      <c r="AH190" s="47"/>
      <c r="AI190" s="48"/>
      <c r="AK190" s="50"/>
    </row>
    <row r="191" spans="1:37" x14ac:dyDescent="0.25">
      <c r="A191" s="116" t="s">
        <v>189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4.4000000000000004</v>
      </c>
      <c r="AH191" s="47"/>
      <c r="AI191" s="48"/>
      <c r="AK191" s="50"/>
    </row>
    <row r="192" spans="1:37" x14ac:dyDescent="0.25">
      <c r="A192" s="116" t="s">
        <v>190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4.3600000000000003</v>
      </c>
      <c r="AH192" s="47"/>
      <c r="AI192" s="48"/>
      <c r="AK192" s="50"/>
    </row>
    <row r="193" spans="1:37" x14ac:dyDescent="0.25">
      <c r="A193" s="116" t="s">
        <v>191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4.2</v>
      </c>
      <c r="AH193" s="47"/>
      <c r="AI193" s="48"/>
      <c r="AK193" s="50"/>
    </row>
    <row r="194" spans="1:37" x14ac:dyDescent="0.25">
      <c r="A194" s="116" t="s">
        <v>192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</v>
      </c>
      <c r="AH194" s="47"/>
      <c r="AI194" s="48"/>
      <c r="AK194" s="50"/>
    </row>
    <row r="195" spans="1:37" x14ac:dyDescent="0.25">
      <c r="A195" s="116" t="s">
        <v>193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</v>
      </c>
      <c r="AH195" s="47"/>
      <c r="AI195" s="48"/>
      <c r="AK195" s="50"/>
    </row>
    <row r="196" spans="1:37" x14ac:dyDescent="0.25">
      <c r="A196" s="116" t="s">
        <v>194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</v>
      </c>
      <c r="AH196" s="47"/>
      <c r="AI196" s="48"/>
      <c r="AK196" s="50"/>
    </row>
    <row r="197" spans="1:37" x14ac:dyDescent="0.25">
      <c r="A197" s="116" t="s">
        <v>195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</v>
      </c>
      <c r="AH197" s="47"/>
      <c r="AI197" s="48"/>
      <c r="AK197" s="50"/>
    </row>
    <row r="198" spans="1:37" x14ac:dyDescent="0.25">
      <c r="A198" s="116" t="s">
        <v>196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</v>
      </c>
      <c r="AH198" s="47"/>
      <c r="AI198" s="48"/>
      <c r="AK198" s="50"/>
    </row>
    <row r="199" spans="1:37" x14ac:dyDescent="0.25">
      <c r="A199" s="116" t="s">
        <v>197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198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199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200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3.75</v>
      </c>
      <c r="AH202" s="47"/>
      <c r="AI202" s="48"/>
      <c r="AK202" s="50"/>
    </row>
    <row r="203" spans="1:37" x14ac:dyDescent="0.25">
      <c r="A203" s="116" t="s">
        <v>201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3.52</v>
      </c>
      <c r="AH203" s="47"/>
      <c r="AI203" s="48"/>
      <c r="AK203" s="50"/>
    </row>
    <row r="204" spans="1:37" x14ac:dyDescent="0.25">
      <c r="A204" s="116" t="s">
        <v>202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3.33</v>
      </c>
      <c r="AH204" s="47"/>
      <c r="AI204" s="48"/>
      <c r="AK204" s="50"/>
    </row>
    <row r="205" spans="1:37" x14ac:dyDescent="0.25">
      <c r="A205" s="116" t="s">
        <v>203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3.2</v>
      </c>
      <c r="AH205" s="47"/>
      <c r="AI205" s="48"/>
      <c r="AK205" s="50"/>
    </row>
    <row r="206" spans="1:37" x14ac:dyDescent="0.25">
      <c r="A206" s="116" t="s">
        <v>204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3</v>
      </c>
      <c r="AH206" s="47"/>
      <c r="AI206" s="48"/>
      <c r="AK206" s="50"/>
    </row>
    <row r="207" spans="1:37" x14ac:dyDescent="0.25">
      <c r="A207" s="116" t="s">
        <v>205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</v>
      </c>
      <c r="AH207" s="47"/>
      <c r="AI207" s="48"/>
      <c r="AK207" s="50"/>
    </row>
    <row r="208" spans="1:37" x14ac:dyDescent="0.25">
      <c r="A208" s="116" t="s">
        <v>206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</v>
      </c>
      <c r="AH208" s="47"/>
      <c r="AI208" s="48"/>
      <c r="AK208" s="50"/>
    </row>
    <row r="209" spans="1:37" x14ac:dyDescent="0.25">
      <c r="A209" s="116" t="s">
        <v>207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</v>
      </c>
      <c r="AH209" s="47"/>
      <c r="AI209" s="48"/>
      <c r="AK209" s="50"/>
    </row>
    <row r="210" spans="1:37" x14ac:dyDescent="0.25">
      <c r="A210" s="116" t="s">
        <v>208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</v>
      </c>
      <c r="AH210" s="47"/>
      <c r="AI210" s="48"/>
      <c r="AK210" s="50"/>
    </row>
    <row r="211" spans="1:37" x14ac:dyDescent="0.25">
      <c r="A211" s="116" t="s">
        <v>209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210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211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212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2.83</v>
      </c>
      <c r="AH214" s="47"/>
      <c r="AI214" s="48"/>
      <c r="AK214" s="50"/>
    </row>
    <row r="215" spans="1:37" x14ac:dyDescent="0.25">
      <c r="A215" s="116" t="s">
        <v>213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2.5</v>
      </c>
      <c r="AH215" s="47"/>
      <c r="AI215" s="48"/>
      <c r="AK215" s="50"/>
    </row>
    <row r="216" spans="1:37" x14ac:dyDescent="0.25">
      <c r="A216" s="116" t="s">
        <v>214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2.5</v>
      </c>
      <c r="AH216" s="47"/>
      <c r="AI216" s="48"/>
      <c r="AK216" s="50"/>
    </row>
    <row r="217" spans="1:37" x14ac:dyDescent="0.25">
      <c r="A217" s="116" t="s">
        <v>215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2.4</v>
      </c>
      <c r="AH217" s="47"/>
      <c r="AI217" s="48"/>
      <c r="AK217" s="50"/>
    </row>
    <row r="218" spans="1:37" x14ac:dyDescent="0.25">
      <c r="A218" s="116" t="s">
        <v>216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2.4</v>
      </c>
      <c r="AH218" s="47"/>
      <c r="AI218" s="48"/>
      <c r="AK218" s="50"/>
    </row>
    <row r="219" spans="1:37" x14ac:dyDescent="0.25">
      <c r="A219" s="116" t="s">
        <v>217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2.2000000000000002</v>
      </c>
      <c r="AH219" s="47"/>
      <c r="AI219" s="48"/>
      <c r="AK219" s="50"/>
    </row>
    <row r="220" spans="1:37" x14ac:dyDescent="0.25">
      <c r="A220" s="116" t="s">
        <v>218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</v>
      </c>
      <c r="AH220" s="47"/>
      <c r="AI220" s="48"/>
      <c r="AK220" s="50"/>
    </row>
    <row r="221" spans="1:37" x14ac:dyDescent="0.25">
      <c r="A221" s="116" t="s">
        <v>219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</v>
      </c>
      <c r="AH221" s="47"/>
      <c r="AI221" s="48"/>
      <c r="AK221" s="50"/>
    </row>
    <row r="222" spans="1:37" x14ac:dyDescent="0.25">
      <c r="A222" s="116" t="s">
        <v>220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</v>
      </c>
      <c r="AH222" s="47"/>
      <c r="AI222" s="48"/>
      <c r="AK222" s="50"/>
    </row>
    <row r="223" spans="1:37" x14ac:dyDescent="0.25">
      <c r="A223" s="116" t="s">
        <v>221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1.8</v>
      </c>
      <c r="AH223" s="47"/>
      <c r="AI223" s="48"/>
      <c r="AK223" s="50"/>
    </row>
    <row r="224" spans="1:37" x14ac:dyDescent="0.25">
      <c r="A224" s="116" t="s">
        <v>222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1.8</v>
      </c>
      <c r="AH224" s="47"/>
      <c r="AI224" s="48"/>
      <c r="AK224" s="50"/>
    </row>
    <row r="225" spans="1:37" x14ac:dyDescent="0.25">
      <c r="A225" s="116" t="s">
        <v>223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1.65</v>
      </c>
      <c r="AH225" s="47"/>
      <c r="AI225" s="48"/>
      <c r="AK225" s="50"/>
    </row>
    <row r="226" spans="1:37" x14ac:dyDescent="0.25">
      <c r="A226" s="116" t="s">
        <v>224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1.5</v>
      </c>
      <c r="AH226" s="47"/>
      <c r="AI226" s="48"/>
      <c r="AK226" s="50"/>
    </row>
    <row r="227" spans="1:37" x14ac:dyDescent="0.25">
      <c r="A227" s="116" t="s">
        <v>225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0.998</v>
      </c>
      <c r="AH227" s="47"/>
      <c r="AI227" s="48"/>
      <c r="AK227" s="50"/>
    </row>
    <row r="228" spans="1:37" x14ac:dyDescent="0.25">
      <c r="A228" s="116" t="s">
        <v>226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0.997</v>
      </c>
      <c r="AH228" s="47"/>
      <c r="AI228" s="48"/>
      <c r="AK228" s="50"/>
    </row>
    <row r="229" spans="1:37" x14ac:dyDescent="0.25">
      <c r="A229" s="116" t="s">
        <v>227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0.997</v>
      </c>
      <c r="AH229" s="47"/>
      <c r="AI229" s="48"/>
      <c r="AK229" s="50"/>
    </row>
    <row r="230" spans="1:37" x14ac:dyDescent="0.25">
      <c r="A230" s="116" t="s">
        <v>228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0.996</v>
      </c>
      <c r="AH230" s="47"/>
      <c r="AI230" s="48"/>
      <c r="AK230" s="50"/>
    </row>
    <row r="231" spans="1:37" x14ac:dyDescent="0.25">
      <c r="A231" s="116" t="s">
        <v>229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0.996</v>
      </c>
      <c r="AH231" s="47"/>
      <c r="AI231" s="48"/>
      <c r="AK231" s="50"/>
    </row>
    <row r="232" spans="1:37" x14ac:dyDescent="0.25">
      <c r="A232" s="116" t="s">
        <v>230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0.996</v>
      </c>
      <c r="AH232" s="47"/>
      <c r="AI232" s="48"/>
      <c r="AK232" s="50"/>
    </row>
    <row r="233" spans="1:37" x14ac:dyDescent="0.25">
      <c r="A233" s="116" t="s">
        <v>231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0.995</v>
      </c>
      <c r="AH233" s="47"/>
      <c r="AI233" s="48"/>
      <c r="AK233" s="50"/>
    </row>
    <row r="234" spans="1:37" x14ac:dyDescent="0.25">
      <c r="A234" s="116" t="s">
        <v>232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0.99299999999999999</v>
      </c>
      <c r="AH234" s="47"/>
      <c r="AI234" s="48"/>
      <c r="AK234" s="50"/>
    </row>
    <row r="235" spans="1:37" x14ac:dyDescent="0.25">
      <c r="A235" s="116" t="s">
        <v>233</v>
      </c>
      <c r="B235" s="129"/>
      <c r="C235" s="127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</v>
      </c>
      <c r="AH235" s="47"/>
      <c r="AI235" s="48"/>
      <c r="AK235" s="50"/>
    </row>
    <row r="236" spans="1:37" ht="15.75" thickBot="1" x14ac:dyDescent="0.3">
      <c r="A236" s="116" t="s">
        <v>234</v>
      </c>
      <c r="B236" s="133"/>
      <c r="C236" s="134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2">
        <v>0.97899999999999998</v>
      </c>
      <c r="AH236" s="47"/>
      <c r="AI236" s="48"/>
      <c r="AK236" s="50"/>
    </row>
    <row r="237" spans="1:37" ht="15.75" thickBot="1" x14ac:dyDescent="0.3">
      <c r="A237" s="135" t="s">
        <v>235</v>
      </c>
      <c r="B237" s="136">
        <f t="shared" ref="B237:AG237" si="44">SUM(B132:B236)</f>
        <v>0</v>
      </c>
      <c r="C237" s="137">
        <f t="shared" si="44"/>
        <v>0</v>
      </c>
      <c r="D237" s="137">
        <f t="shared" si="44"/>
        <v>0</v>
      </c>
      <c r="E237" s="137">
        <f t="shared" si="44"/>
        <v>0</v>
      </c>
      <c r="F237" s="137">
        <f t="shared" si="44"/>
        <v>0</v>
      </c>
      <c r="G237" s="137">
        <f t="shared" si="44"/>
        <v>0</v>
      </c>
      <c r="H237" s="137">
        <f t="shared" si="44"/>
        <v>0</v>
      </c>
      <c r="I237" s="137">
        <f t="shared" si="44"/>
        <v>0</v>
      </c>
      <c r="J237" s="137">
        <f t="shared" si="44"/>
        <v>0</v>
      </c>
      <c r="K237" s="137">
        <f t="shared" si="44"/>
        <v>0</v>
      </c>
      <c r="L237" s="137">
        <f t="shared" si="44"/>
        <v>0</v>
      </c>
      <c r="M237" s="137">
        <f t="shared" si="44"/>
        <v>0</v>
      </c>
      <c r="N237" s="137">
        <f t="shared" si="44"/>
        <v>0</v>
      </c>
      <c r="O237" s="137">
        <f t="shared" si="44"/>
        <v>0</v>
      </c>
      <c r="P237" s="137">
        <f t="shared" si="44"/>
        <v>0</v>
      </c>
      <c r="Q237" s="137">
        <f t="shared" si="44"/>
        <v>0</v>
      </c>
      <c r="R237" s="137">
        <f t="shared" si="44"/>
        <v>0</v>
      </c>
      <c r="S237" s="137">
        <f t="shared" si="44"/>
        <v>0</v>
      </c>
      <c r="T237" s="137">
        <f t="shared" si="44"/>
        <v>0</v>
      </c>
      <c r="U237" s="137">
        <f t="shared" si="44"/>
        <v>0</v>
      </c>
      <c r="V237" s="137">
        <f t="shared" si="44"/>
        <v>0</v>
      </c>
      <c r="W237" s="137">
        <f t="shared" si="44"/>
        <v>0</v>
      </c>
      <c r="X237" s="137">
        <f t="shared" si="44"/>
        <v>0</v>
      </c>
      <c r="Y237" s="137">
        <f t="shared" si="44"/>
        <v>0</v>
      </c>
      <c r="Z237" s="137">
        <f t="shared" si="44"/>
        <v>0</v>
      </c>
      <c r="AA237" s="137">
        <f t="shared" si="44"/>
        <v>0</v>
      </c>
      <c r="AB237" s="137">
        <f t="shared" si="44"/>
        <v>0</v>
      </c>
      <c r="AC237" s="137">
        <f t="shared" si="44"/>
        <v>0</v>
      </c>
      <c r="AD237" s="137">
        <f t="shared" si="44"/>
        <v>0</v>
      </c>
      <c r="AE237" s="137">
        <f t="shared" si="44"/>
        <v>0</v>
      </c>
      <c r="AF237" s="138">
        <f t="shared" si="44"/>
        <v>0</v>
      </c>
      <c r="AG237" s="139">
        <f t="shared" si="44"/>
        <v>412.72299999999984</v>
      </c>
      <c r="AH237" s="47"/>
      <c r="AI237" s="48"/>
      <c r="AK237" s="50"/>
    </row>
    <row r="238" spans="1:37" ht="15.75" thickBot="1" x14ac:dyDescent="0.3">
      <c r="A238" s="26" t="s">
        <v>75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19"/>
      <c r="AH238" s="47"/>
      <c r="AI238" s="48"/>
      <c r="AK238" s="50"/>
    </row>
    <row r="239" spans="1:37" x14ac:dyDescent="0.25">
      <c r="A239" s="100" t="s">
        <v>236</v>
      </c>
      <c r="B239" s="141">
        <f t="shared" ref="B239:B244" si="45">AF239</f>
        <v>0.3</v>
      </c>
      <c r="C239" s="141">
        <v>0.3</v>
      </c>
      <c r="D239" s="141">
        <f t="shared" ref="D239:S244" si="46">C239</f>
        <v>0.3</v>
      </c>
      <c r="E239" s="141">
        <f t="shared" si="46"/>
        <v>0.3</v>
      </c>
      <c r="F239" s="141">
        <f t="shared" si="46"/>
        <v>0.3</v>
      </c>
      <c r="G239" s="141">
        <f t="shared" si="46"/>
        <v>0.3</v>
      </c>
      <c r="H239" s="141">
        <f t="shared" si="46"/>
        <v>0.3</v>
      </c>
      <c r="I239" s="141">
        <f t="shared" si="46"/>
        <v>0.3</v>
      </c>
      <c r="J239" s="141">
        <f t="shared" si="46"/>
        <v>0.3</v>
      </c>
      <c r="K239" s="141">
        <f t="shared" si="46"/>
        <v>0.3</v>
      </c>
      <c r="L239" s="141">
        <f t="shared" si="46"/>
        <v>0.3</v>
      </c>
      <c r="M239" s="141">
        <f t="shared" si="46"/>
        <v>0.3</v>
      </c>
      <c r="N239" s="141">
        <f t="shared" si="46"/>
        <v>0.3</v>
      </c>
      <c r="O239" s="141">
        <f t="shared" si="46"/>
        <v>0.3</v>
      </c>
      <c r="P239" s="141">
        <f t="shared" si="46"/>
        <v>0.3</v>
      </c>
      <c r="Q239" s="141">
        <f t="shared" si="46"/>
        <v>0.3</v>
      </c>
      <c r="R239" s="141">
        <f t="shared" si="46"/>
        <v>0.3</v>
      </c>
      <c r="S239" s="141">
        <f t="shared" si="46"/>
        <v>0.3</v>
      </c>
      <c r="T239" s="141">
        <f t="shared" ref="T239:AF244" si="47">S239</f>
        <v>0.3</v>
      </c>
      <c r="U239" s="141">
        <f t="shared" si="47"/>
        <v>0.3</v>
      </c>
      <c r="V239" s="141">
        <f t="shared" si="47"/>
        <v>0.3</v>
      </c>
      <c r="W239" s="141">
        <f t="shared" si="47"/>
        <v>0.3</v>
      </c>
      <c r="X239" s="141">
        <f t="shared" si="47"/>
        <v>0.3</v>
      </c>
      <c r="Y239" s="141">
        <f t="shared" si="47"/>
        <v>0.3</v>
      </c>
      <c r="Z239" s="141">
        <f t="shared" si="47"/>
        <v>0.3</v>
      </c>
      <c r="AA239" s="141">
        <f t="shared" si="47"/>
        <v>0.3</v>
      </c>
      <c r="AB239" s="141">
        <f t="shared" si="47"/>
        <v>0.3</v>
      </c>
      <c r="AC239" s="141">
        <f t="shared" si="47"/>
        <v>0.3</v>
      </c>
      <c r="AD239" s="141">
        <f t="shared" si="47"/>
        <v>0.3</v>
      </c>
      <c r="AE239" s="141">
        <f t="shared" si="47"/>
        <v>0.3</v>
      </c>
      <c r="AF239" s="141">
        <f t="shared" si="47"/>
        <v>0.3</v>
      </c>
      <c r="AG239" s="142">
        <v>2.4</v>
      </c>
      <c r="AH239" s="47"/>
      <c r="AI239" s="48"/>
      <c r="AK239" s="50"/>
    </row>
    <row r="240" spans="1:37" x14ac:dyDescent="0.25">
      <c r="A240" s="103" t="s">
        <v>237</v>
      </c>
      <c r="B240" s="129">
        <f t="shared" si="45"/>
        <v>0.4</v>
      </c>
      <c r="C240" s="129">
        <v>0.4</v>
      </c>
      <c r="D240" s="129">
        <f t="shared" si="46"/>
        <v>0.4</v>
      </c>
      <c r="E240" s="129">
        <f t="shared" si="46"/>
        <v>0.4</v>
      </c>
      <c r="F240" s="129">
        <f t="shared" si="46"/>
        <v>0.4</v>
      </c>
      <c r="G240" s="129">
        <f t="shared" si="46"/>
        <v>0.4</v>
      </c>
      <c r="H240" s="129">
        <f t="shared" si="46"/>
        <v>0.4</v>
      </c>
      <c r="I240" s="129">
        <f t="shared" si="46"/>
        <v>0.4</v>
      </c>
      <c r="J240" s="129">
        <f t="shared" si="46"/>
        <v>0.4</v>
      </c>
      <c r="K240" s="129">
        <f t="shared" si="46"/>
        <v>0.4</v>
      </c>
      <c r="L240" s="129">
        <f t="shared" si="46"/>
        <v>0.4</v>
      </c>
      <c r="M240" s="129">
        <f t="shared" si="46"/>
        <v>0.4</v>
      </c>
      <c r="N240" s="129">
        <f t="shared" si="46"/>
        <v>0.4</v>
      </c>
      <c r="O240" s="129">
        <f t="shared" si="46"/>
        <v>0.4</v>
      </c>
      <c r="P240" s="129">
        <f t="shared" si="46"/>
        <v>0.4</v>
      </c>
      <c r="Q240" s="129">
        <f t="shared" si="46"/>
        <v>0.4</v>
      </c>
      <c r="R240" s="129">
        <f t="shared" si="46"/>
        <v>0.4</v>
      </c>
      <c r="S240" s="129">
        <f t="shared" si="46"/>
        <v>0.4</v>
      </c>
      <c r="T240" s="129">
        <f t="shared" si="47"/>
        <v>0.4</v>
      </c>
      <c r="U240" s="129">
        <f t="shared" si="47"/>
        <v>0.4</v>
      </c>
      <c r="V240" s="129">
        <f t="shared" si="47"/>
        <v>0.4</v>
      </c>
      <c r="W240" s="129">
        <f t="shared" si="47"/>
        <v>0.4</v>
      </c>
      <c r="X240" s="129">
        <f t="shared" si="47"/>
        <v>0.4</v>
      </c>
      <c r="Y240" s="129">
        <f t="shared" si="47"/>
        <v>0.4</v>
      </c>
      <c r="Z240" s="129">
        <f t="shared" si="47"/>
        <v>0.4</v>
      </c>
      <c r="AA240" s="129">
        <f t="shared" si="47"/>
        <v>0.4</v>
      </c>
      <c r="AB240" s="129">
        <f t="shared" si="47"/>
        <v>0.4</v>
      </c>
      <c r="AC240" s="129">
        <f t="shared" si="47"/>
        <v>0.4</v>
      </c>
      <c r="AD240" s="129">
        <f t="shared" si="47"/>
        <v>0.4</v>
      </c>
      <c r="AE240" s="129">
        <f t="shared" si="47"/>
        <v>0.4</v>
      </c>
      <c r="AF240" s="129">
        <f t="shared" si="47"/>
        <v>0.4</v>
      </c>
      <c r="AG240" s="143">
        <v>2</v>
      </c>
      <c r="AH240" s="47"/>
      <c r="AI240" s="48"/>
      <c r="AK240" s="50"/>
    </row>
    <row r="241" spans="1:37" x14ac:dyDescent="0.25">
      <c r="A241" s="103" t="s">
        <v>238</v>
      </c>
      <c r="B241" s="129">
        <f t="shared" si="45"/>
        <v>1.5</v>
      </c>
      <c r="C241" s="129">
        <v>1.5</v>
      </c>
      <c r="D241" s="129">
        <f t="shared" si="46"/>
        <v>1.5</v>
      </c>
      <c r="E241" s="129">
        <f t="shared" si="46"/>
        <v>1.5</v>
      </c>
      <c r="F241" s="129">
        <f t="shared" si="46"/>
        <v>1.5</v>
      </c>
      <c r="G241" s="129">
        <f t="shared" si="46"/>
        <v>1.5</v>
      </c>
      <c r="H241" s="129">
        <f t="shared" si="46"/>
        <v>1.5</v>
      </c>
      <c r="I241" s="129">
        <f t="shared" si="46"/>
        <v>1.5</v>
      </c>
      <c r="J241" s="129">
        <f t="shared" si="46"/>
        <v>1.5</v>
      </c>
      <c r="K241" s="129">
        <f t="shared" si="46"/>
        <v>1.5</v>
      </c>
      <c r="L241" s="129">
        <f t="shared" si="46"/>
        <v>1.5</v>
      </c>
      <c r="M241" s="129">
        <f t="shared" si="46"/>
        <v>1.5</v>
      </c>
      <c r="N241" s="129">
        <f t="shared" si="46"/>
        <v>1.5</v>
      </c>
      <c r="O241" s="129">
        <f t="shared" si="46"/>
        <v>1.5</v>
      </c>
      <c r="P241" s="129">
        <f t="shared" si="46"/>
        <v>1.5</v>
      </c>
      <c r="Q241" s="129">
        <f t="shared" si="46"/>
        <v>1.5</v>
      </c>
      <c r="R241" s="129">
        <f t="shared" si="46"/>
        <v>1.5</v>
      </c>
      <c r="S241" s="129">
        <f t="shared" si="46"/>
        <v>1.5</v>
      </c>
      <c r="T241" s="129">
        <f t="shared" si="47"/>
        <v>1.5</v>
      </c>
      <c r="U241" s="129">
        <f t="shared" si="47"/>
        <v>1.5</v>
      </c>
      <c r="V241" s="129">
        <f t="shared" si="47"/>
        <v>1.5</v>
      </c>
      <c r="W241" s="129">
        <f t="shared" si="47"/>
        <v>1.5</v>
      </c>
      <c r="X241" s="129">
        <f t="shared" si="47"/>
        <v>1.5</v>
      </c>
      <c r="Y241" s="129">
        <f t="shared" si="47"/>
        <v>1.5</v>
      </c>
      <c r="Z241" s="129">
        <f t="shared" si="47"/>
        <v>1.5</v>
      </c>
      <c r="AA241" s="129">
        <f t="shared" si="47"/>
        <v>1.5</v>
      </c>
      <c r="AB241" s="129">
        <f t="shared" si="47"/>
        <v>1.5</v>
      </c>
      <c r="AC241" s="129">
        <f t="shared" si="47"/>
        <v>1.5</v>
      </c>
      <c r="AD241" s="129">
        <f t="shared" si="47"/>
        <v>1.5</v>
      </c>
      <c r="AE241" s="129">
        <f t="shared" si="47"/>
        <v>1.5</v>
      </c>
      <c r="AF241" s="129">
        <f t="shared" si="47"/>
        <v>1.5</v>
      </c>
      <c r="AG241" s="143">
        <v>1.5</v>
      </c>
      <c r="AH241" s="47"/>
      <c r="AI241" s="48"/>
      <c r="AK241" s="50"/>
    </row>
    <row r="242" spans="1:37" x14ac:dyDescent="0.25">
      <c r="A242" s="103" t="s">
        <v>239</v>
      </c>
      <c r="B242" s="129">
        <f t="shared" si="45"/>
        <v>0.3</v>
      </c>
      <c r="C242" s="129">
        <v>0.3</v>
      </c>
      <c r="D242" s="129">
        <f t="shared" si="46"/>
        <v>0.3</v>
      </c>
      <c r="E242" s="129">
        <f t="shared" si="46"/>
        <v>0.3</v>
      </c>
      <c r="F242" s="129">
        <f t="shared" si="46"/>
        <v>0.3</v>
      </c>
      <c r="G242" s="129">
        <f t="shared" si="46"/>
        <v>0.3</v>
      </c>
      <c r="H242" s="129">
        <f t="shared" si="46"/>
        <v>0.3</v>
      </c>
      <c r="I242" s="129">
        <f t="shared" si="46"/>
        <v>0.3</v>
      </c>
      <c r="J242" s="129">
        <f t="shared" si="46"/>
        <v>0.3</v>
      </c>
      <c r="K242" s="129">
        <f t="shared" si="46"/>
        <v>0.3</v>
      </c>
      <c r="L242" s="129">
        <f t="shared" si="46"/>
        <v>0.3</v>
      </c>
      <c r="M242" s="129">
        <f t="shared" si="46"/>
        <v>0.3</v>
      </c>
      <c r="N242" s="129">
        <f t="shared" si="46"/>
        <v>0.3</v>
      </c>
      <c r="O242" s="129">
        <f t="shared" si="46"/>
        <v>0.3</v>
      </c>
      <c r="P242" s="129">
        <f t="shared" si="46"/>
        <v>0.3</v>
      </c>
      <c r="Q242" s="129">
        <f t="shared" si="46"/>
        <v>0.3</v>
      </c>
      <c r="R242" s="129">
        <f t="shared" si="46"/>
        <v>0.3</v>
      </c>
      <c r="S242" s="129">
        <f t="shared" si="46"/>
        <v>0.3</v>
      </c>
      <c r="T242" s="129">
        <f t="shared" si="47"/>
        <v>0.3</v>
      </c>
      <c r="U242" s="129">
        <f t="shared" si="47"/>
        <v>0.3</v>
      </c>
      <c r="V242" s="129">
        <f t="shared" si="47"/>
        <v>0.3</v>
      </c>
      <c r="W242" s="129">
        <f t="shared" si="47"/>
        <v>0.3</v>
      </c>
      <c r="X242" s="129">
        <f t="shared" si="47"/>
        <v>0.3</v>
      </c>
      <c r="Y242" s="129">
        <f t="shared" si="47"/>
        <v>0.3</v>
      </c>
      <c r="Z242" s="129">
        <f t="shared" si="47"/>
        <v>0.3</v>
      </c>
      <c r="AA242" s="129">
        <f t="shared" si="47"/>
        <v>0.3</v>
      </c>
      <c r="AB242" s="129">
        <f t="shared" si="47"/>
        <v>0.3</v>
      </c>
      <c r="AC242" s="129">
        <f t="shared" si="47"/>
        <v>0.3</v>
      </c>
      <c r="AD242" s="129">
        <f t="shared" si="47"/>
        <v>0.3</v>
      </c>
      <c r="AE242" s="129">
        <f t="shared" si="47"/>
        <v>0.3</v>
      </c>
      <c r="AF242" s="129">
        <f t="shared" si="47"/>
        <v>0.3</v>
      </c>
      <c r="AG242" s="143">
        <v>1</v>
      </c>
      <c r="AH242" s="47"/>
      <c r="AI242" s="48"/>
      <c r="AK242" s="50"/>
    </row>
    <row r="243" spans="1:37" x14ac:dyDescent="0.25">
      <c r="A243" s="103" t="s">
        <v>240</v>
      </c>
      <c r="B243" s="129">
        <f t="shared" si="45"/>
        <v>0.4</v>
      </c>
      <c r="C243" s="129">
        <v>0.4</v>
      </c>
      <c r="D243" s="129">
        <f t="shared" si="46"/>
        <v>0.4</v>
      </c>
      <c r="E243" s="129">
        <f t="shared" si="46"/>
        <v>0.4</v>
      </c>
      <c r="F243" s="129">
        <f t="shared" si="46"/>
        <v>0.4</v>
      </c>
      <c r="G243" s="129">
        <f t="shared" si="46"/>
        <v>0.4</v>
      </c>
      <c r="H243" s="129">
        <f t="shared" si="46"/>
        <v>0.4</v>
      </c>
      <c r="I243" s="129">
        <f t="shared" si="46"/>
        <v>0.4</v>
      </c>
      <c r="J243" s="129">
        <f t="shared" si="46"/>
        <v>0.4</v>
      </c>
      <c r="K243" s="129">
        <f t="shared" si="46"/>
        <v>0.4</v>
      </c>
      <c r="L243" s="129">
        <f t="shared" si="46"/>
        <v>0.4</v>
      </c>
      <c r="M243" s="129">
        <f t="shared" si="46"/>
        <v>0.4</v>
      </c>
      <c r="N243" s="129">
        <f t="shared" si="46"/>
        <v>0.4</v>
      </c>
      <c r="O243" s="129">
        <f t="shared" si="46"/>
        <v>0.4</v>
      </c>
      <c r="P243" s="129">
        <f t="shared" si="46"/>
        <v>0.4</v>
      </c>
      <c r="Q243" s="129">
        <f t="shared" si="46"/>
        <v>0.4</v>
      </c>
      <c r="R243" s="129">
        <f t="shared" si="46"/>
        <v>0.4</v>
      </c>
      <c r="S243" s="129">
        <f t="shared" si="46"/>
        <v>0.4</v>
      </c>
      <c r="T243" s="129">
        <f t="shared" si="47"/>
        <v>0.4</v>
      </c>
      <c r="U243" s="129">
        <f t="shared" si="47"/>
        <v>0.4</v>
      </c>
      <c r="V243" s="129">
        <f t="shared" si="47"/>
        <v>0.4</v>
      </c>
      <c r="W243" s="129">
        <f t="shared" si="47"/>
        <v>0.4</v>
      </c>
      <c r="X243" s="129">
        <f t="shared" si="47"/>
        <v>0.4</v>
      </c>
      <c r="Y243" s="129">
        <f t="shared" si="47"/>
        <v>0.4</v>
      </c>
      <c r="Z243" s="129">
        <f t="shared" si="47"/>
        <v>0.4</v>
      </c>
      <c r="AA243" s="129">
        <f t="shared" si="47"/>
        <v>0.4</v>
      </c>
      <c r="AB243" s="129">
        <f t="shared" si="47"/>
        <v>0.4</v>
      </c>
      <c r="AC243" s="129">
        <f t="shared" si="47"/>
        <v>0.4</v>
      </c>
      <c r="AD243" s="129">
        <f t="shared" si="47"/>
        <v>0.4</v>
      </c>
      <c r="AE243" s="129">
        <f t="shared" si="47"/>
        <v>0.4</v>
      </c>
      <c r="AF243" s="129">
        <f t="shared" si="47"/>
        <v>0.4</v>
      </c>
      <c r="AG243" s="143">
        <v>1</v>
      </c>
      <c r="AH243" s="47"/>
      <c r="AI243" s="48"/>
      <c r="AK243" s="50"/>
    </row>
    <row r="244" spans="1:37" ht="15.75" thickBot="1" x14ac:dyDescent="0.3">
      <c r="A244" s="116" t="s">
        <v>241</v>
      </c>
      <c r="B244" s="133">
        <f t="shared" si="45"/>
        <v>0.64</v>
      </c>
      <c r="C244" s="133">
        <v>0.64</v>
      </c>
      <c r="D244" s="133">
        <f t="shared" si="46"/>
        <v>0.64</v>
      </c>
      <c r="E244" s="133">
        <f t="shared" si="46"/>
        <v>0.64</v>
      </c>
      <c r="F244" s="133">
        <f t="shared" si="46"/>
        <v>0.64</v>
      </c>
      <c r="G244" s="133">
        <f t="shared" si="46"/>
        <v>0.64</v>
      </c>
      <c r="H244" s="133">
        <f t="shared" si="46"/>
        <v>0.64</v>
      </c>
      <c r="I244" s="133">
        <f t="shared" si="46"/>
        <v>0.64</v>
      </c>
      <c r="J244" s="133">
        <f t="shared" si="46"/>
        <v>0.64</v>
      </c>
      <c r="K244" s="133">
        <f t="shared" si="46"/>
        <v>0.64</v>
      </c>
      <c r="L244" s="133">
        <f t="shared" si="46"/>
        <v>0.64</v>
      </c>
      <c r="M244" s="133">
        <f t="shared" si="46"/>
        <v>0.64</v>
      </c>
      <c r="N244" s="133">
        <f t="shared" si="46"/>
        <v>0.64</v>
      </c>
      <c r="O244" s="133">
        <f t="shared" si="46"/>
        <v>0.64</v>
      </c>
      <c r="P244" s="133">
        <f t="shared" si="46"/>
        <v>0.64</v>
      </c>
      <c r="Q244" s="133">
        <f t="shared" si="46"/>
        <v>0.64</v>
      </c>
      <c r="R244" s="133">
        <f t="shared" si="46"/>
        <v>0.64</v>
      </c>
      <c r="S244" s="133">
        <f t="shared" si="46"/>
        <v>0.64</v>
      </c>
      <c r="T244" s="133">
        <f t="shared" si="47"/>
        <v>0.64</v>
      </c>
      <c r="U244" s="133">
        <f t="shared" si="47"/>
        <v>0.64</v>
      </c>
      <c r="V244" s="133">
        <f t="shared" si="47"/>
        <v>0.64</v>
      </c>
      <c r="W244" s="133">
        <f t="shared" si="47"/>
        <v>0.64</v>
      </c>
      <c r="X244" s="133">
        <f t="shared" si="47"/>
        <v>0.64</v>
      </c>
      <c r="Y244" s="133">
        <f t="shared" si="47"/>
        <v>0.64</v>
      </c>
      <c r="Z244" s="133">
        <f t="shared" si="47"/>
        <v>0.64</v>
      </c>
      <c r="AA244" s="133">
        <f t="shared" si="47"/>
        <v>0.64</v>
      </c>
      <c r="AB244" s="133">
        <f t="shared" si="47"/>
        <v>0.64</v>
      </c>
      <c r="AC244" s="133">
        <f t="shared" si="47"/>
        <v>0.64</v>
      </c>
      <c r="AD244" s="133">
        <f t="shared" si="47"/>
        <v>0.64</v>
      </c>
      <c r="AE244" s="133">
        <f t="shared" si="47"/>
        <v>0.64</v>
      </c>
      <c r="AF244" s="133">
        <f t="shared" si="47"/>
        <v>0.64</v>
      </c>
      <c r="AG244" s="144">
        <v>0.66</v>
      </c>
      <c r="AH244" s="47"/>
      <c r="AI244" s="48"/>
    </row>
    <row r="245" spans="1:37" ht="15.75" thickBot="1" x14ac:dyDescent="0.3">
      <c r="A245" s="145" t="s">
        <v>75</v>
      </c>
      <c r="B245" s="137">
        <f t="shared" ref="B245:AG245" si="48">SUM(B239:B244)</f>
        <v>3.54</v>
      </c>
      <c r="C245" s="137">
        <f t="shared" si="48"/>
        <v>3.54</v>
      </c>
      <c r="D245" s="137">
        <f t="shared" si="48"/>
        <v>3.54</v>
      </c>
      <c r="E245" s="137">
        <f t="shared" si="48"/>
        <v>3.54</v>
      </c>
      <c r="F245" s="137">
        <f t="shared" si="48"/>
        <v>3.54</v>
      </c>
      <c r="G245" s="137">
        <f t="shared" si="48"/>
        <v>3.54</v>
      </c>
      <c r="H245" s="137">
        <f t="shared" si="48"/>
        <v>3.54</v>
      </c>
      <c r="I245" s="137">
        <f t="shared" si="48"/>
        <v>3.54</v>
      </c>
      <c r="J245" s="137">
        <f t="shared" si="48"/>
        <v>3.54</v>
      </c>
      <c r="K245" s="137">
        <f t="shared" si="48"/>
        <v>3.54</v>
      </c>
      <c r="L245" s="137">
        <f t="shared" si="48"/>
        <v>3.54</v>
      </c>
      <c r="M245" s="137">
        <f t="shared" si="48"/>
        <v>3.54</v>
      </c>
      <c r="N245" s="137">
        <f t="shared" si="48"/>
        <v>3.54</v>
      </c>
      <c r="O245" s="137">
        <f t="shared" si="48"/>
        <v>3.54</v>
      </c>
      <c r="P245" s="137">
        <f t="shared" si="48"/>
        <v>3.54</v>
      </c>
      <c r="Q245" s="137">
        <f t="shared" si="48"/>
        <v>3.54</v>
      </c>
      <c r="R245" s="137">
        <f t="shared" si="48"/>
        <v>3.54</v>
      </c>
      <c r="S245" s="137">
        <f t="shared" si="48"/>
        <v>3.54</v>
      </c>
      <c r="T245" s="137">
        <f t="shared" si="48"/>
        <v>3.54</v>
      </c>
      <c r="U245" s="137">
        <f t="shared" si="48"/>
        <v>3.54</v>
      </c>
      <c r="V245" s="137">
        <f t="shared" si="48"/>
        <v>3.54</v>
      </c>
      <c r="W245" s="137">
        <f t="shared" si="48"/>
        <v>3.54</v>
      </c>
      <c r="X245" s="137">
        <f t="shared" si="48"/>
        <v>3.54</v>
      </c>
      <c r="Y245" s="137">
        <f t="shared" si="48"/>
        <v>3.54</v>
      </c>
      <c r="Z245" s="137">
        <f t="shared" si="48"/>
        <v>3.54</v>
      </c>
      <c r="AA245" s="137">
        <f t="shared" si="48"/>
        <v>3.54</v>
      </c>
      <c r="AB245" s="137">
        <f t="shared" si="48"/>
        <v>3.54</v>
      </c>
      <c r="AC245" s="137">
        <f t="shared" si="48"/>
        <v>3.54</v>
      </c>
      <c r="AD245" s="137">
        <f t="shared" si="48"/>
        <v>3.54</v>
      </c>
      <c r="AE245" s="137">
        <f t="shared" si="48"/>
        <v>3.54</v>
      </c>
      <c r="AF245" s="137">
        <f t="shared" si="48"/>
        <v>3.54</v>
      </c>
      <c r="AG245" s="146">
        <f t="shared" si="48"/>
        <v>8.56</v>
      </c>
      <c r="AH245" s="47"/>
      <c r="AI245" s="48"/>
    </row>
    <row r="246" spans="1:37" ht="15.75" thickBot="1" x14ac:dyDescent="0.3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140"/>
      <c r="AH246" s="43"/>
    </row>
    <row r="247" spans="1:37" x14ac:dyDescent="0.25">
      <c r="A247" s="147" t="s">
        <v>242</v>
      </c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9"/>
      <c r="AG247" s="43"/>
      <c r="AH247" s="47"/>
      <c r="AI247" s="48"/>
    </row>
    <row r="248" spans="1:37" x14ac:dyDescent="0.25">
      <c r="A248" s="150" t="s">
        <v>243</v>
      </c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2"/>
      <c r="AG248" s="153"/>
      <c r="AH248" s="47"/>
      <c r="AI248" s="48"/>
    </row>
    <row r="249" spans="1:37" x14ac:dyDescent="0.25">
      <c r="A249" s="154" t="s">
        <v>244</v>
      </c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6"/>
      <c r="AG249" s="153"/>
      <c r="AH249" s="47"/>
      <c r="AI249" s="48"/>
    </row>
    <row r="250" spans="1:37" x14ac:dyDescent="0.25">
      <c r="A250" s="154" t="s">
        <v>245</v>
      </c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6"/>
      <c r="AG250" s="153"/>
      <c r="AH250" s="47"/>
      <c r="AI250" s="48"/>
    </row>
    <row r="251" spans="1:37" ht="15.75" thickBot="1" x14ac:dyDescent="0.3">
      <c r="A251" s="157" t="s">
        <v>246</v>
      </c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9"/>
      <c r="AG251" s="153"/>
      <c r="AH251" s="47"/>
      <c r="AI251" s="48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1622.2600000000002</v>
      </c>
      <c r="C254" s="162">
        <f>INDEX(G9:N9,1,MATCH(MAX(G99:N99),G99:N99,0))</f>
        <v>0.33333333333333331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11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2080/09/11)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2080/09/11)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49">B99</f>
        <v>1048.7600000000002</v>
      </c>
      <c r="U259" s="171">
        <f t="shared" si="49"/>
        <v>973.06000000000006</v>
      </c>
      <c r="V259" s="171">
        <f t="shared" si="49"/>
        <v>955.46</v>
      </c>
      <c r="W259" s="171">
        <f t="shared" si="49"/>
        <v>953.46</v>
      </c>
      <c r="X259" s="171">
        <f t="shared" si="49"/>
        <v>978.1600000000002</v>
      </c>
      <c r="Y259" s="171">
        <f t="shared" si="49"/>
        <v>1071.06</v>
      </c>
      <c r="Z259" s="171">
        <f t="shared" si="49"/>
        <v>1123.56</v>
      </c>
      <c r="AA259" s="171">
        <f t="shared" si="49"/>
        <v>1249.96</v>
      </c>
      <c r="AB259" s="171">
        <f t="shared" si="49"/>
        <v>1363.3600000000001</v>
      </c>
      <c r="AC259" s="171">
        <f t="shared" si="49"/>
        <v>1517.16</v>
      </c>
      <c r="AD259" s="171">
        <f t="shared" si="49"/>
        <v>1621.9600000000003</v>
      </c>
      <c r="AE259" s="171">
        <f t="shared" si="49"/>
        <v>1622.2600000000002</v>
      </c>
      <c r="AF259" s="171">
        <f t="shared" si="49"/>
        <v>1482.96</v>
      </c>
      <c r="AG259" s="171">
        <f t="shared" si="49"/>
        <v>1431.56</v>
      </c>
      <c r="AH259" s="171">
        <f t="shared" si="49"/>
        <v>1341.96</v>
      </c>
      <c r="AI259" s="171">
        <f t="shared" si="49"/>
        <v>1295.46</v>
      </c>
      <c r="AJ259" s="171">
        <f t="shared" si="49"/>
        <v>1264.26</v>
      </c>
      <c r="AK259" s="171">
        <f t="shared" si="49"/>
        <v>1268.46</v>
      </c>
      <c r="AL259" s="171">
        <f t="shared" si="49"/>
        <v>1286.1599999999999</v>
      </c>
      <c r="AM259" s="171">
        <f t="shared" si="49"/>
        <v>1311.8589999999999</v>
      </c>
      <c r="AN259" s="171">
        <f t="shared" si="49"/>
        <v>1387.9590000000001</v>
      </c>
      <c r="AO259" s="171">
        <f t="shared" si="49"/>
        <v>1520.559</v>
      </c>
      <c r="AP259" s="171">
        <f t="shared" si="49"/>
        <v>1644.6590000000001</v>
      </c>
      <c r="AQ259" s="171">
        <f t="shared" si="49"/>
        <v>1609.3200000000002</v>
      </c>
      <c r="AR259" s="171">
        <f t="shared" si="49"/>
        <v>1505.16</v>
      </c>
      <c r="AS259" s="171">
        <f t="shared" si="49"/>
        <v>1194.3</v>
      </c>
      <c r="AT259" s="171">
        <f t="shared" si="49"/>
        <v>1418.7600000000002</v>
      </c>
      <c r="AU259" s="171">
        <f t="shared" si="49"/>
        <v>1374.56</v>
      </c>
      <c r="AV259" s="171">
        <f t="shared" si="49"/>
        <v>1306.1600000000003</v>
      </c>
      <c r="AW259" s="171">
        <f t="shared" si="49"/>
        <v>1129.5600000000002</v>
      </c>
      <c r="AX259" s="171">
        <f t="shared" si="49"/>
        <v>1048.74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50">C244</f>
        <v>0.64</v>
      </c>
      <c r="C280" s="174">
        <f t="shared" si="50"/>
        <v>0.64</v>
      </c>
      <c r="D280" s="174">
        <f t="shared" si="50"/>
        <v>0.64</v>
      </c>
      <c r="E280" s="174">
        <f t="shared" si="50"/>
        <v>0.64</v>
      </c>
      <c r="F280" s="174">
        <f t="shared" si="50"/>
        <v>0.64</v>
      </c>
      <c r="G280" s="174">
        <f t="shared" si="50"/>
        <v>0.64</v>
      </c>
      <c r="H280" s="174">
        <f t="shared" si="50"/>
        <v>0.64</v>
      </c>
      <c r="I280" s="174">
        <f t="shared" si="50"/>
        <v>0.64</v>
      </c>
      <c r="J280" s="174">
        <f t="shared" si="50"/>
        <v>0.64</v>
      </c>
      <c r="K280" s="174">
        <f t="shared" si="50"/>
        <v>0.64</v>
      </c>
      <c r="L280" s="174">
        <f t="shared" si="50"/>
        <v>0.64</v>
      </c>
      <c r="M280" s="174">
        <f t="shared" si="50"/>
        <v>0.64</v>
      </c>
      <c r="N280" s="174">
        <f t="shared" si="50"/>
        <v>0.64</v>
      </c>
      <c r="O280" s="174">
        <f t="shared" si="50"/>
        <v>0.64</v>
      </c>
      <c r="P280" s="174">
        <f t="shared" si="50"/>
        <v>0.64</v>
      </c>
      <c r="Q280" s="174">
        <f t="shared" si="50"/>
        <v>0.64</v>
      </c>
      <c r="R280" s="174">
        <f t="shared" si="50"/>
        <v>0.64</v>
      </c>
      <c r="S280" s="174">
        <f t="shared" si="50"/>
        <v>0.64</v>
      </c>
      <c r="T280" s="174">
        <f t="shared" si="50"/>
        <v>0.64</v>
      </c>
      <c r="U280" s="174">
        <f t="shared" si="50"/>
        <v>0.64</v>
      </c>
      <c r="V280" s="174">
        <f t="shared" si="50"/>
        <v>0.64</v>
      </c>
      <c r="W280" s="174">
        <f t="shared" si="50"/>
        <v>0.64</v>
      </c>
      <c r="X280" s="174">
        <f t="shared" si="50"/>
        <v>0.64</v>
      </c>
      <c r="Y280" s="174">
        <f t="shared" si="50"/>
        <v>0.64</v>
      </c>
      <c r="Z280" s="174">
        <f t="shared" si="50"/>
        <v>0.64</v>
      </c>
      <c r="AA280" s="174">
        <f t="shared" si="50"/>
        <v>0.64</v>
      </c>
      <c r="AB280" s="174">
        <f t="shared" si="50"/>
        <v>0.64</v>
      </c>
      <c r="AC280" s="174">
        <f t="shared" si="50"/>
        <v>0.64</v>
      </c>
      <c r="AD280" s="174">
        <f t="shared" si="50"/>
        <v>0.64</v>
      </c>
      <c r="AE280" s="174">
        <f t="shared" si="50"/>
        <v>0.64</v>
      </c>
      <c r="AF280" s="174">
        <f>B244</f>
        <v>0.64</v>
      </c>
      <c r="AG280" s="43"/>
      <c r="AH280" s="43"/>
    </row>
    <row r="281" spans="1:34" x14ac:dyDescent="0.25">
      <c r="A281" s="175" t="str">
        <f>A248</f>
        <v>KGA</v>
      </c>
      <c r="B281" s="175" t="str">
        <f t="shared" ref="B281:AF281" si="51">IF(B248&lt;100,"",B248-520)</f>
        <v/>
      </c>
      <c r="C281" s="175" t="str">
        <f t="shared" si="51"/>
        <v/>
      </c>
      <c r="D281" s="175" t="str">
        <f t="shared" si="51"/>
        <v/>
      </c>
      <c r="E281" s="175" t="str">
        <f t="shared" si="51"/>
        <v/>
      </c>
      <c r="F281" s="175" t="str">
        <f t="shared" si="51"/>
        <v/>
      </c>
      <c r="G281" s="175" t="str">
        <f t="shared" si="51"/>
        <v/>
      </c>
      <c r="H281" s="175" t="str">
        <f t="shared" si="51"/>
        <v/>
      </c>
      <c r="I281" s="175" t="str">
        <f t="shared" si="51"/>
        <v/>
      </c>
      <c r="J281" s="175" t="str">
        <f t="shared" si="51"/>
        <v/>
      </c>
      <c r="K281" s="175" t="str">
        <f t="shared" si="51"/>
        <v/>
      </c>
      <c r="L281" s="175" t="str">
        <f t="shared" si="51"/>
        <v/>
      </c>
      <c r="M281" s="175" t="str">
        <f t="shared" si="51"/>
        <v/>
      </c>
      <c r="N281" s="175" t="str">
        <f t="shared" si="51"/>
        <v/>
      </c>
      <c r="O281" s="175" t="str">
        <f t="shared" si="51"/>
        <v/>
      </c>
      <c r="P281" s="175" t="str">
        <f t="shared" si="51"/>
        <v/>
      </c>
      <c r="Q281" s="175" t="str">
        <f t="shared" si="51"/>
        <v/>
      </c>
      <c r="R281" s="175" t="str">
        <f t="shared" si="51"/>
        <v/>
      </c>
      <c r="S281" s="175" t="str">
        <f t="shared" si="51"/>
        <v/>
      </c>
      <c r="T281" s="175" t="str">
        <f t="shared" si="51"/>
        <v/>
      </c>
      <c r="U281" s="175" t="str">
        <f t="shared" si="51"/>
        <v/>
      </c>
      <c r="V281" s="175" t="str">
        <f t="shared" si="51"/>
        <v/>
      </c>
      <c r="W281" s="175" t="str">
        <f t="shared" si="51"/>
        <v/>
      </c>
      <c r="X281" s="175" t="str">
        <f t="shared" si="51"/>
        <v/>
      </c>
      <c r="Y281" s="175" t="str">
        <f t="shared" si="51"/>
        <v/>
      </c>
      <c r="Z281" s="175" t="str">
        <f t="shared" si="51"/>
        <v/>
      </c>
      <c r="AA281" s="175" t="str">
        <f t="shared" si="51"/>
        <v/>
      </c>
      <c r="AB281" s="175" t="str">
        <f t="shared" si="51"/>
        <v/>
      </c>
      <c r="AC281" s="175" t="str">
        <f t="shared" si="51"/>
        <v/>
      </c>
      <c r="AD281" s="175" t="str">
        <f t="shared" si="51"/>
        <v/>
      </c>
      <c r="AE281" s="175" t="str">
        <f t="shared" si="51"/>
        <v/>
      </c>
      <c r="AF281" s="175" t="str">
        <f t="shared" si="51"/>
        <v/>
      </c>
      <c r="AG281" s="43"/>
      <c r="AH281" s="43"/>
    </row>
    <row r="282" spans="1:34" x14ac:dyDescent="0.25">
      <c r="A282" s="175" t="str">
        <f>A249</f>
        <v>MMRS</v>
      </c>
      <c r="B282" s="175" t="str">
        <f t="shared" ref="B282:AF282" si="52">IF(B249&lt;100,"",B249-620)</f>
        <v/>
      </c>
      <c r="C282" s="175" t="str">
        <f t="shared" si="52"/>
        <v/>
      </c>
      <c r="D282" s="175" t="str">
        <f t="shared" si="52"/>
        <v/>
      </c>
      <c r="E282" s="175" t="str">
        <f t="shared" si="52"/>
        <v/>
      </c>
      <c r="F282" s="175" t="str">
        <f t="shared" si="52"/>
        <v/>
      </c>
      <c r="G282" s="175" t="str">
        <f t="shared" si="52"/>
        <v/>
      </c>
      <c r="H282" s="175" t="str">
        <f t="shared" si="52"/>
        <v/>
      </c>
      <c r="I282" s="175" t="str">
        <f t="shared" si="52"/>
        <v/>
      </c>
      <c r="J282" s="175" t="str">
        <f t="shared" si="52"/>
        <v/>
      </c>
      <c r="K282" s="175" t="str">
        <f t="shared" si="52"/>
        <v/>
      </c>
      <c r="L282" s="175" t="str">
        <f t="shared" si="52"/>
        <v/>
      </c>
      <c r="M282" s="175" t="str">
        <f t="shared" si="52"/>
        <v/>
      </c>
      <c r="N282" s="175" t="str">
        <f t="shared" si="52"/>
        <v/>
      </c>
      <c r="O282" s="175" t="str">
        <f t="shared" si="52"/>
        <v/>
      </c>
      <c r="P282" s="175" t="str">
        <f t="shared" si="52"/>
        <v/>
      </c>
      <c r="Q282" s="175" t="str">
        <f t="shared" si="52"/>
        <v/>
      </c>
      <c r="R282" s="175" t="str">
        <f t="shared" si="52"/>
        <v/>
      </c>
      <c r="S282" s="175" t="str">
        <f t="shared" si="52"/>
        <v/>
      </c>
      <c r="T282" s="175" t="str">
        <f t="shared" si="52"/>
        <v/>
      </c>
      <c r="U282" s="175" t="str">
        <f t="shared" si="52"/>
        <v/>
      </c>
      <c r="V282" s="175" t="str">
        <f t="shared" si="52"/>
        <v/>
      </c>
      <c r="W282" s="175" t="str">
        <f t="shared" si="52"/>
        <v/>
      </c>
      <c r="X282" s="175" t="str">
        <f t="shared" si="52"/>
        <v/>
      </c>
      <c r="Y282" s="175" t="str">
        <f t="shared" si="52"/>
        <v/>
      </c>
      <c r="Z282" s="175" t="str">
        <f t="shared" si="52"/>
        <v/>
      </c>
      <c r="AA282" s="175" t="str">
        <f t="shared" si="52"/>
        <v/>
      </c>
      <c r="AB282" s="175" t="str">
        <f t="shared" si="52"/>
        <v/>
      </c>
      <c r="AC282" s="175" t="str">
        <f t="shared" si="52"/>
        <v/>
      </c>
      <c r="AD282" s="175" t="str">
        <f t="shared" si="52"/>
        <v/>
      </c>
      <c r="AE282" s="175" t="str">
        <f t="shared" si="52"/>
        <v/>
      </c>
      <c r="AF282" s="175" t="str">
        <f t="shared" si="52"/>
        <v/>
      </c>
      <c r="AG282" s="43"/>
      <c r="AH282" s="43"/>
    </row>
    <row r="283" spans="1:34" x14ac:dyDescent="0.25">
      <c r="A283" s="175" t="str">
        <f>A250</f>
        <v>MRS</v>
      </c>
      <c r="B283" s="175" t="str">
        <f t="shared" ref="B283:AF283" si="53">IF(B250&lt;100,"",B250-330)</f>
        <v/>
      </c>
      <c r="C283" s="175" t="str">
        <f t="shared" si="53"/>
        <v/>
      </c>
      <c r="D283" s="175" t="str">
        <f t="shared" si="53"/>
        <v/>
      </c>
      <c r="E283" s="175" t="str">
        <f t="shared" si="53"/>
        <v/>
      </c>
      <c r="F283" s="175" t="str">
        <f t="shared" si="53"/>
        <v/>
      </c>
      <c r="G283" s="175" t="str">
        <f t="shared" si="53"/>
        <v/>
      </c>
      <c r="H283" s="175" t="str">
        <f t="shared" si="53"/>
        <v/>
      </c>
      <c r="I283" s="175" t="str">
        <f t="shared" si="53"/>
        <v/>
      </c>
      <c r="J283" s="175" t="str">
        <f t="shared" si="53"/>
        <v/>
      </c>
      <c r="K283" s="175" t="str">
        <f t="shared" si="53"/>
        <v/>
      </c>
      <c r="L283" s="175" t="str">
        <f t="shared" si="53"/>
        <v/>
      </c>
      <c r="M283" s="175" t="str">
        <f t="shared" si="53"/>
        <v/>
      </c>
      <c r="N283" s="175" t="str">
        <f t="shared" si="53"/>
        <v/>
      </c>
      <c r="O283" s="175" t="str">
        <f t="shared" si="53"/>
        <v/>
      </c>
      <c r="P283" s="175" t="str">
        <f t="shared" si="53"/>
        <v/>
      </c>
      <c r="Q283" s="175" t="str">
        <f t="shared" si="53"/>
        <v/>
      </c>
      <c r="R283" s="175" t="str">
        <f t="shared" si="53"/>
        <v/>
      </c>
      <c r="S283" s="175" t="str">
        <f t="shared" si="53"/>
        <v/>
      </c>
      <c r="T283" s="175" t="str">
        <f t="shared" si="53"/>
        <v/>
      </c>
      <c r="U283" s="175" t="str">
        <f t="shared" si="53"/>
        <v/>
      </c>
      <c r="V283" s="175" t="str">
        <f t="shared" si="53"/>
        <v/>
      </c>
      <c r="W283" s="175" t="str">
        <f t="shared" si="53"/>
        <v/>
      </c>
      <c r="X283" s="175" t="str">
        <f t="shared" si="53"/>
        <v/>
      </c>
      <c r="Y283" s="175" t="str">
        <f t="shared" si="53"/>
        <v/>
      </c>
      <c r="Z283" s="175" t="str">
        <f t="shared" si="53"/>
        <v/>
      </c>
      <c r="AA283" s="175" t="str">
        <f t="shared" si="53"/>
        <v/>
      </c>
      <c r="AB283" s="175" t="str">
        <f t="shared" si="53"/>
        <v/>
      </c>
      <c r="AC283" s="175" t="str">
        <f t="shared" si="53"/>
        <v/>
      </c>
      <c r="AD283" s="175" t="str">
        <f t="shared" si="53"/>
        <v/>
      </c>
      <c r="AE283" s="175" t="str">
        <f t="shared" si="53"/>
        <v/>
      </c>
      <c r="AF283" s="175" t="str">
        <f t="shared" si="53"/>
        <v/>
      </c>
      <c r="AG283" s="43"/>
      <c r="AH283" s="43"/>
    </row>
    <row r="284" spans="1:34" x14ac:dyDescent="0.25">
      <c r="A284" s="175" t="str">
        <f>A251</f>
        <v>KL 1</v>
      </c>
      <c r="B284" s="175" t="str">
        <f t="shared" ref="B284:AF284" si="54">IF(B251&lt;100,"",B251-1500)</f>
        <v/>
      </c>
      <c r="C284" s="175" t="str">
        <f t="shared" si="54"/>
        <v/>
      </c>
      <c r="D284" s="175" t="str">
        <f t="shared" si="54"/>
        <v/>
      </c>
      <c r="E284" s="175" t="str">
        <f t="shared" si="54"/>
        <v/>
      </c>
      <c r="F284" s="175" t="str">
        <f t="shared" si="54"/>
        <v/>
      </c>
      <c r="G284" s="175" t="str">
        <f t="shared" si="54"/>
        <v/>
      </c>
      <c r="H284" s="175" t="str">
        <f t="shared" si="54"/>
        <v/>
      </c>
      <c r="I284" s="175" t="str">
        <f t="shared" si="54"/>
        <v/>
      </c>
      <c r="J284" s="175" t="str">
        <f t="shared" si="54"/>
        <v/>
      </c>
      <c r="K284" s="175" t="str">
        <f t="shared" si="54"/>
        <v/>
      </c>
      <c r="L284" s="175" t="str">
        <f t="shared" si="54"/>
        <v/>
      </c>
      <c r="M284" s="175" t="str">
        <f t="shared" si="54"/>
        <v/>
      </c>
      <c r="N284" s="175" t="str">
        <f t="shared" si="54"/>
        <v/>
      </c>
      <c r="O284" s="175" t="str">
        <f t="shared" si="54"/>
        <v/>
      </c>
      <c r="P284" s="175" t="str">
        <f t="shared" si="54"/>
        <v/>
      </c>
      <c r="Q284" s="175" t="str">
        <f t="shared" si="54"/>
        <v/>
      </c>
      <c r="R284" s="175" t="str">
        <f t="shared" si="54"/>
        <v/>
      </c>
      <c r="S284" s="175" t="str">
        <f t="shared" si="54"/>
        <v/>
      </c>
      <c r="T284" s="175" t="str">
        <f t="shared" si="54"/>
        <v/>
      </c>
      <c r="U284" s="175" t="str">
        <f t="shared" si="54"/>
        <v/>
      </c>
      <c r="V284" s="175" t="str">
        <f t="shared" si="54"/>
        <v/>
      </c>
      <c r="W284" s="175" t="str">
        <f t="shared" si="54"/>
        <v/>
      </c>
      <c r="X284" s="175" t="str">
        <f t="shared" si="54"/>
        <v/>
      </c>
      <c r="Y284" s="175" t="str">
        <f t="shared" si="54"/>
        <v/>
      </c>
      <c r="Z284" s="175" t="str">
        <f t="shared" si="54"/>
        <v/>
      </c>
      <c r="AA284" s="175" t="str">
        <f t="shared" si="54"/>
        <v/>
      </c>
      <c r="AB284" s="175" t="str">
        <f t="shared" si="54"/>
        <v/>
      </c>
      <c r="AC284" s="175" t="str">
        <f t="shared" si="54"/>
        <v/>
      </c>
      <c r="AD284" s="175" t="str">
        <f t="shared" si="54"/>
        <v/>
      </c>
      <c r="AE284" s="175" t="str">
        <f t="shared" si="54"/>
        <v/>
      </c>
      <c r="AF284" s="175" t="str">
        <f t="shared" si="54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46">
    <cfRule type="expression" dxfId="2537" priority="57">
      <formula>$AH11=0</formula>
    </cfRule>
  </conditionalFormatting>
  <conditionalFormatting sqref="B8 M8 S8 AB8">
    <cfRule type="expression" dxfId="2536" priority="117">
      <formula>AND(C$9&gt;=14/24,C$9&lt;20/24)</formula>
    </cfRule>
    <cfRule type="expression" dxfId="2535" priority="119">
      <formula>C$9&lt;8/24</formula>
    </cfRule>
    <cfRule type="expression" dxfId="2534" priority="118">
      <formula>AND(C$9&gt;=8/24,C$9&lt;14/24)</formula>
    </cfRule>
  </conditionalFormatting>
  <conditionalFormatting sqref="B63:I74 J64:J74 K68 K69:S74 T70:AE74">
    <cfRule type="expression" dxfId="2533" priority="21">
      <formula>AND(B$9&gt;=8/24,B$9&lt;14/24)</formula>
    </cfRule>
    <cfRule type="expression" dxfId="2532" priority="19">
      <formula>B$9&gt;=20/24</formula>
    </cfRule>
    <cfRule type="expression" dxfId="2531" priority="20">
      <formula>AND(B$9&gt;=14/24,B$9&lt;20/24)</formula>
    </cfRule>
    <cfRule type="expression" dxfId="2530" priority="22">
      <formula>B$9&lt;8/24</formula>
    </cfRule>
  </conditionalFormatting>
  <conditionalFormatting sqref="B9:AF52">
    <cfRule type="expression" dxfId="2529" priority="28">
      <formula>B$9&gt;=20/24</formula>
    </cfRule>
    <cfRule type="expression" dxfId="2528" priority="29">
      <formula>AND(B$9&gt;=14/24,B$9&lt;20/24)</formula>
    </cfRule>
    <cfRule type="expression" dxfId="2527" priority="30">
      <formula>AND(B$9&gt;=8/24,B$9&lt;14/24)</formula>
    </cfRule>
    <cfRule type="expression" dxfId="2526" priority="31">
      <formula>B$9&lt;8/24</formula>
    </cfRule>
  </conditionalFormatting>
  <conditionalFormatting sqref="B11:AF54">
    <cfRule type="expression" dxfId="2525" priority="9">
      <formula>B11&gt;$AG11</formula>
    </cfRule>
  </conditionalFormatting>
  <conditionalFormatting sqref="B53:AF54">
    <cfRule type="expression" dxfId="2524" priority="5">
      <formula>B$9&gt;=20/24</formula>
    </cfRule>
    <cfRule type="expression" dxfId="2523" priority="6">
      <formula>AND(B$9&gt;=14/24,B$9&lt;20/24)</formula>
    </cfRule>
    <cfRule type="expression" dxfId="2522" priority="7">
      <formula>AND(B$9&gt;=8/24,B$9&lt;14/24)</formula>
    </cfRule>
    <cfRule type="expression" dxfId="2521" priority="8">
      <formula>B$9&lt;8/24</formula>
    </cfRule>
  </conditionalFormatting>
  <conditionalFormatting sqref="B55:AF55">
    <cfRule type="expression" dxfId="2520" priority="37">
      <formula>B55&gt;$AG55</formula>
    </cfRule>
  </conditionalFormatting>
  <conditionalFormatting sqref="B55:AF57 C56:W56">
    <cfRule type="expression" dxfId="2519" priority="36">
      <formula>B$9&lt;8/24</formula>
    </cfRule>
  </conditionalFormatting>
  <conditionalFormatting sqref="B55:AF57">
    <cfRule type="expression" dxfId="2518" priority="35">
      <formula>AND(B$9&gt;=8/24,B$9&lt;14/24)</formula>
    </cfRule>
    <cfRule type="expression" dxfId="2517" priority="33">
      <formula>B$9&gt;=20/24</formula>
    </cfRule>
    <cfRule type="expression" dxfId="2516" priority="34">
      <formula>AND(B$9&gt;=14/24,B$9&lt;20/24)</formula>
    </cfRule>
  </conditionalFormatting>
  <conditionalFormatting sqref="B56:AF61">
    <cfRule type="expression" dxfId="2515" priority="32">
      <formula>B56&gt;$AG56</formula>
    </cfRule>
  </conditionalFormatting>
  <conditionalFormatting sqref="B59:AF61">
    <cfRule type="expression" dxfId="2514" priority="46">
      <formula>B$9&lt;8/24</formula>
    </cfRule>
    <cfRule type="expression" dxfId="2513" priority="45">
      <formula>AND(B$9&gt;=8/24,B$9&lt;14/24)</formula>
    </cfRule>
    <cfRule type="expression" dxfId="2512" priority="44">
      <formula>AND(B$9&gt;=14/24,B$9&lt;20/24)</formula>
    </cfRule>
    <cfRule type="expression" dxfId="2511" priority="43">
      <formula>B$9&gt;=20/24</formula>
    </cfRule>
  </conditionalFormatting>
  <conditionalFormatting sqref="B63:AF74">
    <cfRule type="expression" dxfId="2510" priority="18">
      <formula>B63&gt;$AG63</formula>
    </cfRule>
  </conditionalFormatting>
  <conditionalFormatting sqref="B77:AF79">
    <cfRule type="expression" dxfId="2509" priority="51">
      <formula>B$9&lt;8/24</formula>
    </cfRule>
    <cfRule type="expression" dxfId="2508" priority="47">
      <formula>B77&gt;$AG77</formula>
    </cfRule>
    <cfRule type="expression" dxfId="2507" priority="49">
      <formula>AND(B$9&gt;=14/24,B$9&lt;20/24)</formula>
    </cfRule>
    <cfRule type="expression" dxfId="2506" priority="48">
      <formula>B$9&gt;=20/24</formula>
    </cfRule>
    <cfRule type="expression" dxfId="2505" priority="50">
      <formula>AND(B$9&gt;=8/24,B$9&lt;14/24)</formula>
    </cfRule>
  </conditionalFormatting>
  <conditionalFormatting sqref="B81:AF99">
    <cfRule type="expression" dxfId="2504" priority="16">
      <formula>AND(B$9&gt;=8/24,B$9&lt;14/24)</formula>
    </cfRule>
    <cfRule type="expression" dxfId="2503" priority="17">
      <formula>B$9&lt;8/24</formula>
    </cfRule>
    <cfRule type="expression" dxfId="2502" priority="15">
      <formula>AND(B$9&gt;=14/24,B$9&lt;20/24)</formula>
    </cfRule>
    <cfRule type="expression" dxfId="2501" priority="14">
      <formula>B$9&gt;=20/24</formula>
    </cfRule>
  </conditionalFormatting>
  <conditionalFormatting sqref="B101:AF117">
    <cfRule type="expression" dxfId="2500" priority="1">
      <formula>B$9&gt;=20/24</formula>
    </cfRule>
    <cfRule type="expression" dxfId="2499" priority="4">
      <formula>B$9&lt;8/24</formula>
    </cfRule>
    <cfRule type="expression" dxfId="2498" priority="3">
      <formula>AND(B$9&gt;=8/24,B$9&lt;14/24)</formula>
    </cfRule>
    <cfRule type="expression" dxfId="2497" priority="2">
      <formula>AND(B$9&gt;=14/24,B$9&lt;20/24)</formula>
    </cfRule>
  </conditionalFormatting>
  <conditionalFormatting sqref="B119:AF130">
    <cfRule type="expression" dxfId="2496" priority="26">
      <formula>B$9&lt;8/24</formula>
    </cfRule>
    <cfRule type="expression" dxfId="2495" priority="25">
      <formula>AND(B$9&gt;=8/24,B$9&lt;14/24)</formula>
    </cfRule>
    <cfRule type="expression" dxfId="2494" priority="24">
      <formula>AND(B$9&gt;=14/24,B$9&lt;20/24)</formula>
    </cfRule>
    <cfRule type="expression" dxfId="2493" priority="23">
      <formula>B$9&gt;=20/24</formula>
    </cfRule>
  </conditionalFormatting>
  <conditionalFormatting sqref="B237:AF237 B239:B245 D239:AF245 U258:AF258">
    <cfRule type="expression" dxfId="2492" priority="110">
      <formula>B$9&gt;=20/24</formula>
    </cfRule>
    <cfRule type="expression" dxfId="2491" priority="111">
      <formula>AND(B$9&gt;=14/24,B$9&lt;20/24)</formula>
    </cfRule>
    <cfRule type="expression" dxfId="2490" priority="113">
      <formula>B$9&lt;8/24</formula>
    </cfRule>
    <cfRule type="expression" dxfId="2489" priority="112">
      <formula>AND(B$9&gt;=8/24,B$9&lt;14/24)</formula>
    </cfRule>
  </conditionalFormatting>
  <conditionalFormatting sqref="B62:AG62">
    <cfRule type="expression" dxfId="2488" priority="52">
      <formula>B62&gt;$AG62</formula>
    </cfRule>
    <cfRule type="expression" dxfId="2487" priority="53">
      <formula>B$9&gt;=20/24</formula>
    </cfRule>
    <cfRule type="expression" dxfId="2486" priority="54">
      <formula>AND(B$9&gt;=14/24,B$9&lt;20/24)</formula>
    </cfRule>
    <cfRule type="expression" dxfId="2485" priority="55">
      <formula>AND(B$9&gt;=8/24,B$9&lt;14/24)</formula>
    </cfRule>
    <cfRule type="expression" dxfId="2484" priority="56">
      <formula>B$9&lt;8/24</formula>
    </cfRule>
  </conditionalFormatting>
  <conditionalFormatting sqref="B75:AG76 B80:AG80">
    <cfRule type="expression" dxfId="2483" priority="38">
      <formula>B75&gt;$AG75</formula>
    </cfRule>
  </conditionalFormatting>
  <conditionalFormatting sqref="B80:AG80">
    <cfRule type="expression" dxfId="2482" priority="42">
      <formula>B$9&lt;8/24</formula>
    </cfRule>
    <cfRule type="expression" dxfId="2481" priority="39">
      <formula>B$9&gt;=20/24</formula>
    </cfRule>
    <cfRule type="expression" dxfId="2480" priority="40">
      <formula>AND(B$9&gt;=14/24,B$9&lt;20/24)</formula>
    </cfRule>
    <cfRule type="expression" dxfId="2479" priority="41">
      <formula>AND(B$9&gt;=8/24,B$9&lt;14/24)</formula>
    </cfRule>
  </conditionalFormatting>
  <conditionalFormatting sqref="F63:N65">
    <cfRule type="expression" dxfId="2478" priority="91">
      <formula>F$9&gt;=20/24</formula>
    </cfRule>
    <cfRule type="expression" dxfId="2477" priority="92">
      <formula>AND(F$9&gt;=14/24,F$9&lt;20/24)</formula>
    </cfRule>
    <cfRule type="expression" dxfId="2476" priority="93">
      <formula>AND(F$9&gt;=8/24,F$9&lt;14/24)</formula>
    </cfRule>
    <cfRule type="expression" dxfId="2475" priority="94">
      <formula>F$9&lt;8/24</formula>
    </cfRule>
  </conditionalFormatting>
  <conditionalFormatting sqref="F68:R68">
    <cfRule type="expression" dxfId="2474" priority="68">
      <formula>F$9&gt;=20/24</formula>
    </cfRule>
    <cfRule type="expression" dxfId="2473" priority="69">
      <formula>AND(F$9&gt;=14/24,F$9&lt;20/24)</formula>
    </cfRule>
    <cfRule type="expression" dxfId="2472" priority="70">
      <formula>AND(F$9&gt;=8/24,F$9&lt;14/24)</formula>
    </cfRule>
    <cfRule type="expression" dxfId="2471" priority="71">
      <formula>F$9&lt;8/24</formula>
    </cfRule>
  </conditionalFormatting>
  <conditionalFormatting sqref="F69:AF74">
    <cfRule type="expression" dxfId="2470" priority="60">
      <formula>AND(F$9&gt;=8/24,F$9&lt;14/24)</formula>
    </cfRule>
    <cfRule type="expression" dxfId="2469" priority="58">
      <formula>F$9&gt;=20/24</formula>
    </cfRule>
    <cfRule type="expression" dxfId="2468" priority="59">
      <formula>AND(F$9&gt;=14/24,F$9&lt;20/24)</formula>
    </cfRule>
    <cfRule type="expression" dxfId="2467" priority="61">
      <formula>F$9&lt;8/24</formula>
    </cfRule>
  </conditionalFormatting>
  <conditionalFormatting sqref="M63:R67">
    <cfRule type="expression" dxfId="2466" priority="95">
      <formula>M$9&gt;=20/24</formula>
    </cfRule>
    <cfRule type="expression" dxfId="2465" priority="96">
      <formula>AND(M$9&gt;=14/24,M$9&lt;20/24)</formula>
    </cfRule>
    <cfRule type="expression" dxfId="2464" priority="97">
      <formula>AND(M$9&gt;=8/24,M$9&lt;14/24)</formula>
    </cfRule>
    <cfRule type="expression" dxfId="2463" priority="98">
      <formula>M$9&lt;8/24</formula>
    </cfRule>
  </conditionalFormatting>
  <conditionalFormatting sqref="O3:P3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462" priority="116">
      <formula>C$9&gt;=20/24</formula>
    </cfRule>
  </conditionalFormatting>
  <conditionalFormatting sqref="S8">
    <cfRule type="expression" dxfId="2461" priority="103">
      <formula>U$9&gt;=20/24</formula>
    </cfRule>
    <cfRule type="expression" dxfId="2460" priority="106">
      <formula>U$9&lt;8/24</formula>
    </cfRule>
    <cfRule type="expression" dxfId="2459" priority="105">
      <formula>AND(U$9&gt;=8/24,U$9&lt;14/24)</formula>
    </cfRule>
    <cfRule type="expression" dxfId="2458" priority="104">
      <formula>AND(U$9&gt;=14/24,U$9&lt;20/24)</formula>
    </cfRule>
  </conditionalFormatting>
  <conditionalFormatting sqref="S63:AF68">
    <cfRule type="expression" dxfId="2457" priority="65">
      <formula>S$9&lt;8/24</formula>
    </cfRule>
    <cfRule type="expression" dxfId="2456" priority="62">
      <formula>S$9&gt;=20/24</formula>
    </cfRule>
    <cfRule type="expression" dxfId="2455" priority="63">
      <formula>AND(S$9&gt;=14/24,S$9&lt;20/24)</formula>
    </cfRule>
    <cfRule type="expression" dxfId="2454" priority="64">
      <formula>AND(S$9&gt;=8/24,S$9&lt;14/24)</formula>
    </cfRule>
  </conditionalFormatting>
  <conditionalFormatting sqref="T258">
    <cfRule type="expression" dxfId="2453" priority="128">
      <formula>AX$9&gt;=20/24</formula>
    </cfRule>
    <cfRule type="expression" dxfId="2452" priority="129">
      <formula>AND(AX$9&gt;=14/24,AX$9&lt;20/24)</formula>
    </cfRule>
    <cfRule type="expression" dxfId="2451" priority="130">
      <formula>AND(AX$9&gt;=8/24,AX$9&lt;14/24)</formula>
    </cfRule>
    <cfRule type="expression" dxfId="2450" priority="131">
      <formula>AX$9&lt;8/24</formula>
    </cfRule>
  </conditionalFormatting>
  <conditionalFormatting sqref="V3 AB3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449" priority="100">
      <formula>AND(AD$9&gt;=14/24,AD$9&lt;20/24)</formula>
    </cfRule>
    <cfRule type="expression" dxfId="2448" priority="99">
      <formula>AD$9&gt;=20/24</formula>
    </cfRule>
    <cfRule type="expression" dxfId="2447" priority="102">
      <formula>AD$9&lt;8/24</formula>
    </cfRule>
    <cfRule type="expression" dxfId="2446" priority="101">
      <formula>AND(AD$9&gt;=8/24,AD$9&lt;14/24)</formula>
    </cfRule>
  </conditionalFormatting>
  <conditionalFormatting sqref="AG58">
    <cfRule type="expression" dxfId="2445" priority="86">
      <formula>AG58&gt;$AG58</formula>
    </cfRule>
  </conditionalFormatting>
  <conditionalFormatting sqref="AG97">
    <cfRule type="expression" dxfId="2444" priority="89">
      <formula>AND(AG$9&gt;=8/24,AG$9&lt;14/24)</formula>
    </cfRule>
    <cfRule type="expression" dxfId="2443" priority="90">
      <formula>AG$9&lt;8/24</formula>
    </cfRule>
    <cfRule type="expression" dxfId="2442" priority="88">
      <formula>AND(AG$9&gt;=14/24,AG$9&lt;20/24)</formula>
    </cfRule>
    <cfRule type="expression" dxfId="2441" priority="87">
      <formula>AG$9&gt;=20/24</formula>
    </cfRule>
  </conditionalFormatting>
  <conditionalFormatting sqref="AG258">
    <cfRule type="expression" dxfId="2440" priority="120">
      <formula>B$9&gt;=20/24</formula>
    </cfRule>
    <cfRule type="expression" dxfId="2439" priority="121">
      <formula>AND(B$9&gt;=14/24,B$9&lt;20/24)</formula>
    </cfRule>
    <cfRule type="expression" dxfId="2438" priority="122">
      <formula>AND(B$9&gt;=8/24,B$9&lt;14/24)</formula>
    </cfRule>
    <cfRule type="expression" dxfId="2437" priority="123">
      <formula>B$9&lt;8/24</formula>
    </cfRule>
  </conditionalFormatting>
  <conditionalFormatting sqref="AH258:AX258">
    <cfRule type="expression" dxfId="2436" priority="124">
      <formula>AG$9&gt;=20/24</formula>
    </cfRule>
    <cfRule type="expression" dxfId="2435" priority="125">
      <formula>AND(AG$9&gt;=14/24,AG$9&lt;20/24)</formula>
    </cfRule>
    <cfRule type="expression" dxfId="2434" priority="126">
      <formula>AND(AG$9&gt;=8/24,AG$9&lt;14/24)</formula>
    </cfRule>
    <cfRule type="expression" dxfId="2433" priority="127">
      <formula>AG$9&lt;8/24</formula>
    </cfRule>
  </conditionalFormatting>
  <conditionalFormatting sqref="AL4:AL6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432" priority="133">
      <formula>AJ$9&gt;=20/24</formula>
    </cfRule>
    <cfRule type="expression" dxfId="2431" priority="134">
      <formula>AND(AJ$9&gt;=14/24,AJ$9&lt;20/24)</formula>
    </cfRule>
    <cfRule type="expression" dxfId="2430" priority="135">
      <formula>AND(AJ$9&gt;=8/24,AJ$9&lt;14/24)</formula>
    </cfRule>
    <cfRule type="expression" dxfId="2429" priority="136">
      <formula>AJ$9&lt;8/24</formula>
    </cfRule>
  </conditionalFormatting>
  <conditionalFormatting sqref="AL88:AN88 AL94:AN94">
    <cfRule type="expression" dxfId="2428" priority="79">
      <formula>AL$9&gt;=20/24</formula>
    </cfRule>
    <cfRule type="expression" dxfId="2427" priority="80">
      <formula>AND(AL$9&gt;=14/24,AL$9&lt;20/24)</formula>
    </cfRule>
    <cfRule type="expression" dxfId="2426" priority="81">
      <formula>AND(AL$9&gt;=8/24,AL$9&lt;14/24)</formula>
    </cfRule>
    <cfRule type="expression" dxfId="2425" priority="82">
      <formula>AL$9&lt;8/24</formula>
    </cfRule>
  </conditionalFormatting>
  <conditionalFormatting sqref="AN89:AN92">
    <cfRule type="expression" dxfId="2424" priority="75">
      <formula>AN$9&gt;=20/24</formula>
    </cfRule>
    <cfRule type="expression" dxfId="2423" priority="76">
      <formula>AND(AN$9&gt;=14/24,AN$9&lt;20/24)</formula>
    </cfRule>
    <cfRule type="expression" dxfId="2422" priority="77">
      <formula>AND(AN$9&gt;=8/24,AN$9&lt;14/24)</formula>
    </cfRule>
    <cfRule type="expression" dxfId="2421" priority="78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0590-FF9E-416E-A7FA-CC3B690B436E}">
  <sheetPr codeName="Sheet13"/>
  <dimension ref="A1:CJ291"/>
  <sheetViews>
    <sheetView zoomScale="106" workbookViewId="0">
      <pane xSplit="1" ySplit="10" topLeftCell="B44" activePane="bottomRight" state="frozen"/>
      <selection activeCell="P118" sqref="P118"/>
      <selection pane="topRight" activeCell="P118" sqref="P118"/>
      <selection pane="bottomLeft" activeCell="P118" sqref="P118"/>
      <selection pane="bottomRight" activeCell="L103" sqref="L10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46.5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19.5" customHeight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7.25" customHeight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3.5" customHeight="1" x14ac:dyDescent="0.25">
      <c r="A4" s="25" t="s">
        <v>11</v>
      </c>
      <c r="B4" s="246" t="str">
        <f ca="1">"2080/"&amp;"09/"&amp;INT(MID(CELL("filename",D6),FIND("]",CELL("filename",D6))+1,200))</f>
        <v>2080/09/12</v>
      </c>
      <c r="C4" s="246"/>
      <c r="D4" s="246"/>
      <c r="E4" s="247" t="str">
        <f ca="1">"2080/"&amp;"09/"&amp;INT(MID(CELL("filename",G6),FIND("]",CELL("filename",G6))+1,200))</f>
        <v>2080/09/12</v>
      </c>
      <c r="F4" s="247"/>
      <c r="G4" s="247"/>
      <c r="H4" s="247" t="str">
        <f ca="1">TEXT(E4,"dddd")</f>
        <v>Thursday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C92</f>
        <v>141.80000000000001</v>
      </c>
      <c r="C5" s="30">
        <f t="shared" si="0"/>
        <v>152</v>
      </c>
      <c r="D5" s="30">
        <f t="shared" si="0"/>
        <v>114.9</v>
      </c>
      <c r="E5" s="30">
        <f t="shared" si="0"/>
        <v>121.80000000000001</v>
      </c>
      <c r="F5" s="30">
        <f t="shared" si="0"/>
        <v>113</v>
      </c>
      <c r="G5" s="30">
        <f t="shared" si="0"/>
        <v>147.6</v>
      </c>
      <c r="H5" s="30">
        <f t="shared" si="0"/>
        <v>258.39999999999998</v>
      </c>
      <c r="I5" s="30">
        <f t="shared" si="0"/>
        <v>246.9</v>
      </c>
      <c r="J5" s="30">
        <f t="shared" si="0"/>
        <v>243.8</v>
      </c>
      <c r="K5" s="30">
        <f t="shared" si="0"/>
        <v>113.9</v>
      </c>
      <c r="L5" s="30">
        <f t="shared" si="0"/>
        <v>35.200000000000003</v>
      </c>
      <c r="M5" s="30">
        <f t="shared" si="0"/>
        <v>37.299999999999997</v>
      </c>
      <c r="N5" s="30">
        <f t="shared" si="0"/>
        <v>219</v>
      </c>
      <c r="O5" s="30">
        <f t="shared" si="0"/>
        <v>163.19999999999999</v>
      </c>
      <c r="P5" s="30">
        <f t="shared" si="0"/>
        <v>338.9</v>
      </c>
      <c r="Q5" s="30">
        <f t="shared" si="0"/>
        <v>379.4</v>
      </c>
      <c r="R5" s="30">
        <f t="shared" si="0"/>
        <v>386</v>
      </c>
      <c r="S5" s="30">
        <f t="shared" si="0"/>
        <v>365.70000000000005</v>
      </c>
      <c r="T5" s="30">
        <f t="shared" si="0"/>
        <v>356.6</v>
      </c>
      <c r="U5" s="30">
        <f t="shared" si="0"/>
        <v>35.5</v>
      </c>
      <c r="V5" s="30">
        <f t="shared" si="0"/>
        <v>42.800000000000004</v>
      </c>
      <c r="W5" s="30">
        <f t="shared" si="0"/>
        <v>33.700000000000003</v>
      </c>
      <c r="X5" s="30">
        <f t="shared" si="0"/>
        <v>221.7</v>
      </c>
      <c r="Y5" s="30">
        <f t="shared" si="0"/>
        <v>164.8</v>
      </c>
      <c r="Z5" s="30">
        <f t="shared" si="0"/>
        <v>116.7</v>
      </c>
      <c r="AA5" s="30">
        <f t="shared" si="0"/>
        <v>139</v>
      </c>
      <c r="AB5" s="30">
        <f t="shared" si="0"/>
        <v>307</v>
      </c>
      <c r="AC5" s="30">
        <f t="shared" si="0"/>
        <v>279</v>
      </c>
      <c r="AD5" s="30">
        <f t="shared" si="0"/>
        <v>238</v>
      </c>
      <c r="AE5" s="30">
        <f t="shared" si="0"/>
        <v>200</v>
      </c>
      <c r="AF5" s="30">
        <f>B92</f>
        <v>159.4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7.25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1658MW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24" customHeight="1" thickBot="1" x14ac:dyDescent="0.3">
      <c r="A7" s="34" t="str">
        <f>"Base Load="&amp;ROUND(MIN($B$7:$AF$7),0)</f>
        <v>Base Load=983</v>
      </c>
      <c r="B7" s="35">
        <f>B100</f>
        <v>1010.7400000000001</v>
      </c>
      <c r="C7" s="35">
        <f t="shared" ref="C7:AF7" si="1">C100</f>
        <v>992.84000000000015</v>
      </c>
      <c r="D7" s="35">
        <f t="shared" si="1"/>
        <v>1003.3400000000001</v>
      </c>
      <c r="E7" s="35">
        <f t="shared" si="1"/>
        <v>993.24</v>
      </c>
      <c r="F7" s="35">
        <f t="shared" si="1"/>
        <v>982.74</v>
      </c>
      <c r="G7" s="35">
        <f t="shared" si="1"/>
        <v>1045.44</v>
      </c>
      <c r="H7" s="35">
        <f t="shared" si="1"/>
        <v>1181.24</v>
      </c>
      <c r="I7" s="35">
        <f t="shared" si="1"/>
        <v>1263.1399999999999</v>
      </c>
      <c r="J7" s="35">
        <f t="shared" si="1"/>
        <v>1393.7400000000002</v>
      </c>
      <c r="K7" s="35">
        <f t="shared" si="1"/>
        <v>1467.94</v>
      </c>
      <c r="L7" s="35">
        <f t="shared" si="1"/>
        <v>1657.5400000000002</v>
      </c>
      <c r="M7" s="35">
        <f t="shared" si="1"/>
        <v>1545.04</v>
      </c>
      <c r="N7" s="35">
        <f t="shared" si="1"/>
        <v>1509.44</v>
      </c>
      <c r="O7" s="35">
        <f t="shared" si="1"/>
        <v>1460.74</v>
      </c>
      <c r="P7" s="35">
        <f t="shared" si="1"/>
        <v>1392.0400000000002</v>
      </c>
      <c r="Q7" s="35">
        <f t="shared" si="1"/>
        <v>1337.94</v>
      </c>
      <c r="R7" s="35">
        <f t="shared" si="1"/>
        <v>1281.8400000000001</v>
      </c>
      <c r="S7" s="35">
        <f t="shared" si="1"/>
        <v>1281.3400000000001</v>
      </c>
      <c r="T7" s="35">
        <f t="shared" si="1"/>
        <v>1310.5400000000002</v>
      </c>
      <c r="U7" s="35">
        <f t="shared" si="1"/>
        <v>1312.54</v>
      </c>
      <c r="V7" s="35">
        <f t="shared" si="1"/>
        <v>1422.04</v>
      </c>
      <c r="W7" s="35">
        <f t="shared" si="1"/>
        <v>1505.44</v>
      </c>
      <c r="X7" s="35">
        <f t="shared" si="1"/>
        <v>1643.94</v>
      </c>
      <c r="Y7" s="35">
        <f t="shared" si="1"/>
        <v>1500.94</v>
      </c>
      <c r="Z7" s="35">
        <f t="shared" si="1"/>
        <v>1443.04</v>
      </c>
      <c r="AA7" s="35">
        <f t="shared" si="1"/>
        <v>1393.94</v>
      </c>
      <c r="AB7" s="35">
        <f t="shared" si="1"/>
        <v>1359.2400000000002</v>
      </c>
      <c r="AC7" s="35">
        <f t="shared" si="1"/>
        <v>1393.0400000000002</v>
      </c>
      <c r="AD7" s="35">
        <f t="shared" si="1"/>
        <v>1164.04</v>
      </c>
      <c r="AE7" s="35">
        <f t="shared" si="1"/>
        <v>1064.0400000000002</v>
      </c>
      <c r="AF7" s="35">
        <f t="shared" si="1"/>
        <v>1014.0400000000001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38</v>
      </c>
      <c r="C11" s="45">
        <v>38</v>
      </c>
      <c r="D11" s="45">
        <v>38</v>
      </c>
      <c r="E11" s="45">
        <v>39.4</v>
      </c>
      <c r="F11" s="45">
        <v>39.4</v>
      </c>
      <c r="G11" s="45">
        <v>39.4</v>
      </c>
      <c r="H11" s="45">
        <v>39.4</v>
      </c>
      <c r="I11" s="45">
        <v>39.4</v>
      </c>
      <c r="J11" s="45">
        <v>39.4</v>
      </c>
      <c r="K11" s="45">
        <v>29.6</v>
      </c>
      <c r="L11" s="45">
        <v>29.6</v>
      </c>
      <c r="M11" s="45">
        <v>39.6</v>
      </c>
      <c r="N11" s="45">
        <v>39.6</v>
      </c>
      <c r="O11" s="45">
        <v>39.6</v>
      </c>
      <c r="P11" s="45">
        <v>39.6</v>
      </c>
      <c r="Q11" s="45">
        <v>39.6</v>
      </c>
      <c r="R11" s="45">
        <v>39.6</v>
      </c>
      <c r="S11" s="45">
        <v>39.6</v>
      </c>
      <c r="T11" s="45">
        <v>39.6</v>
      </c>
      <c r="U11" s="45">
        <v>39.6</v>
      </c>
      <c r="V11" s="45">
        <v>39.6</v>
      </c>
      <c r="W11" s="45">
        <v>39.6</v>
      </c>
      <c r="X11" s="45">
        <v>39.6</v>
      </c>
      <c r="Y11" s="45">
        <v>39.6</v>
      </c>
      <c r="Z11" s="45">
        <v>39.6</v>
      </c>
      <c r="AA11" s="45">
        <v>39.6</v>
      </c>
      <c r="AB11" s="45">
        <v>37.4</v>
      </c>
      <c r="AC11" s="45">
        <v>37.4</v>
      </c>
      <c r="AD11" s="45">
        <v>37.4</v>
      </c>
      <c r="AE11" s="45">
        <v>37.4</v>
      </c>
      <c r="AF11" s="45">
        <v>37.4</v>
      </c>
      <c r="AG11" s="46">
        <v>86</v>
      </c>
      <c r="AH11" s="47">
        <f t="shared" ref="AH11:AH84" si="2">MAX(B11:AF11)</f>
        <v>39.6</v>
      </c>
      <c r="AI11" s="48">
        <f t="shared" ref="AI11:AI84" si="3">MIN(B11:AF11)</f>
        <v>29.6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14</v>
      </c>
      <c r="C12" s="45">
        <v>14</v>
      </c>
      <c r="D12" s="45">
        <v>14</v>
      </c>
      <c r="E12" s="45">
        <v>13.3</v>
      </c>
      <c r="F12" s="45">
        <v>13.3</v>
      </c>
      <c r="G12" s="45">
        <v>13.3</v>
      </c>
      <c r="H12" s="45">
        <v>13.3</v>
      </c>
      <c r="I12" s="45">
        <v>13.3</v>
      </c>
      <c r="J12" s="45">
        <v>13.3</v>
      </c>
      <c r="K12" s="45">
        <v>13.3</v>
      </c>
      <c r="L12" s="45">
        <v>13.3</v>
      </c>
      <c r="M12" s="45">
        <v>13</v>
      </c>
      <c r="N12" s="45">
        <v>13</v>
      </c>
      <c r="O12" s="45">
        <v>13</v>
      </c>
      <c r="P12" s="45">
        <v>13</v>
      </c>
      <c r="Q12" s="45">
        <v>13</v>
      </c>
      <c r="R12" s="45">
        <v>13</v>
      </c>
      <c r="S12" s="45">
        <v>13</v>
      </c>
      <c r="T12" s="45">
        <v>13</v>
      </c>
      <c r="U12" s="45">
        <v>13</v>
      </c>
      <c r="V12" s="45">
        <v>13</v>
      </c>
      <c r="W12" s="45">
        <v>13</v>
      </c>
      <c r="X12" s="45">
        <v>13</v>
      </c>
      <c r="Y12" s="45">
        <v>13</v>
      </c>
      <c r="Z12" s="45">
        <v>13</v>
      </c>
      <c r="AA12" s="45">
        <v>13</v>
      </c>
      <c r="AB12" s="45">
        <v>13</v>
      </c>
      <c r="AC12" s="45">
        <v>13</v>
      </c>
      <c r="AD12" s="45">
        <v>13</v>
      </c>
      <c r="AE12" s="45">
        <v>13</v>
      </c>
      <c r="AF12" s="45">
        <v>13</v>
      </c>
      <c r="AG12" s="49">
        <v>54</v>
      </c>
      <c r="AH12" s="47">
        <f t="shared" si="2"/>
        <v>14</v>
      </c>
      <c r="AI12" s="48">
        <f t="shared" si="3"/>
        <v>13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18</v>
      </c>
      <c r="C13" s="45">
        <v>18</v>
      </c>
      <c r="D13" s="45">
        <v>18</v>
      </c>
      <c r="E13" s="45">
        <v>18</v>
      </c>
      <c r="F13" s="45">
        <v>18</v>
      </c>
      <c r="G13" s="45">
        <v>18</v>
      </c>
      <c r="H13" s="45">
        <v>18</v>
      </c>
      <c r="I13" s="45">
        <v>18</v>
      </c>
      <c r="J13" s="45">
        <v>18</v>
      </c>
      <c r="K13" s="45">
        <v>18</v>
      </c>
      <c r="L13" s="45">
        <v>18</v>
      </c>
      <c r="M13" s="45">
        <v>16.5</v>
      </c>
      <c r="N13" s="45">
        <v>16.5</v>
      </c>
      <c r="O13" s="45">
        <v>16.5</v>
      </c>
      <c r="P13" s="45">
        <v>16.5</v>
      </c>
      <c r="Q13" s="45">
        <v>16.5</v>
      </c>
      <c r="R13" s="45">
        <v>16.5</v>
      </c>
      <c r="S13" s="45">
        <v>16.5</v>
      </c>
      <c r="T13" s="45">
        <v>16.5</v>
      </c>
      <c r="U13" s="45">
        <v>16.5</v>
      </c>
      <c r="V13" s="45">
        <v>16.5</v>
      </c>
      <c r="W13" s="45">
        <v>16.5</v>
      </c>
      <c r="X13" s="45">
        <v>16.5</v>
      </c>
      <c r="Y13" s="45">
        <v>16.5</v>
      </c>
      <c r="Z13" s="45">
        <v>16.5</v>
      </c>
      <c r="AA13" s="45">
        <v>16.5</v>
      </c>
      <c r="AB13" s="45">
        <v>16.5</v>
      </c>
      <c r="AC13" s="45">
        <v>16.5</v>
      </c>
      <c r="AD13" s="45">
        <v>16.5</v>
      </c>
      <c r="AE13" s="45">
        <v>16.5</v>
      </c>
      <c r="AF13" s="45">
        <v>16.5</v>
      </c>
      <c r="AG13" s="49">
        <v>54</v>
      </c>
      <c r="AH13" s="47">
        <f t="shared" si="2"/>
        <v>18</v>
      </c>
      <c r="AI13" s="48">
        <f t="shared" si="3"/>
        <v>16.5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20.100000000000001</v>
      </c>
      <c r="C14" s="45">
        <v>20.100000000000001</v>
      </c>
      <c r="D14" s="45">
        <v>20.100000000000001</v>
      </c>
      <c r="E14" s="45">
        <v>21.1</v>
      </c>
      <c r="F14" s="45">
        <v>21.1</v>
      </c>
      <c r="G14" s="45">
        <v>21.1</v>
      </c>
      <c r="H14" s="45">
        <v>21.1</v>
      </c>
      <c r="I14" s="45">
        <v>21.1</v>
      </c>
      <c r="J14" s="45">
        <v>21.1</v>
      </c>
      <c r="K14" s="45">
        <v>21.1</v>
      </c>
      <c r="L14" s="45">
        <v>21.1</v>
      </c>
      <c r="M14" s="45">
        <v>22.5</v>
      </c>
      <c r="N14" s="45">
        <v>22.5</v>
      </c>
      <c r="O14" s="45">
        <v>22.5</v>
      </c>
      <c r="P14" s="45">
        <v>22.5</v>
      </c>
      <c r="Q14" s="45">
        <v>22.5</v>
      </c>
      <c r="R14" s="45">
        <v>22.5</v>
      </c>
      <c r="S14" s="45">
        <v>22.5</v>
      </c>
      <c r="T14" s="45">
        <v>22.5</v>
      </c>
      <c r="U14" s="45">
        <v>22.5</v>
      </c>
      <c r="V14" s="45">
        <v>22.5</v>
      </c>
      <c r="W14" s="45">
        <v>22.5</v>
      </c>
      <c r="X14" s="45">
        <v>22.5</v>
      </c>
      <c r="Y14" s="45">
        <v>22.5</v>
      </c>
      <c r="Z14" s="45">
        <v>22.5</v>
      </c>
      <c r="AA14" s="45">
        <v>22.5</v>
      </c>
      <c r="AB14" s="45">
        <v>22</v>
      </c>
      <c r="AC14" s="45">
        <v>22</v>
      </c>
      <c r="AD14" s="45">
        <v>22</v>
      </c>
      <c r="AE14" s="45">
        <v>22</v>
      </c>
      <c r="AF14" s="45">
        <v>22</v>
      </c>
      <c r="AG14" s="46">
        <v>52.4</v>
      </c>
      <c r="AH14" s="47">
        <f t="shared" si="2"/>
        <v>22.5</v>
      </c>
      <c r="AI14" s="48">
        <f t="shared" si="3"/>
        <v>20.100000000000001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42.9</v>
      </c>
      <c r="C15" s="45">
        <v>42.9</v>
      </c>
      <c r="D15" s="45">
        <v>42.9</v>
      </c>
      <c r="E15" s="45">
        <v>42.7</v>
      </c>
      <c r="F15" s="45">
        <v>42.7</v>
      </c>
      <c r="G15" s="45">
        <v>42.7</v>
      </c>
      <c r="H15" s="45">
        <v>42.7</v>
      </c>
      <c r="I15" s="45">
        <v>42.7</v>
      </c>
      <c r="J15" s="45">
        <v>42.7</v>
      </c>
      <c r="K15" s="45">
        <v>42.7</v>
      </c>
      <c r="L15" s="45">
        <v>42.7</v>
      </c>
      <c r="M15" s="45">
        <v>42.7</v>
      </c>
      <c r="N15" s="45">
        <v>42.7</v>
      </c>
      <c r="O15" s="45">
        <v>42.7</v>
      </c>
      <c r="P15" s="45">
        <v>42.7</v>
      </c>
      <c r="Q15" s="45">
        <v>42.7</v>
      </c>
      <c r="R15" s="45">
        <v>42.7</v>
      </c>
      <c r="S15" s="45">
        <v>42.7</v>
      </c>
      <c r="T15" s="45">
        <v>42.7</v>
      </c>
      <c r="U15" s="45">
        <v>42.7</v>
      </c>
      <c r="V15" s="45">
        <v>42.7</v>
      </c>
      <c r="W15" s="45">
        <v>42.7</v>
      </c>
      <c r="X15" s="51">
        <v>42.7</v>
      </c>
      <c r="Y15" s="51">
        <v>42.7</v>
      </c>
      <c r="Z15" s="51">
        <v>42.7</v>
      </c>
      <c r="AA15" s="51">
        <v>42.7</v>
      </c>
      <c r="AB15" s="45">
        <v>42.6</v>
      </c>
      <c r="AC15" s="45">
        <v>42.6</v>
      </c>
      <c r="AD15" s="45">
        <v>42.6</v>
      </c>
      <c r="AE15" s="45">
        <v>42.6</v>
      </c>
      <c r="AF15" s="45">
        <v>42.6</v>
      </c>
      <c r="AG15" s="49">
        <v>50</v>
      </c>
      <c r="AH15" s="47">
        <f t="shared" si="2"/>
        <v>42.9</v>
      </c>
      <c r="AI15" s="48">
        <f t="shared" si="3"/>
        <v>42.6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21</v>
      </c>
      <c r="C16" s="45">
        <v>21</v>
      </c>
      <c r="D16" s="45">
        <v>21</v>
      </c>
      <c r="E16" s="45">
        <v>21</v>
      </c>
      <c r="F16" s="45">
        <v>21</v>
      </c>
      <c r="G16" s="45">
        <v>21</v>
      </c>
      <c r="H16" s="45">
        <v>21</v>
      </c>
      <c r="I16" s="45">
        <v>21</v>
      </c>
      <c r="J16" s="45">
        <v>21</v>
      </c>
      <c r="K16" s="45">
        <v>21</v>
      </c>
      <c r="L16" s="45">
        <v>21</v>
      </c>
      <c r="M16" s="45">
        <v>21.8</v>
      </c>
      <c r="N16" s="45">
        <v>21.8</v>
      </c>
      <c r="O16" s="45">
        <v>21.8</v>
      </c>
      <c r="P16" s="45">
        <v>21.8</v>
      </c>
      <c r="Q16" s="45">
        <v>21.8</v>
      </c>
      <c r="R16" s="45">
        <v>21.8</v>
      </c>
      <c r="S16" s="45">
        <v>21.8</v>
      </c>
      <c r="T16" s="45">
        <v>21.8</v>
      </c>
      <c r="U16" s="45">
        <v>21.8</v>
      </c>
      <c r="V16" s="45">
        <v>21.8</v>
      </c>
      <c r="W16" s="45">
        <v>21.8</v>
      </c>
      <c r="X16" s="45">
        <v>21.8</v>
      </c>
      <c r="Y16" s="45">
        <v>21.8</v>
      </c>
      <c r="Z16" s="45">
        <v>21.8</v>
      </c>
      <c r="AA16" s="45">
        <v>21.8</v>
      </c>
      <c r="AB16" s="45">
        <v>21.8</v>
      </c>
      <c r="AC16" s="45">
        <v>21.8</v>
      </c>
      <c r="AD16" s="45">
        <v>21.8</v>
      </c>
      <c r="AE16" s="45">
        <v>21.8</v>
      </c>
      <c r="AF16" s="45">
        <v>21.8</v>
      </c>
      <c r="AG16" s="49">
        <v>45</v>
      </c>
      <c r="AH16" s="47">
        <f t="shared" si="2"/>
        <v>21.8</v>
      </c>
      <c r="AI16" s="48">
        <f t="shared" si="3"/>
        <v>21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11.5</v>
      </c>
      <c r="C18" s="45">
        <v>11.5</v>
      </c>
      <c r="D18" s="45">
        <v>11.5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12</v>
      </c>
      <c r="N18" s="45">
        <v>12</v>
      </c>
      <c r="O18" s="45">
        <v>12</v>
      </c>
      <c r="P18" s="45">
        <v>12</v>
      </c>
      <c r="Q18" s="45">
        <v>12</v>
      </c>
      <c r="R18" s="45">
        <v>12</v>
      </c>
      <c r="S18" s="45">
        <v>12</v>
      </c>
      <c r="T18" s="45">
        <v>12</v>
      </c>
      <c r="U18" s="45">
        <v>12</v>
      </c>
      <c r="V18" s="45">
        <v>12</v>
      </c>
      <c r="W18" s="45">
        <v>12</v>
      </c>
      <c r="X18" s="45">
        <v>12</v>
      </c>
      <c r="Y18" s="45">
        <v>12</v>
      </c>
      <c r="Z18" s="45">
        <v>12</v>
      </c>
      <c r="AA18" s="45">
        <v>12</v>
      </c>
      <c r="AB18" s="45">
        <v>12</v>
      </c>
      <c r="AC18" s="45">
        <v>12</v>
      </c>
      <c r="AD18" s="45">
        <v>12</v>
      </c>
      <c r="AE18" s="45">
        <v>12</v>
      </c>
      <c r="AF18" s="45">
        <v>12</v>
      </c>
      <c r="AG18" s="49">
        <v>42</v>
      </c>
      <c r="AH18" s="47">
        <f t="shared" si="2"/>
        <v>13</v>
      </c>
      <c r="AI18" s="48">
        <f t="shared" si="3"/>
        <v>11.5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17</v>
      </c>
      <c r="C19" s="45">
        <v>17</v>
      </c>
      <c r="D19" s="45">
        <v>17</v>
      </c>
      <c r="E19" s="45">
        <v>17</v>
      </c>
      <c r="F19" s="45">
        <v>17</v>
      </c>
      <c r="G19" s="45">
        <v>17</v>
      </c>
      <c r="H19" s="45">
        <v>17</v>
      </c>
      <c r="I19" s="45">
        <v>17</v>
      </c>
      <c r="J19" s="45">
        <v>17</v>
      </c>
      <c r="K19" s="45">
        <v>17</v>
      </c>
      <c r="L19" s="45">
        <v>17</v>
      </c>
      <c r="M19" s="45">
        <v>16.5</v>
      </c>
      <c r="N19" s="45">
        <v>16.5</v>
      </c>
      <c r="O19" s="45">
        <v>16.5</v>
      </c>
      <c r="P19" s="45">
        <v>16.5</v>
      </c>
      <c r="Q19" s="45">
        <v>16.5</v>
      </c>
      <c r="R19" s="45">
        <v>16.5</v>
      </c>
      <c r="S19" s="45">
        <v>16.5</v>
      </c>
      <c r="T19" s="45">
        <v>16.5</v>
      </c>
      <c r="U19" s="45">
        <v>16.5</v>
      </c>
      <c r="V19" s="45">
        <v>16.5</v>
      </c>
      <c r="W19" s="45">
        <v>16.5</v>
      </c>
      <c r="X19" s="45">
        <v>16.5</v>
      </c>
      <c r="Y19" s="45">
        <v>16.5</v>
      </c>
      <c r="Z19" s="45">
        <v>16.5</v>
      </c>
      <c r="AA19" s="45">
        <v>16.5</v>
      </c>
      <c r="AB19" s="45">
        <v>16.5</v>
      </c>
      <c r="AC19" s="45">
        <v>16.5</v>
      </c>
      <c r="AD19" s="45">
        <v>16.5</v>
      </c>
      <c r="AE19" s="45">
        <v>16.5</v>
      </c>
      <c r="AF19" s="45">
        <v>16.5</v>
      </c>
      <c r="AG19" s="49">
        <v>38.46</v>
      </c>
      <c r="AH19" s="47">
        <f t="shared" si="2"/>
        <v>17</v>
      </c>
      <c r="AI19" s="48">
        <f t="shared" si="3"/>
        <v>16.5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12.8</v>
      </c>
      <c r="N20" s="45">
        <v>12.8</v>
      </c>
      <c r="O20" s="45">
        <v>12.8</v>
      </c>
      <c r="P20" s="45">
        <v>12.8</v>
      </c>
      <c r="Q20" s="45">
        <v>12.8</v>
      </c>
      <c r="R20" s="45">
        <v>12.8</v>
      </c>
      <c r="S20" s="45">
        <v>12.8</v>
      </c>
      <c r="T20" s="45">
        <v>12.8</v>
      </c>
      <c r="U20" s="45">
        <v>12.8</v>
      </c>
      <c r="V20" s="45">
        <v>12.8</v>
      </c>
      <c r="W20" s="45">
        <v>12.8</v>
      </c>
      <c r="X20" s="45">
        <v>12.8</v>
      </c>
      <c r="Y20" s="45">
        <v>12.8</v>
      </c>
      <c r="Z20" s="45">
        <v>12.8</v>
      </c>
      <c r="AA20" s="45">
        <v>12.8</v>
      </c>
      <c r="AB20" s="45">
        <v>12.8</v>
      </c>
      <c r="AC20" s="45">
        <v>12.8</v>
      </c>
      <c r="AD20" s="45">
        <v>12.8</v>
      </c>
      <c r="AE20" s="45">
        <v>12.8</v>
      </c>
      <c r="AF20" s="45">
        <v>12.8</v>
      </c>
      <c r="AG20" s="49">
        <v>38.46</v>
      </c>
      <c r="AH20" s="47">
        <f t="shared" si="2"/>
        <v>13</v>
      </c>
      <c r="AI20" s="48">
        <f t="shared" si="3"/>
        <v>12.8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11.8</v>
      </c>
      <c r="C22" s="45">
        <v>11.8</v>
      </c>
      <c r="D22" s="45">
        <v>11.8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2">
        <v>30</v>
      </c>
      <c r="AH22" s="47">
        <f t="shared" si="2"/>
        <v>12</v>
      </c>
      <c r="AI22" s="48">
        <f t="shared" si="3"/>
        <v>11.8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13.4</v>
      </c>
      <c r="C23" s="45">
        <v>13.4</v>
      </c>
      <c r="D23" s="45">
        <v>13.4</v>
      </c>
      <c r="E23" s="45">
        <v>13.4</v>
      </c>
      <c r="F23" s="45">
        <v>13.4</v>
      </c>
      <c r="G23" s="45">
        <v>13.4</v>
      </c>
      <c r="H23" s="45">
        <v>13.4</v>
      </c>
      <c r="I23" s="45">
        <v>13.4</v>
      </c>
      <c r="J23" s="45">
        <v>13.4</v>
      </c>
      <c r="K23" s="45">
        <v>13.4</v>
      </c>
      <c r="L23" s="45">
        <v>13.4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49">
        <v>24.2</v>
      </c>
      <c r="AH23" s="47">
        <f t="shared" si="2"/>
        <v>13.4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12.4</v>
      </c>
      <c r="C24" s="45">
        <v>12.4</v>
      </c>
      <c r="D24" s="45">
        <v>12.4</v>
      </c>
      <c r="E24" s="45">
        <v>12.4</v>
      </c>
      <c r="F24" s="45">
        <v>12.4</v>
      </c>
      <c r="G24" s="45">
        <v>12.4</v>
      </c>
      <c r="H24" s="45">
        <v>12.4</v>
      </c>
      <c r="I24" s="45">
        <v>12.4</v>
      </c>
      <c r="J24" s="45">
        <v>12.4</v>
      </c>
      <c r="K24" s="45">
        <v>12.4</v>
      </c>
      <c r="L24" s="45">
        <v>12.4</v>
      </c>
      <c r="M24" s="45">
        <v>12.9</v>
      </c>
      <c r="N24" s="45">
        <v>12.9</v>
      </c>
      <c r="O24" s="45">
        <v>12.9</v>
      </c>
      <c r="P24" s="45">
        <v>12.9</v>
      </c>
      <c r="Q24" s="45">
        <v>12.9</v>
      </c>
      <c r="R24" s="45">
        <v>12.9</v>
      </c>
      <c r="S24" s="45">
        <v>12.9</v>
      </c>
      <c r="T24" s="45">
        <v>12.9</v>
      </c>
      <c r="U24" s="45">
        <v>12.9</v>
      </c>
      <c r="V24" s="45">
        <v>12.9</v>
      </c>
      <c r="W24" s="45">
        <v>12.9</v>
      </c>
      <c r="X24" s="45">
        <v>12.9</v>
      </c>
      <c r="Y24" s="45">
        <v>12.9</v>
      </c>
      <c r="Z24" s="45">
        <v>12.9</v>
      </c>
      <c r="AA24" s="45">
        <v>12.9</v>
      </c>
      <c r="AB24" s="45">
        <v>12.9</v>
      </c>
      <c r="AC24" s="45">
        <v>12.9</v>
      </c>
      <c r="AD24" s="45">
        <v>12.9</v>
      </c>
      <c r="AE24" s="45">
        <v>12.9</v>
      </c>
      <c r="AF24" s="45">
        <v>12.9</v>
      </c>
      <c r="AG24" s="49">
        <v>28</v>
      </c>
      <c r="AH24" s="47">
        <f t="shared" si="2"/>
        <v>12.9</v>
      </c>
      <c r="AI24" s="48">
        <f t="shared" si="3"/>
        <v>12.4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9.8000000000000007</v>
      </c>
      <c r="C25" s="45">
        <v>9.8000000000000007</v>
      </c>
      <c r="D25" s="45">
        <v>9.8000000000000007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9.5</v>
      </c>
      <c r="N25" s="45">
        <v>9.5</v>
      </c>
      <c r="O25" s="45">
        <v>9.5</v>
      </c>
      <c r="P25" s="45">
        <v>9.5</v>
      </c>
      <c r="Q25" s="45">
        <v>9.5</v>
      </c>
      <c r="R25" s="45">
        <v>9.5</v>
      </c>
      <c r="S25" s="45">
        <v>9.5</v>
      </c>
      <c r="T25" s="45">
        <v>9.5</v>
      </c>
      <c r="U25" s="45">
        <v>9.5</v>
      </c>
      <c r="V25" s="45">
        <v>9.5</v>
      </c>
      <c r="W25" s="45">
        <v>9.5</v>
      </c>
      <c r="X25" s="45">
        <v>9.5</v>
      </c>
      <c r="Y25" s="45">
        <v>9.5</v>
      </c>
      <c r="Z25" s="45">
        <v>9.5</v>
      </c>
      <c r="AA25" s="45">
        <v>9.5</v>
      </c>
      <c r="AB25" s="45">
        <v>9.5</v>
      </c>
      <c r="AC25" s="45">
        <v>9.5</v>
      </c>
      <c r="AD25" s="45">
        <v>9.5</v>
      </c>
      <c r="AE25" s="45">
        <v>9.5</v>
      </c>
      <c r="AF25" s="45">
        <v>9.5</v>
      </c>
      <c r="AG25" s="52">
        <v>30</v>
      </c>
      <c r="AH25" s="47">
        <f t="shared" si="2"/>
        <v>10</v>
      </c>
      <c r="AI25" s="48">
        <f t="shared" si="3"/>
        <v>9.5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8.8000000000000007</v>
      </c>
      <c r="C26" s="45">
        <v>8.8000000000000007</v>
      </c>
      <c r="D26" s="45">
        <v>8.8000000000000007</v>
      </c>
      <c r="E26" s="45">
        <v>8.8000000000000007</v>
      </c>
      <c r="F26" s="45">
        <v>8.8000000000000007</v>
      </c>
      <c r="G26" s="45">
        <v>8.8000000000000007</v>
      </c>
      <c r="H26" s="45">
        <v>8.8000000000000007</v>
      </c>
      <c r="I26" s="45">
        <v>8.8000000000000007</v>
      </c>
      <c r="J26" s="45">
        <v>8.8000000000000007</v>
      </c>
      <c r="K26" s="45">
        <v>8.8000000000000007</v>
      </c>
      <c r="L26" s="45">
        <v>8.8000000000000007</v>
      </c>
      <c r="M26" s="45">
        <v>12.1</v>
      </c>
      <c r="N26" s="45">
        <v>12.1</v>
      </c>
      <c r="O26" s="45">
        <v>12.1</v>
      </c>
      <c r="P26" s="45">
        <v>12.1</v>
      </c>
      <c r="Q26" s="45">
        <v>12.1</v>
      </c>
      <c r="R26" s="45">
        <v>12.1</v>
      </c>
      <c r="S26" s="45">
        <v>12.1</v>
      </c>
      <c r="T26" s="45">
        <v>12.1</v>
      </c>
      <c r="U26" s="45">
        <v>12.1</v>
      </c>
      <c r="V26" s="45">
        <v>12.1</v>
      </c>
      <c r="W26" s="45">
        <v>12.1</v>
      </c>
      <c r="X26" s="45">
        <v>12.1</v>
      </c>
      <c r="Y26" s="45">
        <v>12.1</v>
      </c>
      <c r="Z26" s="45">
        <v>12.1</v>
      </c>
      <c r="AA26" s="45">
        <v>12.1</v>
      </c>
      <c r="AB26" s="45">
        <v>12.1</v>
      </c>
      <c r="AC26" s="45">
        <v>12.1</v>
      </c>
      <c r="AD26" s="45">
        <v>12.1</v>
      </c>
      <c r="AE26" s="45">
        <v>12.1</v>
      </c>
      <c r="AF26" s="45">
        <v>12.1</v>
      </c>
      <c r="AG26" s="49">
        <v>25</v>
      </c>
      <c r="AH26" s="47">
        <f t="shared" si="2"/>
        <v>12.1</v>
      </c>
      <c r="AI26" s="48">
        <f t="shared" si="3"/>
        <v>8.8000000000000007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12.2</v>
      </c>
      <c r="C29" s="45">
        <v>12.2</v>
      </c>
      <c r="D29" s="45">
        <v>12.2</v>
      </c>
      <c r="E29" s="45">
        <v>12.2</v>
      </c>
      <c r="F29" s="45">
        <v>12.2</v>
      </c>
      <c r="G29" s="45">
        <v>12.2</v>
      </c>
      <c r="H29" s="45">
        <v>12.2</v>
      </c>
      <c r="I29" s="45">
        <v>12.2</v>
      </c>
      <c r="J29" s="45">
        <v>12.2</v>
      </c>
      <c r="K29" s="45">
        <v>12.2</v>
      </c>
      <c r="L29" s="45">
        <v>12.2</v>
      </c>
      <c r="M29" s="45">
        <v>12.2</v>
      </c>
      <c r="N29" s="45">
        <v>12.2</v>
      </c>
      <c r="O29" s="45">
        <v>12.2</v>
      </c>
      <c r="P29" s="45">
        <v>12.2</v>
      </c>
      <c r="Q29" s="45">
        <v>12.2</v>
      </c>
      <c r="R29" s="45">
        <v>12.2</v>
      </c>
      <c r="S29" s="45">
        <v>12.2</v>
      </c>
      <c r="T29" s="45">
        <v>12.2</v>
      </c>
      <c r="U29" s="45">
        <v>12.2</v>
      </c>
      <c r="V29" s="45">
        <v>12.2</v>
      </c>
      <c r="W29" s="45">
        <v>12.2</v>
      </c>
      <c r="X29" s="45">
        <v>12.2</v>
      </c>
      <c r="Y29" s="45">
        <v>12.2</v>
      </c>
      <c r="Z29" s="45">
        <v>12.2</v>
      </c>
      <c r="AA29" s="45">
        <v>12.2</v>
      </c>
      <c r="AB29" s="45">
        <v>12.2</v>
      </c>
      <c r="AC29" s="45">
        <v>12.2</v>
      </c>
      <c r="AD29" s="45">
        <v>12.2</v>
      </c>
      <c r="AE29" s="45">
        <v>12.2</v>
      </c>
      <c r="AF29" s="45">
        <v>12.2</v>
      </c>
      <c r="AG29" s="49">
        <v>25</v>
      </c>
      <c r="AH29" s="47">
        <f t="shared" si="2"/>
        <v>12.2</v>
      </c>
      <c r="AI29" s="48">
        <f t="shared" si="3"/>
        <v>12.2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11.4</v>
      </c>
      <c r="C30" s="45">
        <v>11.4</v>
      </c>
      <c r="D30" s="45">
        <v>11.4</v>
      </c>
      <c r="E30" s="45">
        <v>11.4</v>
      </c>
      <c r="F30" s="45">
        <v>11.4</v>
      </c>
      <c r="G30" s="45">
        <v>11.4</v>
      </c>
      <c r="H30" s="45">
        <v>0.6</v>
      </c>
      <c r="I30" s="45">
        <v>1.9</v>
      </c>
      <c r="J30" s="45">
        <v>1.9</v>
      </c>
      <c r="K30" s="45">
        <v>1.1000000000000001</v>
      </c>
      <c r="L30" s="45">
        <v>1.1000000000000001</v>
      </c>
      <c r="M30" s="45">
        <v>1.1000000000000001</v>
      </c>
      <c r="N30" s="45">
        <v>1.1000000000000001</v>
      </c>
      <c r="O30" s="45">
        <v>1.1000000000000001</v>
      </c>
      <c r="P30" s="45">
        <v>1.1000000000000001</v>
      </c>
      <c r="Q30" s="45">
        <v>1.1000000000000001</v>
      </c>
      <c r="R30" s="45">
        <v>1.1000000000000001</v>
      </c>
      <c r="S30" s="45">
        <v>1.1000000000000001</v>
      </c>
      <c r="T30" s="45">
        <v>1.1000000000000001</v>
      </c>
      <c r="U30" s="45">
        <v>1.1000000000000001</v>
      </c>
      <c r="V30" s="45">
        <v>1.1000000000000001</v>
      </c>
      <c r="W30" s="45">
        <v>1.1000000000000001</v>
      </c>
      <c r="X30" s="45">
        <v>1.1000000000000001</v>
      </c>
      <c r="Y30" s="45">
        <v>1.1000000000000001</v>
      </c>
      <c r="Z30" s="45">
        <v>1.1000000000000001</v>
      </c>
      <c r="AA30" s="45">
        <v>1.1000000000000001</v>
      </c>
      <c r="AB30" s="45">
        <v>1.1000000000000001</v>
      </c>
      <c r="AC30" s="45">
        <v>1.1000000000000001</v>
      </c>
      <c r="AD30" s="45">
        <v>1.1000000000000001</v>
      </c>
      <c r="AE30" s="45">
        <v>1.1000000000000001</v>
      </c>
      <c r="AF30" s="45">
        <v>1.1000000000000001</v>
      </c>
      <c r="AG30" s="49">
        <v>23.5</v>
      </c>
      <c r="AH30" s="47">
        <f t="shared" si="2"/>
        <v>11.4</v>
      </c>
      <c r="AI30" s="48">
        <f t="shared" si="3"/>
        <v>0.6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49">
        <v>22</v>
      </c>
      <c r="AH33" s="47">
        <f t="shared" si="2"/>
        <v>7</v>
      </c>
      <c r="AI33" s="48">
        <f t="shared" si="3"/>
        <v>7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12.1</v>
      </c>
      <c r="C34" s="45">
        <v>12.1</v>
      </c>
      <c r="D34" s="45">
        <v>12.1</v>
      </c>
      <c r="E34" s="45">
        <v>12.1</v>
      </c>
      <c r="F34" s="45">
        <v>12.1</v>
      </c>
      <c r="G34" s="45">
        <v>12.1</v>
      </c>
      <c r="H34" s="45">
        <v>12.1</v>
      </c>
      <c r="I34" s="45">
        <v>12.1</v>
      </c>
      <c r="J34" s="45">
        <v>12.1</v>
      </c>
      <c r="K34" s="45">
        <v>12.1</v>
      </c>
      <c r="L34" s="45">
        <v>12.1</v>
      </c>
      <c r="M34" s="45">
        <v>12.1</v>
      </c>
      <c r="N34" s="45">
        <v>12.1</v>
      </c>
      <c r="O34" s="45">
        <v>12.1</v>
      </c>
      <c r="P34" s="45">
        <v>12.1</v>
      </c>
      <c r="Q34" s="45">
        <v>12.1</v>
      </c>
      <c r="R34" s="45">
        <v>12.1</v>
      </c>
      <c r="S34" s="45">
        <v>12.1</v>
      </c>
      <c r="T34" s="45">
        <v>12.1</v>
      </c>
      <c r="U34" s="45">
        <v>12.1</v>
      </c>
      <c r="V34" s="45">
        <v>12.1</v>
      </c>
      <c r="W34" s="45">
        <v>12.1</v>
      </c>
      <c r="X34" s="45">
        <v>12.1</v>
      </c>
      <c r="Y34" s="45">
        <v>12.1</v>
      </c>
      <c r="Z34" s="45">
        <v>12.1</v>
      </c>
      <c r="AA34" s="45">
        <v>12.1</v>
      </c>
      <c r="AB34" s="45">
        <v>12.1</v>
      </c>
      <c r="AC34" s="45">
        <v>12.1</v>
      </c>
      <c r="AD34" s="45">
        <v>12.1</v>
      </c>
      <c r="AE34" s="45">
        <v>12.1</v>
      </c>
      <c r="AF34" s="45">
        <v>12.1</v>
      </c>
      <c r="AG34" s="49">
        <v>22</v>
      </c>
      <c r="AH34" s="47">
        <f t="shared" si="2"/>
        <v>12.1</v>
      </c>
      <c r="AI34" s="48">
        <f t="shared" si="3"/>
        <v>12.1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3.7</v>
      </c>
      <c r="C50" s="45">
        <v>3.7</v>
      </c>
      <c r="D50" s="45">
        <v>3.7</v>
      </c>
      <c r="E50" s="45">
        <v>3.7</v>
      </c>
      <c r="F50" s="45">
        <v>3.7</v>
      </c>
      <c r="G50" s="45">
        <v>3.7</v>
      </c>
      <c r="H50" s="45">
        <v>3.7</v>
      </c>
      <c r="I50" s="45">
        <v>3.7</v>
      </c>
      <c r="J50" s="45">
        <v>3.7</v>
      </c>
      <c r="K50" s="45">
        <v>3.7</v>
      </c>
      <c r="L50" s="45">
        <v>3.7</v>
      </c>
      <c r="M50" s="45">
        <v>3.7</v>
      </c>
      <c r="N50" s="45">
        <v>3.7</v>
      </c>
      <c r="O50" s="45">
        <v>3.7</v>
      </c>
      <c r="P50" s="45">
        <v>3.7</v>
      </c>
      <c r="Q50" s="45">
        <v>3.7</v>
      </c>
      <c r="R50" s="45">
        <v>3.7</v>
      </c>
      <c r="S50" s="45">
        <v>3.7</v>
      </c>
      <c r="T50" s="45">
        <v>3.7</v>
      </c>
      <c r="U50" s="45">
        <v>3.7</v>
      </c>
      <c r="V50" s="45">
        <v>3.7</v>
      </c>
      <c r="W50" s="45">
        <v>3.7</v>
      </c>
      <c r="X50" s="45">
        <v>3.7</v>
      </c>
      <c r="Y50" s="45">
        <v>3.7</v>
      </c>
      <c r="Z50" s="45">
        <v>3.7</v>
      </c>
      <c r="AA50" s="45">
        <v>3.7</v>
      </c>
      <c r="AB50" s="45">
        <v>3.7</v>
      </c>
      <c r="AC50" s="45">
        <v>3.7</v>
      </c>
      <c r="AD50" s="45">
        <v>3.7</v>
      </c>
      <c r="AE50" s="45">
        <v>3.7</v>
      </c>
      <c r="AF50" s="45">
        <v>3.7</v>
      </c>
      <c r="AG50" s="55">
        <v>11</v>
      </c>
      <c r="AH50" s="47">
        <f t="shared" si="2"/>
        <v>3.7</v>
      </c>
      <c r="AI50" s="48">
        <f t="shared" si="3"/>
        <v>3.7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4.5999999999999996</v>
      </c>
      <c r="C52" s="45">
        <v>4.5999999999999996</v>
      </c>
      <c r="D52" s="45">
        <v>4.5999999999999996</v>
      </c>
      <c r="E52" s="45">
        <v>4.5999999999999996</v>
      </c>
      <c r="F52" s="45">
        <v>4.5999999999999996</v>
      </c>
      <c r="G52" s="45">
        <v>4.5999999999999996</v>
      </c>
      <c r="H52" s="45">
        <v>4.5999999999999996</v>
      </c>
      <c r="I52" s="45">
        <v>4.5999999999999996</v>
      </c>
      <c r="J52" s="45">
        <v>4.5999999999999996</v>
      </c>
      <c r="K52" s="45">
        <v>4.5999999999999996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s="45">
        <v>0</v>
      </c>
      <c r="S52" s="45">
        <v>0</v>
      </c>
      <c r="T52" s="45">
        <v>0</v>
      </c>
      <c r="U52" s="45">
        <v>0</v>
      </c>
      <c r="V52" s="45">
        <v>0</v>
      </c>
      <c r="W52" s="45">
        <v>0</v>
      </c>
      <c r="X52" s="45">
        <v>0</v>
      </c>
      <c r="Y52" s="45">
        <v>0</v>
      </c>
      <c r="Z52" s="45">
        <v>0</v>
      </c>
      <c r="AA52" s="45">
        <v>0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55">
        <v>10</v>
      </c>
      <c r="AH52" s="47">
        <f t="shared" si="2"/>
        <v>4.5999999999999996</v>
      </c>
      <c r="AI52" s="48">
        <f t="shared" si="3"/>
        <v>0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v>30.5</v>
      </c>
      <c r="C57" s="57">
        <v>30.5</v>
      </c>
      <c r="D57" s="57">
        <v>30.5</v>
      </c>
      <c r="E57" s="57">
        <f>9.1+26.6</f>
        <v>35.700000000000003</v>
      </c>
      <c r="F57" s="57">
        <f>9.4+27.3</f>
        <v>36.700000000000003</v>
      </c>
      <c r="G57" s="57">
        <f>8.8+25.5</f>
        <v>34.299999999999997</v>
      </c>
      <c r="H57" s="57">
        <f>8.9+26.2</f>
        <v>35.1</v>
      </c>
      <c r="I57" s="57">
        <f>8.5+25</f>
        <v>33.5</v>
      </c>
      <c r="J57" s="57">
        <f>8.3+23.8</f>
        <v>32.1</v>
      </c>
      <c r="K57" s="51">
        <f>8.4+23.9</f>
        <v>32.299999999999997</v>
      </c>
      <c r="L57" s="51">
        <f>8.5+25</f>
        <v>33.5</v>
      </c>
      <c r="M57" s="51">
        <v>35.700000000000003</v>
      </c>
      <c r="N57" s="51">
        <v>35.700000000000003</v>
      </c>
      <c r="O57" s="51">
        <v>35.700000000000003</v>
      </c>
      <c r="P57" s="51">
        <v>35.700000000000003</v>
      </c>
      <c r="Q57" s="51">
        <v>37.700000000000003</v>
      </c>
      <c r="R57" s="51">
        <v>37.700000000000003</v>
      </c>
      <c r="S57" s="51">
        <v>37.700000000000003</v>
      </c>
      <c r="T57" s="51">
        <v>37.700000000000003</v>
      </c>
      <c r="U57" s="51">
        <v>37.700000000000003</v>
      </c>
      <c r="V57" s="51">
        <v>30</v>
      </c>
      <c r="W57" s="51">
        <v>30</v>
      </c>
      <c r="X57" s="57">
        <v>30</v>
      </c>
      <c r="Y57" s="57">
        <v>30</v>
      </c>
      <c r="Z57" s="57">
        <v>30</v>
      </c>
      <c r="AA57" s="57">
        <v>30</v>
      </c>
      <c r="AB57" s="57">
        <v>33.5</v>
      </c>
      <c r="AC57" s="57">
        <v>33.5</v>
      </c>
      <c r="AD57" s="57">
        <v>33.5</v>
      </c>
      <c r="AE57" s="57">
        <v>33.5</v>
      </c>
      <c r="AF57" s="57">
        <v>33.5</v>
      </c>
      <c r="AG57" s="55">
        <v>240</v>
      </c>
      <c r="AH57" s="47">
        <f t="shared" si="2"/>
        <v>37.700000000000003</v>
      </c>
      <c r="AI57" s="48">
        <f t="shared" si="3"/>
        <v>30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641.10000000000014</v>
      </c>
      <c r="C58" s="60">
        <f t="shared" si="4"/>
        <v>641.10000000000014</v>
      </c>
      <c r="D58" s="60">
        <f t="shared" ref="D58:AF58" si="5">SUM(D11:D56)</f>
        <v>641.10000000000014</v>
      </c>
      <c r="E58" s="60">
        <f t="shared" si="5"/>
        <v>644.5</v>
      </c>
      <c r="F58" s="60">
        <f t="shared" si="5"/>
        <v>644.5</v>
      </c>
      <c r="G58" s="60">
        <f t="shared" si="5"/>
        <v>644.5</v>
      </c>
      <c r="H58" s="60">
        <f t="shared" si="5"/>
        <v>633.70000000000005</v>
      </c>
      <c r="I58" s="60">
        <f t="shared" si="5"/>
        <v>635</v>
      </c>
      <c r="J58" s="60">
        <f t="shared" si="5"/>
        <v>635</v>
      </c>
      <c r="K58" s="60">
        <f t="shared" si="5"/>
        <v>624.40000000000009</v>
      </c>
      <c r="L58" s="60">
        <f t="shared" si="5"/>
        <v>619.80000000000007</v>
      </c>
      <c r="M58" s="60">
        <f t="shared" ref="M58" si="6">SUM(M11:M56)</f>
        <v>628.40000000000009</v>
      </c>
      <c r="N58" s="60">
        <f t="shared" si="5"/>
        <v>628.40000000000009</v>
      </c>
      <c r="O58" s="60">
        <f t="shared" si="5"/>
        <v>628.40000000000009</v>
      </c>
      <c r="P58" s="60">
        <f t="shared" si="5"/>
        <v>628.40000000000009</v>
      </c>
      <c r="Q58" s="60">
        <f t="shared" si="5"/>
        <v>628.40000000000009</v>
      </c>
      <c r="R58" s="60">
        <f t="shared" si="5"/>
        <v>628.40000000000009</v>
      </c>
      <c r="S58" s="60">
        <f t="shared" ref="S58:T58" si="7">SUM(S11:S56)</f>
        <v>628.40000000000009</v>
      </c>
      <c r="T58" s="60">
        <f t="shared" si="7"/>
        <v>628.40000000000009</v>
      </c>
      <c r="U58" s="60">
        <f t="shared" ref="U58:V58" si="8">SUM(U11:U56)</f>
        <v>628.40000000000009</v>
      </c>
      <c r="V58" s="60">
        <f t="shared" si="8"/>
        <v>628.40000000000009</v>
      </c>
      <c r="W58" s="60">
        <f t="shared" ref="W58:X58" si="9">SUM(W11:W56)</f>
        <v>628.40000000000009</v>
      </c>
      <c r="X58" s="60">
        <f t="shared" si="9"/>
        <v>628.40000000000009</v>
      </c>
      <c r="Y58" s="60">
        <f t="shared" ref="Y58:Z58" si="10">SUM(Y11:Y56)</f>
        <v>628.40000000000009</v>
      </c>
      <c r="Z58" s="60">
        <f t="shared" si="10"/>
        <v>628.40000000000009</v>
      </c>
      <c r="AA58" s="60">
        <f t="shared" ref="AA58" si="11">SUM(AA11:AA56)</f>
        <v>628.40000000000009</v>
      </c>
      <c r="AB58" s="60">
        <f t="shared" si="5"/>
        <v>625.60000000000014</v>
      </c>
      <c r="AC58" s="60">
        <f t="shared" si="5"/>
        <v>625.60000000000014</v>
      </c>
      <c r="AD58" s="60">
        <f t="shared" si="5"/>
        <v>625.60000000000014</v>
      </c>
      <c r="AE58" s="60">
        <f t="shared" si="5"/>
        <v>625.60000000000014</v>
      </c>
      <c r="AF58" s="60">
        <f t="shared" si="5"/>
        <v>625.60000000000014</v>
      </c>
      <c r="AG58" s="61">
        <f>SUM(AG14:AG56)</f>
        <v>1042.4000000000001</v>
      </c>
      <c r="AH58" s="47">
        <f t="shared" si="2"/>
        <v>644.5</v>
      </c>
      <c r="AI58" s="48">
        <f t="shared" si="3"/>
        <v>619.80000000000007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25</v>
      </c>
      <c r="H59" s="45">
        <v>100</v>
      </c>
      <c r="I59" s="45">
        <v>70</v>
      </c>
      <c r="J59" s="45">
        <v>135</v>
      </c>
      <c r="K59" s="45">
        <v>190</v>
      </c>
      <c r="L59" s="45">
        <v>380</v>
      </c>
      <c r="M59" s="45">
        <v>380</v>
      </c>
      <c r="N59" s="63">
        <v>340</v>
      </c>
      <c r="O59" s="63">
        <v>80</v>
      </c>
      <c r="P59" s="63">
        <v>80</v>
      </c>
      <c r="Q59" s="63">
        <v>15</v>
      </c>
      <c r="R59" s="63">
        <v>0</v>
      </c>
      <c r="S59" s="63">
        <v>0</v>
      </c>
      <c r="T59" s="63">
        <v>0</v>
      </c>
      <c r="U59" s="63">
        <v>0</v>
      </c>
      <c r="V59" s="63">
        <v>340</v>
      </c>
      <c r="W59" s="63">
        <v>370</v>
      </c>
      <c r="X59" s="45">
        <v>456</v>
      </c>
      <c r="Y59" s="45">
        <v>100</v>
      </c>
      <c r="Z59" s="45">
        <v>100</v>
      </c>
      <c r="AA59" s="45">
        <v>100</v>
      </c>
      <c r="AB59" s="45">
        <v>70</v>
      </c>
      <c r="AC59" s="45">
        <v>20</v>
      </c>
      <c r="AD59" s="45">
        <v>0</v>
      </c>
      <c r="AE59" s="45">
        <v>0</v>
      </c>
      <c r="AF59" s="45">
        <v>0</v>
      </c>
      <c r="AG59" s="52">
        <v>456</v>
      </c>
      <c r="AH59" s="47">
        <f t="shared" si="2"/>
        <v>456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42</v>
      </c>
      <c r="C60" s="65">
        <v>42</v>
      </c>
      <c r="D60" s="65">
        <v>42</v>
      </c>
      <c r="E60" s="65">
        <v>42</v>
      </c>
      <c r="F60" s="65">
        <v>42</v>
      </c>
      <c r="G60" s="65">
        <v>42</v>
      </c>
      <c r="H60" s="65">
        <v>42</v>
      </c>
      <c r="I60" s="65">
        <v>42</v>
      </c>
      <c r="J60" s="65">
        <v>42</v>
      </c>
      <c r="K60" s="65">
        <v>42</v>
      </c>
      <c r="L60" s="65">
        <v>42</v>
      </c>
      <c r="M60" s="65">
        <v>42</v>
      </c>
      <c r="N60" s="65">
        <v>42</v>
      </c>
      <c r="O60" s="65">
        <v>42</v>
      </c>
      <c r="P60" s="65">
        <v>42</v>
      </c>
      <c r="Q60" s="65">
        <v>42</v>
      </c>
      <c r="R60" s="65">
        <v>42</v>
      </c>
      <c r="S60" s="65">
        <v>42</v>
      </c>
      <c r="T60" s="65">
        <v>42</v>
      </c>
      <c r="U60" s="65">
        <v>42</v>
      </c>
      <c r="V60" s="65">
        <v>42</v>
      </c>
      <c r="W60" s="65">
        <v>42</v>
      </c>
      <c r="X60" s="65">
        <v>42</v>
      </c>
      <c r="Y60" s="65">
        <v>42</v>
      </c>
      <c r="Z60" s="65">
        <v>42</v>
      </c>
      <c r="AA60" s="65">
        <v>42</v>
      </c>
      <c r="AB60" s="65">
        <v>42</v>
      </c>
      <c r="AC60" s="65">
        <v>42</v>
      </c>
      <c r="AD60" s="65">
        <v>42</v>
      </c>
      <c r="AE60" s="65">
        <v>42</v>
      </c>
      <c r="AF60" s="65">
        <v>42</v>
      </c>
      <c r="AG60" s="55">
        <v>60</v>
      </c>
      <c r="AH60" s="47">
        <f t="shared" si="2"/>
        <v>42</v>
      </c>
      <c r="AI60" s="48">
        <f t="shared" si="3"/>
        <v>42</v>
      </c>
      <c r="AK60" s="50"/>
    </row>
    <row r="61" spans="1:88" ht="15.75" thickBot="1" x14ac:dyDescent="0.3">
      <c r="A61" s="66" t="s">
        <v>61</v>
      </c>
      <c r="B61" s="67">
        <v>13.2</v>
      </c>
      <c r="C61" s="67">
        <v>13.2</v>
      </c>
      <c r="D61" s="67">
        <v>13.2</v>
      </c>
      <c r="E61" s="67">
        <v>13.1</v>
      </c>
      <c r="F61" s="67">
        <v>14.2</v>
      </c>
      <c r="G61" s="67">
        <v>14.2</v>
      </c>
      <c r="H61" s="67">
        <v>14.1</v>
      </c>
      <c r="I61" s="67">
        <v>14.1</v>
      </c>
      <c r="J61" s="67">
        <v>20.100000000000001</v>
      </c>
      <c r="K61" s="67">
        <v>20.100000000000001</v>
      </c>
      <c r="L61" s="67">
        <v>20.100000000000001</v>
      </c>
      <c r="M61" s="67">
        <v>20.100000000000001</v>
      </c>
      <c r="N61" s="67">
        <v>20</v>
      </c>
      <c r="O61" s="67">
        <v>20</v>
      </c>
      <c r="P61" s="67">
        <v>14.6</v>
      </c>
      <c r="Q61" s="67">
        <v>14.5</v>
      </c>
      <c r="R61" s="67">
        <v>14.5</v>
      </c>
      <c r="S61" s="67">
        <v>14.5</v>
      </c>
      <c r="T61" s="67">
        <v>14.5</v>
      </c>
      <c r="U61" s="67">
        <v>14.5</v>
      </c>
      <c r="V61" s="67">
        <v>14.5</v>
      </c>
      <c r="W61" s="67">
        <v>14.5</v>
      </c>
      <c r="X61" s="67">
        <v>20.100000000000001</v>
      </c>
      <c r="Y61" s="67">
        <v>20.100000000000001</v>
      </c>
      <c r="Z61" s="67">
        <v>20.100000000000001</v>
      </c>
      <c r="AA61" s="67">
        <v>20.100000000000001</v>
      </c>
      <c r="AB61" s="67">
        <v>20</v>
      </c>
      <c r="AC61" s="67">
        <v>20</v>
      </c>
      <c r="AD61" s="67">
        <v>13</v>
      </c>
      <c r="AE61" s="67">
        <v>13</v>
      </c>
      <c r="AF61" s="67">
        <v>13</v>
      </c>
      <c r="AG61" s="68">
        <v>22.1</v>
      </c>
      <c r="AH61" s="47">
        <f t="shared" si="2"/>
        <v>20.100000000000001</v>
      </c>
      <c r="AI61" s="48">
        <f t="shared" si="3"/>
        <v>13</v>
      </c>
      <c r="AK61" s="50"/>
    </row>
    <row r="62" spans="1:88" ht="15.75" thickBot="1" x14ac:dyDescent="0.3">
      <c r="A62" s="69" t="s">
        <v>62</v>
      </c>
      <c r="B62" s="60">
        <f t="shared" ref="B62:AG62" si="12">SUM(B59:B61)</f>
        <v>55.2</v>
      </c>
      <c r="C62" s="60">
        <f t="shared" si="12"/>
        <v>55.2</v>
      </c>
      <c r="D62" s="60">
        <f t="shared" si="12"/>
        <v>55.2</v>
      </c>
      <c r="E62" s="60">
        <f t="shared" si="12"/>
        <v>55.1</v>
      </c>
      <c r="F62" s="60">
        <f t="shared" si="12"/>
        <v>56.2</v>
      </c>
      <c r="G62" s="60">
        <f t="shared" si="12"/>
        <v>81.2</v>
      </c>
      <c r="H62" s="60">
        <f t="shared" si="12"/>
        <v>156.1</v>
      </c>
      <c r="I62" s="60">
        <f t="shared" si="12"/>
        <v>126.1</v>
      </c>
      <c r="J62" s="60">
        <f t="shared" si="12"/>
        <v>197.1</v>
      </c>
      <c r="K62" s="60">
        <f t="shared" si="12"/>
        <v>252.1</v>
      </c>
      <c r="L62" s="60">
        <f t="shared" si="12"/>
        <v>442.1</v>
      </c>
      <c r="M62" s="60">
        <f t="shared" ref="M62" si="13">SUM(M59:M61)</f>
        <v>442.1</v>
      </c>
      <c r="N62" s="60">
        <f t="shared" si="12"/>
        <v>402</v>
      </c>
      <c r="O62" s="60">
        <f t="shared" si="12"/>
        <v>142</v>
      </c>
      <c r="P62" s="60">
        <f t="shared" si="12"/>
        <v>136.6</v>
      </c>
      <c r="Q62" s="60">
        <f t="shared" si="12"/>
        <v>71.5</v>
      </c>
      <c r="R62" s="60">
        <f t="shared" si="12"/>
        <v>56.5</v>
      </c>
      <c r="S62" s="60">
        <f t="shared" ref="S62:T62" si="14">SUM(S59:S61)</f>
        <v>56.5</v>
      </c>
      <c r="T62" s="60">
        <f t="shared" si="14"/>
        <v>56.5</v>
      </c>
      <c r="U62" s="60">
        <f t="shared" ref="U62:V62" si="15">SUM(U59:U61)</f>
        <v>56.5</v>
      </c>
      <c r="V62" s="60">
        <f t="shared" si="15"/>
        <v>396.5</v>
      </c>
      <c r="W62" s="60">
        <f t="shared" ref="W62:X62" si="16">SUM(W59:W61)</f>
        <v>426.5</v>
      </c>
      <c r="X62" s="60">
        <f t="shared" si="16"/>
        <v>518.1</v>
      </c>
      <c r="Y62" s="60">
        <f t="shared" ref="Y62:Z62" si="17">SUM(Y59:Y61)</f>
        <v>162.1</v>
      </c>
      <c r="Z62" s="60">
        <f t="shared" si="17"/>
        <v>162.1</v>
      </c>
      <c r="AA62" s="60">
        <f t="shared" ref="AA62" si="18">SUM(AA59:AA61)</f>
        <v>162.1</v>
      </c>
      <c r="AB62" s="60">
        <f t="shared" si="12"/>
        <v>132</v>
      </c>
      <c r="AC62" s="60">
        <f t="shared" si="12"/>
        <v>82</v>
      </c>
      <c r="AD62" s="60">
        <f t="shared" si="12"/>
        <v>55</v>
      </c>
      <c r="AE62" s="60">
        <f t="shared" si="12"/>
        <v>55</v>
      </c>
      <c r="AF62" s="60">
        <f t="shared" si="12"/>
        <v>55</v>
      </c>
      <c r="AG62" s="61">
        <f t="shared" si="12"/>
        <v>538.1</v>
      </c>
      <c r="AH62" s="47">
        <f t="shared" si="2"/>
        <v>518.1</v>
      </c>
      <c r="AI62" s="48">
        <f t="shared" si="3"/>
        <v>55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30.3</v>
      </c>
      <c r="H63" s="45">
        <v>61</v>
      </c>
      <c r="I63" s="45">
        <v>60.8</v>
      </c>
      <c r="J63" s="45">
        <v>112</v>
      </c>
      <c r="K63" s="45">
        <v>131.80000000000001</v>
      </c>
      <c r="L63" s="45">
        <v>144.80000000000001</v>
      </c>
      <c r="M63" s="45">
        <v>144.80000000000001</v>
      </c>
      <c r="N63" s="45">
        <v>145</v>
      </c>
      <c r="O63" s="45">
        <v>145</v>
      </c>
      <c r="P63" s="45">
        <v>143.80000000000001</v>
      </c>
      <c r="Q63" s="45">
        <v>112.2</v>
      </c>
      <c r="R63" s="45">
        <v>61</v>
      </c>
      <c r="S63" s="45">
        <v>61</v>
      </c>
      <c r="T63" s="45">
        <v>74.599999999999994</v>
      </c>
      <c r="U63" s="45">
        <v>90.9</v>
      </c>
      <c r="V63" s="45">
        <v>101.2</v>
      </c>
      <c r="W63" s="45">
        <v>134.80000000000001</v>
      </c>
      <c r="X63" s="45">
        <v>144.5</v>
      </c>
      <c r="Y63" s="45">
        <v>144.5</v>
      </c>
      <c r="Z63" s="45">
        <v>144.5</v>
      </c>
      <c r="AA63" s="45">
        <v>144.5</v>
      </c>
      <c r="AB63" s="45">
        <v>140.5</v>
      </c>
      <c r="AC63" s="45">
        <v>120</v>
      </c>
      <c r="AD63" s="45">
        <v>30</v>
      </c>
      <c r="AE63" s="45">
        <v>0</v>
      </c>
      <c r="AF63" s="45">
        <v>0</v>
      </c>
      <c r="AG63" s="52">
        <v>144</v>
      </c>
      <c r="AH63" s="47">
        <f t="shared" si="2"/>
        <v>145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25</v>
      </c>
      <c r="C64" s="65">
        <v>24.6</v>
      </c>
      <c r="D64" s="65">
        <v>25</v>
      </c>
      <c r="E64" s="65">
        <v>26.2</v>
      </c>
      <c r="F64" s="65">
        <v>0</v>
      </c>
      <c r="G64" s="65">
        <v>24.6</v>
      </c>
      <c r="H64" s="65">
        <v>24.8</v>
      </c>
      <c r="I64" s="65">
        <v>24.8</v>
      </c>
      <c r="J64" s="65">
        <v>49.9</v>
      </c>
      <c r="K64" s="65">
        <v>50.1</v>
      </c>
      <c r="L64" s="65">
        <v>70</v>
      </c>
      <c r="M64" s="65">
        <v>70</v>
      </c>
      <c r="N64" s="65">
        <v>71</v>
      </c>
      <c r="O64" s="65">
        <v>71</v>
      </c>
      <c r="P64" s="65">
        <v>69.900000000000006</v>
      </c>
      <c r="Q64" s="65">
        <v>26.6</v>
      </c>
      <c r="R64" s="65">
        <v>23</v>
      </c>
      <c r="S64" s="65">
        <v>23</v>
      </c>
      <c r="T64" s="65">
        <v>35.700000000000003</v>
      </c>
      <c r="U64" s="65">
        <v>36.299999999999997</v>
      </c>
      <c r="V64" s="65">
        <v>52.6</v>
      </c>
      <c r="W64" s="65">
        <v>52.5</v>
      </c>
      <c r="X64" s="45">
        <v>68</v>
      </c>
      <c r="Y64" s="45">
        <v>68</v>
      </c>
      <c r="Z64" s="45">
        <v>68</v>
      </c>
      <c r="AA64" s="45">
        <v>68</v>
      </c>
      <c r="AB64" s="45">
        <v>64.099999999999994</v>
      </c>
      <c r="AC64" s="45">
        <v>64.099999999999994</v>
      </c>
      <c r="AD64" s="45">
        <v>26</v>
      </c>
      <c r="AE64" s="45">
        <v>0</v>
      </c>
      <c r="AF64" s="45">
        <v>0</v>
      </c>
      <c r="AG64" s="55">
        <v>70</v>
      </c>
      <c r="AH64" s="47">
        <f t="shared" si="2"/>
        <v>71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23.1</v>
      </c>
      <c r="C65" s="65">
        <v>23.2</v>
      </c>
      <c r="D65" s="65">
        <v>23.1</v>
      </c>
      <c r="E65" s="65">
        <v>46.2</v>
      </c>
      <c r="F65" s="65">
        <v>53.9</v>
      </c>
      <c r="G65" s="65">
        <v>33.700000000000003</v>
      </c>
      <c r="H65" s="65">
        <v>34.9</v>
      </c>
      <c r="I65" s="65">
        <v>34.9</v>
      </c>
      <c r="J65" s="65">
        <v>34.700000000000003</v>
      </c>
      <c r="K65" s="65">
        <v>34.6</v>
      </c>
      <c r="L65" s="65">
        <v>68.8</v>
      </c>
      <c r="M65" s="65">
        <v>68.900000000000006</v>
      </c>
      <c r="N65" s="65">
        <v>68</v>
      </c>
      <c r="O65" s="65">
        <v>68</v>
      </c>
      <c r="P65" s="65">
        <v>67.900000000000006</v>
      </c>
      <c r="Q65" s="65">
        <v>42.8</v>
      </c>
      <c r="R65" s="65">
        <v>16</v>
      </c>
      <c r="S65" s="65">
        <v>16</v>
      </c>
      <c r="T65" s="65">
        <v>46.4</v>
      </c>
      <c r="U65" s="65">
        <v>46.4</v>
      </c>
      <c r="V65" s="65">
        <v>67.599999999999994</v>
      </c>
      <c r="W65" s="65">
        <v>68.7</v>
      </c>
      <c r="X65" s="45">
        <v>68.400000000000006</v>
      </c>
      <c r="Y65" s="45">
        <v>68.400000000000006</v>
      </c>
      <c r="Z65" s="45">
        <v>68.400000000000006</v>
      </c>
      <c r="AA65" s="45">
        <v>68.400000000000006</v>
      </c>
      <c r="AB65" s="45">
        <v>66.900000000000006</v>
      </c>
      <c r="AC65" s="45">
        <v>66.900000000000006</v>
      </c>
      <c r="AD65" s="45">
        <v>34</v>
      </c>
      <c r="AE65" s="45">
        <v>46</v>
      </c>
      <c r="AF65" s="45">
        <v>34</v>
      </c>
      <c r="AG65" s="55">
        <v>69</v>
      </c>
      <c r="AH65" s="47">
        <f t="shared" si="2"/>
        <v>68.900000000000006</v>
      </c>
      <c r="AI65" s="48">
        <f t="shared" si="3"/>
        <v>16</v>
      </c>
      <c r="AK65" s="50"/>
    </row>
    <row r="66" spans="1:41" x14ac:dyDescent="0.25">
      <c r="A66" s="54" t="s">
        <v>66</v>
      </c>
      <c r="B66" s="65">
        <v>55</v>
      </c>
      <c r="C66" s="65">
        <v>55</v>
      </c>
      <c r="D66" s="65">
        <v>55</v>
      </c>
      <c r="E66" s="65">
        <v>54.4</v>
      </c>
      <c r="F66" s="65">
        <v>54.4</v>
      </c>
      <c r="G66" s="65">
        <v>56.2</v>
      </c>
      <c r="H66" s="65">
        <v>56.2</v>
      </c>
      <c r="I66" s="65">
        <v>56.2</v>
      </c>
      <c r="J66" s="65">
        <v>56.2</v>
      </c>
      <c r="K66" s="65">
        <v>56.2</v>
      </c>
      <c r="L66" s="57">
        <v>56.2</v>
      </c>
      <c r="M66" s="65">
        <v>56.2</v>
      </c>
      <c r="N66" s="65">
        <v>56.2</v>
      </c>
      <c r="O66" s="65">
        <v>56.2</v>
      </c>
      <c r="P66" s="65">
        <v>59</v>
      </c>
      <c r="Q66" s="65">
        <v>57.7</v>
      </c>
      <c r="R66" s="65">
        <v>57.7</v>
      </c>
      <c r="S66" s="65">
        <v>54.4</v>
      </c>
      <c r="T66" s="65">
        <v>53.4</v>
      </c>
      <c r="U66" s="65">
        <v>53.4</v>
      </c>
      <c r="V66" s="65">
        <v>53.9</v>
      </c>
      <c r="W66" s="65">
        <v>51.4</v>
      </c>
      <c r="X66" s="45">
        <v>51.4</v>
      </c>
      <c r="Y66" s="45">
        <v>51.4</v>
      </c>
      <c r="Z66" s="45">
        <v>51.4</v>
      </c>
      <c r="AA66" s="45">
        <v>51.4</v>
      </c>
      <c r="AB66" s="45">
        <v>54.2</v>
      </c>
      <c r="AC66" s="45">
        <v>54.2</v>
      </c>
      <c r="AD66" s="45">
        <v>54.2</v>
      </c>
      <c r="AE66" s="45">
        <v>54.2</v>
      </c>
      <c r="AF66" s="45">
        <v>54.2</v>
      </c>
      <c r="AG66" s="55">
        <v>60</v>
      </c>
      <c r="AH66" s="47">
        <f t="shared" si="2"/>
        <v>59</v>
      </c>
      <c r="AI66" s="48">
        <f t="shared" si="3"/>
        <v>51.4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15</v>
      </c>
      <c r="J67" s="65">
        <v>10</v>
      </c>
      <c r="K67" s="65">
        <v>23</v>
      </c>
      <c r="L67" s="57">
        <v>30</v>
      </c>
      <c r="M67" s="65">
        <v>30</v>
      </c>
      <c r="N67" s="65">
        <v>30</v>
      </c>
      <c r="O67" s="65">
        <v>30</v>
      </c>
      <c r="P67" s="65">
        <v>15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28</v>
      </c>
      <c r="W67" s="65">
        <v>28</v>
      </c>
      <c r="X67" s="45">
        <v>28</v>
      </c>
      <c r="Y67" s="45">
        <v>28</v>
      </c>
      <c r="Z67" s="45">
        <v>28</v>
      </c>
      <c r="AA67" s="45">
        <v>28</v>
      </c>
      <c r="AB67" s="45">
        <v>28</v>
      </c>
      <c r="AC67" s="45">
        <v>28</v>
      </c>
      <c r="AD67" s="45">
        <v>15</v>
      </c>
      <c r="AE67" s="45">
        <v>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3</v>
      </c>
      <c r="N68" s="45">
        <v>3</v>
      </c>
      <c r="O68" s="45">
        <v>3</v>
      </c>
      <c r="P68" s="65">
        <v>13.6</v>
      </c>
      <c r="Q68" s="65">
        <v>14.6</v>
      </c>
      <c r="R68" s="65">
        <v>14.6</v>
      </c>
      <c r="S68" s="65">
        <v>11.8</v>
      </c>
      <c r="T68" s="65">
        <v>4.2</v>
      </c>
      <c r="U68" s="65">
        <v>1.8</v>
      </c>
      <c r="V68" s="65">
        <v>0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14.6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16</v>
      </c>
      <c r="AI69" s="48">
        <f t="shared" si="3"/>
        <v>16</v>
      </c>
      <c r="AK69" s="50"/>
    </row>
    <row r="70" spans="1:41" x14ac:dyDescent="0.25">
      <c r="A70" s="54" t="s">
        <v>70</v>
      </c>
      <c r="B70" s="65">
        <v>3</v>
      </c>
      <c r="C70" s="65">
        <v>3</v>
      </c>
      <c r="D70" s="65">
        <v>3</v>
      </c>
      <c r="E70" s="65">
        <v>3</v>
      </c>
      <c r="F70" s="65">
        <v>3</v>
      </c>
      <c r="G70" s="65">
        <v>3</v>
      </c>
      <c r="H70" s="65">
        <v>3</v>
      </c>
      <c r="I70" s="65">
        <v>3</v>
      </c>
      <c r="J70" s="65">
        <v>3</v>
      </c>
      <c r="K70" s="65">
        <v>3</v>
      </c>
      <c r="L70" s="65">
        <v>3</v>
      </c>
      <c r="M70" s="65">
        <v>3</v>
      </c>
      <c r="N70" s="65">
        <v>3</v>
      </c>
      <c r="O70" s="65">
        <v>3</v>
      </c>
      <c r="P70" s="65">
        <v>0</v>
      </c>
      <c r="Q70" s="65">
        <v>0</v>
      </c>
      <c r="R70" s="65">
        <v>0</v>
      </c>
      <c r="S70" s="65">
        <v>0</v>
      </c>
      <c r="T70" s="65">
        <v>2.4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55">
        <v>15</v>
      </c>
      <c r="AH70" s="47">
        <f t="shared" si="2"/>
        <v>3</v>
      </c>
      <c r="AI70" s="48">
        <f t="shared" si="3"/>
        <v>0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13.7</v>
      </c>
      <c r="C71" s="65">
        <v>13.7</v>
      </c>
      <c r="D71" s="65">
        <v>13.7</v>
      </c>
      <c r="E71" s="65">
        <v>13.7</v>
      </c>
      <c r="F71" s="65">
        <v>13.7</v>
      </c>
      <c r="G71" s="65">
        <v>13.7</v>
      </c>
      <c r="H71" s="65">
        <v>13.7</v>
      </c>
      <c r="I71" s="65">
        <v>13.7</v>
      </c>
      <c r="J71" s="65">
        <v>13.7</v>
      </c>
      <c r="K71" s="65">
        <v>13.7</v>
      </c>
      <c r="L71" s="65">
        <v>13.7</v>
      </c>
      <c r="M71" s="65">
        <v>13.7</v>
      </c>
      <c r="N71" s="65">
        <v>13.7</v>
      </c>
      <c r="O71" s="65">
        <v>13.7</v>
      </c>
      <c r="P71" s="65">
        <v>11.8</v>
      </c>
      <c r="Q71" s="65">
        <v>11.1</v>
      </c>
      <c r="R71" s="65">
        <v>11.1</v>
      </c>
      <c r="S71" s="65">
        <v>11.1</v>
      </c>
      <c r="T71" s="65">
        <v>11.1</v>
      </c>
      <c r="U71" s="65">
        <v>11.1</v>
      </c>
      <c r="V71" s="65">
        <v>11.1</v>
      </c>
      <c r="W71" s="65">
        <v>11.1</v>
      </c>
      <c r="X71" s="65">
        <v>11.1</v>
      </c>
      <c r="Y71" s="65">
        <v>11.1</v>
      </c>
      <c r="Z71" s="65">
        <v>11.1</v>
      </c>
      <c r="AA71" s="65">
        <v>11.1</v>
      </c>
      <c r="AB71" s="65">
        <v>11.1</v>
      </c>
      <c r="AC71" s="65">
        <v>11.1</v>
      </c>
      <c r="AD71" s="65">
        <v>11.1</v>
      </c>
      <c r="AE71" s="65">
        <v>11.1</v>
      </c>
      <c r="AF71" s="65">
        <v>11.1</v>
      </c>
      <c r="AG71" s="55">
        <v>14.1</v>
      </c>
      <c r="AH71" s="47">
        <f t="shared" si="2"/>
        <v>13.7</v>
      </c>
      <c r="AI71" s="48">
        <f t="shared" si="3"/>
        <v>11.1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6.7</v>
      </c>
      <c r="C72" s="65">
        <v>6.7</v>
      </c>
      <c r="D72" s="65">
        <v>6.7</v>
      </c>
      <c r="E72" s="65">
        <v>6.7</v>
      </c>
      <c r="F72" s="65">
        <v>6.7</v>
      </c>
      <c r="G72" s="65">
        <v>6.7</v>
      </c>
      <c r="H72" s="65">
        <v>6.7</v>
      </c>
      <c r="I72" s="65">
        <v>6.7</v>
      </c>
      <c r="J72" s="65">
        <v>6.7</v>
      </c>
      <c r="K72" s="65">
        <v>6.7</v>
      </c>
      <c r="L72" s="65">
        <v>6.7</v>
      </c>
      <c r="M72" s="65">
        <v>5.6</v>
      </c>
      <c r="N72" s="65">
        <v>5.6</v>
      </c>
      <c r="O72" s="65">
        <v>5.6</v>
      </c>
      <c r="P72" s="65">
        <v>5.6</v>
      </c>
      <c r="Q72" s="65">
        <v>5.6</v>
      </c>
      <c r="R72" s="65">
        <v>5.6</v>
      </c>
      <c r="S72" s="65">
        <v>5.6</v>
      </c>
      <c r="T72" s="65">
        <v>5.6</v>
      </c>
      <c r="U72" s="65">
        <v>5.6</v>
      </c>
      <c r="V72" s="65">
        <v>5.6</v>
      </c>
      <c r="W72" s="65">
        <v>5.6</v>
      </c>
      <c r="X72" s="65">
        <v>5.6</v>
      </c>
      <c r="Y72" s="65">
        <v>5.6</v>
      </c>
      <c r="Z72" s="65">
        <v>5.6</v>
      </c>
      <c r="AA72" s="65">
        <v>5.6</v>
      </c>
      <c r="AB72" s="65">
        <v>5.6</v>
      </c>
      <c r="AC72" s="65">
        <v>5.6</v>
      </c>
      <c r="AD72" s="65">
        <v>5.6</v>
      </c>
      <c r="AE72" s="65">
        <v>5.6</v>
      </c>
      <c r="AF72" s="65">
        <v>5.6</v>
      </c>
      <c r="AG72" s="55">
        <v>14</v>
      </c>
      <c r="AH72" s="47">
        <f t="shared" si="2"/>
        <v>6.7</v>
      </c>
      <c r="AI72" s="48">
        <f t="shared" si="3"/>
        <v>5.6</v>
      </c>
      <c r="AK72" s="50"/>
    </row>
    <row r="73" spans="1:41" x14ac:dyDescent="0.25">
      <c r="A73" s="54" t="s">
        <v>73</v>
      </c>
      <c r="B73" s="65">
        <v>6</v>
      </c>
      <c r="C73" s="65">
        <v>6</v>
      </c>
      <c r="D73" s="65">
        <v>6</v>
      </c>
      <c r="E73" s="65">
        <v>6</v>
      </c>
      <c r="F73" s="65">
        <v>6</v>
      </c>
      <c r="G73" s="65">
        <v>6</v>
      </c>
      <c r="H73" s="65">
        <v>6</v>
      </c>
      <c r="I73" s="65">
        <v>6</v>
      </c>
      <c r="J73" s="65">
        <v>6</v>
      </c>
      <c r="K73" s="65">
        <v>6</v>
      </c>
      <c r="L73" s="65">
        <v>6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6</v>
      </c>
      <c r="V73" s="65">
        <v>6</v>
      </c>
      <c r="W73" s="65">
        <v>6</v>
      </c>
      <c r="X73" s="65">
        <v>6</v>
      </c>
      <c r="Y73" s="65">
        <v>6</v>
      </c>
      <c r="Z73" s="65">
        <v>6</v>
      </c>
      <c r="AA73" s="65">
        <v>6</v>
      </c>
      <c r="AB73" s="65">
        <v>6</v>
      </c>
      <c r="AC73" s="65">
        <v>6</v>
      </c>
      <c r="AD73" s="65">
        <v>6</v>
      </c>
      <c r="AE73" s="65">
        <v>6</v>
      </c>
      <c r="AF73" s="65">
        <v>6</v>
      </c>
      <c r="AG73" s="55">
        <v>10.050000000000001</v>
      </c>
      <c r="AH73" s="47">
        <f t="shared" si="2"/>
        <v>6</v>
      </c>
      <c r="AI73" s="48">
        <f t="shared" si="3"/>
        <v>6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AG245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9">SUM(B63:B75)</f>
        <v>155.03999999999996</v>
      </c>
      <c r="C76" s="60">
        <f t="shared" si="19"/>
        <v>154.73999999999998</v>
      </c>
      <c r="D76" s="60">
        <f t="shared" si="19"/>
        <v>155.03999999999996</v>
      </c>
      <c r="E76" s="60">
        <f t="shared" si="19"/>
        <v>178.73999999999998</v>
      </c>
      <c r="F76" s="60">
        <f t="shared" si="19"/>
        <v>160.23999999999998</v>
      </c>
      <c r="G76" s="60">
        <f t="shared" si="19"/>
        <v>206.73999999999998</v>
      </c>
      <c r="H76" s="60">
        <f t="shared" si="19"/>
        <v>243.83999999999995</v>
      </c>
      <c r="I76" s="60">
        <f t="shared" si="19"/>
        <v>243.63999999999996</v>
      </c>
      <c r="J76" s="60">
        <f t="shared" si="19"/>
        <v>314.74</v>
      </c>
      <c r="K76" s="60">
        <f t="shared" si="19"/>
        <v>347.64</v>
      </c>
      <c r="L76" s="60">
        <f t="shared" si="19"/>
        <v>421.74</v>
      </c>
      <c r="M76" s="60">
        <f t="shared" ref="M76" si="20">SUM(M63:M75)</f>
        <v>423.74000000000007</v>
      </c>
      <c r="N76" s="60">
        <f t="shared" si="19"/>
        <v>424.04</v>
      </c>
      <c r="O76" s="60">
        <f t="shared" si="19"/>
        <v>424.04</v>
      </c>
      <c r="P76" s="60">
        <f t="shared" si="19"/>
        <v>415.1400000000001</v>
      </c>
      <c r="Q76" s="60">
        <f t="shared" si="19"/>
        <v>299.14000000000004</v>
      </c>
      <c r="R76" s="60">
        <f t="shared" si="19"/>
        <v>217.53999999999996</v>
      </c>
      <c r="S76" s="60">
        <f t="shared" ref="S76:T76" si="21">SUM(S63:S75)</f>
        <v>211.44</v>
      </c>
      <c r="T76" s="60">
        <f t="shared" si="21"/>
        <v>261.94</v>
      </c>
      <c r="U76" s="60">
        <f t="shared" ref="U76:V76" si="22">SUM(U63:U75)</f>
        <v>274.04000000000002</v>
      </c>
      <c r="V76" s="60">
        <f t="shared" si="22"/>
        <v>348.54000000000008</v>
      </c>
      <c r="W76" s="60">
        <f t="shared" ref="W76:X76" si="23">SUM(W63:W75)</f>
        <v>380.64000000000004</v>
      </c>
      <c r="X76" s="60">
        <f t="shared" si="23"/>
        <v>405.54</v>
      </c>
      <c r="Y76" s="60">
        <f t="shared" ref="Y76:Z76" si="24">SUM(Y63:Y75)</f>
        <v>405.54</v>
      </c>
      <c r="Z76" s="60">
        <f t="shared" si="24"/>
        <v>405.54</v>
      </c>
      <c r="AA76" s="60">
        <f t="shared" ref="AA76" si="25">SUM(AA63:AA75)</f>
        <v>405.54</v>
      </c>
      <c r="AB76" s="60">
        <f t="shared" si="19"/>
        <v>398.94000000000005</v>
      </c>
      <c r="AC76" s="60">
        <f t="shared" si="19"/>
        <v>378.44000000000005</v>
      </c>
      <c r="AD76" s="60">
        <f t="shared" si="19"/>
        <v>204.43999999999997</v>
      </c>
      <c r="AE76" s="60">
        <f t="shared" si="19"/>
        <v>145.44</v>
      </c>
      <c r="AF76" s="60">
        <f t="shared" si="19"/>
        <v>133.43999999999997</v>
      </c>
      <c r="AG76" s="61">
        <f t="shared" si="19"/>
        <v>489.91</v>
      </c>
      <c r="AH76" s="47">
        <f t="shared" si="2"/>
        <v>424.04</v>
      </c>
      <c r="AI76" s="48">
        <f t="shared" si="3"/>
        <v>133.43999999999997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/>
      <c r="H77" s="45"/>
      <c r="I77" s="45"/>
      <c r="J77" s="45"/>
      <c r="K77" s="45"/>
      <c r="L77" s="45"/>
      <c r="M77" s="45">
        <v>10.5</v>
      </c>
      <c r="N77" s="45">
        <v>12</v>
      </c>
      <c r="O77" s="45">
        <v>29</v>
      </c>
      <c r="P77" s="45">
        <v>29</v>
      </c>
      <c r="Q77" s="45">
        <v>0</v>
      </c>
      <c r="R77" s="45"/>
      <c r="S77" s="45"/>
      <c r="T77" s="45"/>
      <c r="U77" s="45"/>
      <c r="V77" s="45">
        <v>10.8</v>
      </c>
      <c r="W77" s="45">
        <v>20.100000000000001</v>
      </c>
      <c r="X77" s="45">
        <v>39.799999999999997</v>
      </c>
      <c r="Y77" s="45">
        <v>60</v>
      </c>
      <c r="Z77" s="45">
        <v>60</v>
      </c>
      <c r="AA77" s="45">
        <v>60</v>
      </c>
      <c r="AB77" s="45">
        <v>39.200000000000003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/>
      <c r="H78" s="65"/>
      <c r="I78" s="65"/>
      <c r="J78" s="65"/>
      <c r="K78" s="65"/>
      <c r="L78" s="65"/>
      <c r="M78" s="65">
        <v>3.7</v>
      </c>
      <c r="N78" s="65">
        <v>4.2</v>
      </c>
      <c r="O78" s="65">
        <v>13.4</v>
      </c>
      <c r="P78" s="65">
        <v>14.4</v>
      </c>
      <c r="Q78" s="65">
        <v>0</v>
      </c>
      <c r="R78" s="65"/>
      <c r="S78" s="65"/>
      <c r="T78" s="65"/>
      <c r="U78" s="65"/>
      <c r="V78" s="65">
        <v>4.5999999999999996</v>
      </c>
      <c r="W78" s="65">
        <v>8.8000000000000007</v>
      </c>
      <c r="X78" s="65">
        <v>19.2</v>
      </c>
      <c r="Y78" s="65">
        <v>23.6</v>
      </c>
      <c r="Z78" s="65">
        <v>23.6</v>
      </c>
      <c r="AA78" s="65">
        <v>23.6</v>
      </c>
      <c r="AB78" s="65">
        <v>18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23.6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/>
      <c r="H79" s="67"/>
      <c r="I79" s="67"/>
      <c r="J79" s="67"/>
      <c r="K79" s="67"/>
      <c r="L79" s="67"/>
      <c r="M79" s="67">
        <v>1.4</v>
      </c>
      <c r="N79" s="67">
        <v>1.5</v>
      </c>
      <c r="O79" s="67">
        <v>4.9000000000000004</v>
      </c>
      <c r="P79" s="67">
        <v>5.3</v>
      </c>
      <c r="Q79" s="67">
        <v>0</v>
      </c>
      <c r="R79" s="67"/>
      <c r="S79" s="67"/>
      <c r="T79" s="67"/>
      <c r="U79" s="67"/>
      <c r="V79" s="67">
        <v>1.7</v>
      </c>
      <c r="W79" s="67">
        <v>3.2</v>
      </c>
      <c r="X79" s="67">
        <v>7.2</v>
      </c>
      <c r="Y79" s="67">
        <v>8.6</v>
      </c>
      <c r="Z79" s="67">
        <v>8.6</v>
      </c>
      <c r="AA79" s="67">
        <v>8.6</v>
      </c>
      <c r="AB79" s="67">
        <v>6.5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8.6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6">B77+B78+B79</f>
        <v>0</v>
      </c>
      <c r="C80" s="60">
        <f t="shared" si="26"/>
        <v>0</v>
      </c>
      <c r="D80" s="60">
        <f t="shared" si="26"/>
        <v>0</v>
      </c>
      <c r="E80" s="60">
        <f t="shared" si="26"/>
        <v>0</v>
      </c>
      <c r="F80" s="60">
        <f t="shared" si="26"/>
        <v>0</v>
      </c>
      <c r="G80" s="60">
        <f t="shared" si="26"/>
        <v>0</v>
      </c>
      <c r="H80" s="60">
        <f t="shared" si="26"/>
        <v>0</v>
      </c>
      <c r="I80" s="60">
        <f t="shared" si="26"/>
        <v>0</v>
      </c>
      <c r="J80" s="60">
        <f t="shared" si="26"/>
        <v>0</v>
      </c>
      <c r="K80" s="60">
        <f t="shared" si="26"/>
        <v>0</v>
      </c>
      <c r="L80" s="60">
        <f t="shared" si="26"/>
        <v>0</v>
      </c>
      <c r="M80" s="60">
        <f t="shared" si="26"/>
        <v>15.6</v>
      </c>
      <c r="N80" s="60">
        <f t="shared" si="26"/>
        <v>17.7</v>
      </c>
      <c r="O80" s="60">
        <f t="shared" si="26"/>
        <v>47.3</v>
      </c>
      <c r="P80" s="60">
        <f t="shared" si="26"/>
        <v>48.699999999999996</v>
      </c>
      <c r="Q80" s="60">
        <f t="shared" si="26"/>
        <v>0</v>
      </c>
      <c r="R80" s="60">
        <f t="shared" si="26"/>
        <v>0</v>
      </c>
      <c r="S80" s="60">
        <f t="shared" ref="S80:T80" si="27">S77+S78+S79</f>
        <v>0</v>
      </c>
      <c r="T80" s="60">
        <f t="shared" si="27"/>
        <v>0</v>
      </c>
      <c r="U80" s="60">
        <f t="shared" ref="U80:V80" si="28">U77+U78+U79</f>
        <v>0</v>
      </c>
      <c r="V80" s="60">
        <f t="shared" si="28"/>
        <v>17.100000000000001</v>
      </c>
      <c r="W80" s="60">
        <f t="shared" ref="W80:X80" si="29">W77+W78+W79</f>
        <v>32.1</v>
      </c>
      <c r="X80" s="60">
        <f t="shared" si="29"/>
        <v>66.2</v>
      </c>
      <c r="Y80" s="60">
        <f t="shared" ref="Y80:Z80" si="30">Y77+Y78+Y79</f>
        <v>92.199999999999989</v>
      </c>
      <c r="Z80" s="60">
        <f t="shared" si="30"/>
        <v>92.199999999999989</v>
      </c>
      <c r="AA80" s="60">
        <f t="shared" ref="AA80" si="31">AA77+AA78+AA79</f>
        <v>92.199999999999989</v>
      </c>
      <c r="AB80" s="60">
        <f t="shared" si="26"/>
        <v>63.7</v>
      </c>
      <c r="AC80" s="60">
        <f t="shared" si="26"/>
        <v>0</v>
      </c>
      <c r="AD80" s="60">
        <f t="shared" si="26"/>
        <v>0</v>
      </c>
      <c r="AE80" s="60">
        <f t="shared" si="26"/>
        <v>0</v>
      </c>
      <c r="AF80" s="60">
        <f t="shared" si="26"/>
        <v>0</v>
      </c>
      <c r="AG80" s="61">
        <f>SUM(AG77:AG79)</f>
        <v>106</v>
      </c>
      <c r="AH80" s="47">
        <f t="shared" si="2"/>
        <v>92.199999999999989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49.4</v>
      </c>
      <c r="C81" s="45">
        <v>47</v>
      </c>
      <c r="D81" s="45">
        <v>52</v>
      </c>
      <c r="E81" s="45">
        <v>42.9</v>
      </c>
      <c r="F81" s="45">
        <v>40.1</v>
      </c>
      <c r="G81" s="45">
        <v>31</v>
      </c>
      <c r="H81" s="45">
        <v>38.6</v>
      </c>
      <c r="I81" s="45">
        <v>50.4</v>
      </c>
      <c r="J81" s="45">
        <v>54.9</v>
      </c>
      <c r="K81" s="45">
        <v>48.8</v>
      </c>
      <c r="L81" s="45">
        <v>43.9</v>
      </c>
      <c r="M81" s="45">
        <v>20.2</v>
      </c>
      <c r="N81" s="45">
        <v>20.3</v>
      </c>
      <c r="O81" s="45">
        <v>50</v>
      </c>
      <c r="P81" s="45">
        <v>48</v>
      </c>
      <c r="Q81" s="45">
        <v>37.9</v>
      </c>
      <c r="R81" s="45">
        <v>36.4</v>
      </c>
      <c r="S81" s="45">
        <v>39</v>
      </c>
      <c r="T81" s="45">
        <v>43.1</v>
      </c>
      <c r="U81" s="45">
        <v>64.900000000000006</v>
      </c>
      <c r="V81" s="45">
        <v>18.3</v>
      </c>
      <c r="W81" s="45">
        <v>36.200000000000003</v>
      </c>
      <c r="X81" s="45">
        <v>33.700000000000003</v>
      </c>
      <c r="Y81" s="45">
        <v>30.1</v>
      </c>
      <c r="Z81" s="45">
        <v>35.200000000000003</v>
      </c>
      <c r="AA81" s="45">
        <v>30</v>
      </c>
      <c r="AB81" s="45">
        <v>27</v>
      </c>
      <c r="AC81" s="45">
        <v>27</v>
      </c>
      <c r="AD81" s="45">
        <v>39</v>
      </c>
      <c r="AE81" s="45">
        <v>48</v>
      </c>
      <c r="AF81" s="45">
        <v>55</v>
      </c>
      <c r="AG81" s="52"/>
      <c r="AH81" s="47">
        <f t="shared" si="2"/>
        <v>64.900000000000006</v>
      </c>
      <c r="AI81" s="48">
        <f t="shared" si="3"/>
        <v>18.3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110</v>
      </c>
      <c r="C83" s="65">
        <v>94.8</v>
      </c>
      <c r="D83" s="65">
        <v>100</v>
      </c>
      <c r="E83" s="65">
        <v>72</v>
      </c>
      <c r="F83" s="65">
        <v>81.7</v>
      </c>
      <c r="G83" s="65">
        <v>82</v>
      </c>
      <c r="H83" s="65">
        <v>109</v>
      </c>
      <c r="I83" s="65">
        <v>208</v>
      </c>
      <c r="J83" s="65">
        <v>192</v>
      </c>
      <c r="K83" s="65">
        <v>195</v>
      </c>
      <c r="L83" s="65">
        <v>70</v>
      </c>
      <c r="M83" s="65">
        <v>15</v>
      </c>
      <c r="N83" s="65">
        <v>17</v>
      </c>
      <c r="O83" s="65">
        <v>169</v>
      </c>
      <c r="P83" s="65">
        <v>115.2</v>
      </c>
      <c r="Q83" s="65">
        <v>301</v>
      </c>
      <c r="R83" s="65">
        <v>343</v>
      </c>
      <c r="S83" s="65">
        <v>347</v>
      </c>
      <c r="T83" s="65">
        <v>322.60000000000002</v>
      </c>
      <c r="U83" s="65">
        <v>291.7</v>
      </c>
      <c r="V83" s="65">
        <v>17.2</v>
      </c>
      <c r="W83" s="65">
        <v>6.6</v>
      </c>
      <c r="X83" s="65">
        <v>0</v>
      </c>
      <c r="Y83" s="65">
        <v>191.6</v>
      </c>
      <c r="Z83" s="65">
        <v>129.6</v>
      </c>
      <c r="AA83" s="65">
        <v>86.7</v>
      </c>
      <c r="AB83" s="65">
        <v>112</v>
      </c>
      <c r="AC83" s="65">
        <v>280</v>
      </c>
      <c r="AD83" s="65">
        <v>240</v>
      </c>
      <c r="AE83" s="65">
        <v>190</v>
      </c>
      <c r="AF83" s="65">
        <v>145</v>
      </c>
      <c r="AG83" s="75"/>
      <c r="AH83" s="47">
        <f t="shared" si="2"/>
        <v>347</v>
      </c>
      <c r="AI83" s="48">
        <f t="shared" si="3"/>
        <v>0</v>
      </c>
      <c r="AK83" s="50"/>
    </row>
    <row r="84" spans="1:40" x14ac:dyDescent="0.25">
      <c r="A84" s="54" t="s">
        <v>84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2">MAX(B85:AF85)</f>
        <v>0</v>
      </c>
      <c r="AI85" s="48">
        <f t="shared" ref="AI85:AI130" si="33">MIN(B85:AF85)</f>
        <v>0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2"/>
        <v>0</v>
      </c>
      <c r="AI86" s="48">
        <f t="shared" si="33"/>
        <v>0</v>
      </c>
      <c r="AK86" s="50"/>
    </row>
    <row r="87" spans="1:40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2"/>
        <v>0</v>
      </c>
      <c r="AI87" s="48">
        <f t="shared" si="33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2"/>
        <v>0</v>
      </c>
      <c r="AI88" s="48">
        <f t="shared" si="33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2"/>
        <v>0</v>
      </c>
      <c r="AI89" s="48">
        <f t="shared" si="33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>
        <v>0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2"/>
        <v>0</v>
      </c>
      <c r="AI90" s="48">
        <f t="shared" si="33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2"/>
        <v>0</v>
      </c>
      <c r="AI91" s="48">
        <f t="shared" si="33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34">SUMIF(B81:B91,"&gt;0")</f>
        <v>159.4</v>
      </c>
      <c r="C92" s="60">
        <f t="shared" si="34"/>
        <v>141.80000000000001</v>
      </c>
      <c r="D92" s="60">
        <f t="shared" si="34"/>
        <v>152</v>
      </c>
      <c r="E92" s="60">
        <f t="shared" si="34"/>
        <v>114.9</v>
      </c>
      <c r="F92" s="60">
        <f t="shared" si="34"/>
        <v>121.80000000000001</v>
      </c>
      <c r="G92" s="60">
        <f t="shared" si="34"/>
        <v>113</v>
      </c>
      <c r="H92" s="60">
        <f t="shared" si="34"/>
        <v>147.6</v>
      </c>
      <c r="I92" s="60">
        <f t="shared" si="34"/>
        <v>258.39999999999998</v>
      </c>
      <c r="J92" s="60">
        <f t="shared" si="34"/>
        <v>246.9</v>
      </c>
      <c r="K92" s="60">
        <f t="shared" si="34"/>
        <v>243.8</v>
      </c>
      <c r="L92" s="60">
        <f t="shared" si="34"/>
        <v>113.9</v>
      </c>
      <c r="M92" s="60">
        <f t="shared" si="34"/>
        <v>35.200000000000003</v>
      </c>
      <c r="N92" s="60">
        <f t="shared" si="34"/>
        <v>37.299999999999997</v>
      </c>
      <c r="O92" s="60">
        <f t="shared" si="34"/>
        <v>219</v>
      </c>
      <c r="P92" s="60">
        <f t="shared" si="34"/>
        <v>163.19999999999999</v>
      </c>
      <c r="Q92" s="60">
        <f t="shared" si="34"/>
        <v>338.9</v>
      </c>
      <c r="R92" s="60">
        <f t="shared" si="34"/>
        <v>379.4</v>
      </c>
      <c r="S92" s="60">
        <f t="shared" ref="S92:T92" si="35">SUMIF(S81:S91,"&gt;0")</f>
        <v>386</v>
      </c>
      <c r="T92" s="60">
        <f t="shared" si="35"/>
        <v>365.70000000000005</v>
      </c>
      <c r="U92" s="60">
        <f t="shared" ref="U92:V92" si="36">SUMIF(U81:U91,"&gt;0")</f>
        <v>356.6</v>
      </c>
      <c r="V92" s="60">
        <f t="shared" si="36"/>
        <v>35.5</v>
      </c>
      <c r="W92" s="60">
        <f t="shared" ref="W92:X92" si="37">SUMIF(W81:W91,"&gt;0")</f>
        <v>42.800000000000004</v>
      </c>
      <c r="X92" s="60">
        <f t="shared" si="37"/>
        <v>33.700000000000003</v>
      </c>
      <c r="Y92" s="60">
        <f t="shared" ref="Y92:Z92" si="38">SUMIF(Y81:Y91,"&gt;0")</f>
        <v>221.7</v>
      </c>
      <c r="Z92" s="60">
        <f t="shared" si="38"/>
        <v>164.8</v>
      </c>
      <c r="AA92" s="60">
        <f t="shared" ref="AA92" si="39">SUMIF(AA81:AA91,"&gt;0")</f>
        <v>116.7</v>
      </c>
      <c r="AB92" s="60">
        <f t="shared" si="34"/>
        <v>139</v>
      </c>
      <c r="AC92" s="60">
        <f t="shared" si="34"/>
        <v>307</v>
      </c>
      <c r="AD92" s="60">
        <f t="shared" si="34"/>
        <v>279</v>
      </c>
      <c r="AE92" s="60">
        <f t="shared" si="34"/>
        <v>238</v>
      </c>
      <c r="AF92" s="60">
        <f t="shared" si="34"/>
        <v>200</v>
      </c>
      <c r="AG92" s="88">
        <f>SUM(AG81:AG91)</f>
        <v>0</v>
      </c>
      <c r="AH92" s="47">
        <f t="shared" si="32"/>
        <v>386</v>
      </c>
      <c r="AI92" s="48">
        <f t="shared" si="33"/>
        <v>33.700000000000003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2"/>
        <v>0</v>
      </c>
      <c r="AI93" s="48">
        <f t="shared" si="33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2"/>
        <v>0</v>
      </c>
      <c r="AI94" s="48">
        <f t="shared" si="33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2"/>
        <v>0</v>
      </c>
      <c r="AI95" s="48">
        <f t="shared" si="33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2"/>
        <v>0</v>
      </c>
      <c r="AI96" s="48">
        <f t="shared" si="33"/>
        <v>0</v>
      </c>
    </row>
    <row r="97" spans="1:37" ht="15.75" thickBot="1" x14ac:dyDescent="0.3">
      <c r="A97" s="74" t="s">
        <v>100</v>
      </c>
      <c r="B97" s="95">
        <f t="shared" ref="B97:AG97" si="40">B58+B62+B80+B76+B92+B96</f>
        <v>1010.7400000000001</v>
      </c>
      <c r="C97" s="95">
        <f t="shared" si="40"/>
        <v>992.84000000000015</v>
      </c>
      <c r="D97" s="95">
        <f t="shared" si="40"/>
        <v>1003.3400000000001</v>
      </c>
      <c r="E97" s="95">
        <f t="shared" si="40"/>
        <v>993.24</v>
      </c>
      <c r="F97" s="95">
        <f t="shared" si="40"/>
        <v>982.74</v>
      </c>
      <c r="G97" s="95">
        <f t="shared" si="40"/>
        <v>1045.44</v>
      </c>
      <c r="H97" s="95">
        <f t="shared" si="40"/>
        <v>1181.24</v>
      </c>
      <c r="I97" s="95">
        <f t="shared" si="40"/>
        <v>1263.1399999999999</v>
      </c>
      <c r="J97" s="95">
        <f t="shared" si="40"/>
        <v>1393.7400000000002</v>
      </c>
      <c r="K97" s="95">
        <f t="shared" si="40"/>
        <v>1467.94</v>
      </c>
      <c r="L97" s="95">
        <f t="shared" si="40"/>
        <v>1597.5400000000002</v>
      </c>
      <c r="M97" s="95">
        <f t="shared" si="40"/>
        <v>1545.04</v>
      </c>
      <c r="N97" s="95">
        <f t="shared" si="40"/>
        <v>1509.44</v>
      </c>
      <c r="O97" s="95">
        <f t="shared" si="40"/>
        <v>1460.74</v>
      </c>
      <c r="P97" s="95">
        <f t="shared" si="40"/>
        <v>1392.0400000000002</v>
      </c>
      <c r="Q97" s="95">
        <f t="shared" si="40"/>
        <v>1337.94</v>
      </c>
      <c r="R97" s="95">
        <f t="shared" si="40"/>
        <v>1281.8400000000001</v>
      </c>
      <c r="S97" s="95">
        <f t="shared" ref="S97:T97" si="41">S58+S62+S80+S76+S92+S96</f>
        <v>1282.3400000000001</v>
      </c>
      <c r="T97" s="95">
        <f t="shared" si="41"/>
        <v>1312.5400000000002</v>
      </c>
      <c r="U97" s="95">
        <f t="shared" ref="U97:V97" si="42">U58+U62+U80+U76+U92+U96</f>
        <v>1315.54</v>
      </c>
      <c r="V97" s="95">
        <f t="shared" si="42"/>
        <v>1426.04</v>
      </c>
      <c r="W97" s="95">
        <f t="shared" ref="W97:X97" si="43">W58+W62+W80+W76+W92+W96</f>
        <v>1510.44</v>
      </c>
      <c r="X97" s="95">
        <f t="shared" si="43"/>
        <v>1651.94</v>
      </c>
      <c r="Y97" s="95">
        <f t="shared" ref="Y97:Z97" si="44">Y58+Y62+Y80+Y76+Y92+Y96</f>
        <v>1509.94</v>
      </c>
      <c r="Z97" s="95">
        <f t="shared" si="44"/>
        <v>1453.04</v>
      </c>
      <c r="AA97" s="95">
        <f t="shared" ref="AA97" si="45">AA58+AA62+AA80+AA76+AA92+AA96</f>
        <v>1404.94</v>
      </c>
      <c r="AB97" s="95">
        <f t="shared" si="40"/>
        <v>1359.2400000000002</v>
      </c>
      <c r="AC97" s="95">
        <f t="shared" si="40"/>
        <v>1393.0400000000002</v>
      </c>
      <c r="AD97" s="95">
        <f t="shared" si="40"/>
        <v>1164.04</v>
      </c>
      <c r="AE97" s="95">
        <f t="shared" si="40"/>
        <v>1064.0400000000002</v>
      </c>
      <c r="AF97" s="95">
        <f t="shared" si="40"/>
        <v>1014.0400000000001</v>
      </c>
      <c r="AG97" s="61">
        <f t="shared" si="40"/>
        <v>2231.81</v>
      </c>
      <c r="AH97" s="47">
        <f t="shared" si="32"/>
        <v>1651.94</v>
      </c>
      <c r="AI97" s="48">
        <f t="shared" si="33"/>
        <v>982.74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60</v>
      </c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32"/>
        <v>60</v>
      </c>
      <c r="AI98" s="48">
        <f t="shared" si="33"/>
        <v>60</v>
      </c>
    </row>
    <row r="99" spans="1:37" ht="15.75" thickBot="1" x14ac:dyDescent="0.3">
      <c r="A99" s="74" t="s">
        <v>102</v>
      </c>
      <c r="B99" s="95">
        <f t="shared" ref="B99:AF99" si="46">B97+B98</f>
        <v>1010.7400000000001</v>
      </c>
      <c r="C99" s="95">
        <f t="shared" si="46"/>
        <v>992.84000000000015</v>
      </c>
      <c r="D99" s="95">
        <f t="shared" si="46"/>
        <v>1003.3400000000001</v>
      </c>
      <c r="E99" s="95">
        <f t="shared" si="46"/>
        <v>993.24</v>
      </c>
      <c r="F99" s="95">
        <f t="shared" si="46"/>
        <v>982.74</v>
      </c>
      <c r="G99" s="95">
        <f t="shared" si="46"/>
        <v>1045.44</v>
      </c>
      <c r="H99" s="95">
        <f t="shared" si="46"/>
        <v>1181.24</v>
      </c>
      <c r="I99" s="95">
        <f t="shared" si="46"/>
        <v>1263.1399999999999</v>
      </c>
      <c r="J99" s="95">
        <f t="shared" si="46"/>
        <v>1393.7400000000002</v>
      </c>
      <c r="K99" s="95">
        <f t="shared" si="46"/>
        <v>1467.94</v>
      </c>
      <c r="L99" s="95">
        <f t="shared" si="46"/>
        <v>1657.5400000000002</v>
      </c>
      <c r="M99" s="95">
        <f t="shared" si="46"/>
        <v>1545.04</v>
      </c>
      <c r="N99" s="95">
        <f t="shared" si="46"/>
        <v>1509.44</v>
      </c>
      <c r="O99" s="95">
        <f t="shared" si="46"/>
        <v>1460.74</v>
      </c>
      <c r="P99" s="95">
        <f t="shared" si="46"/>
        <v>1392.0400000000002</v>
      </c>
      <c r="Q99" s="95">
        <f t="shared" si="46"/>
        <v>1337.94</v>
      </c>
      <c r="R99" s="95">
        <f t="shared" si="46"/>
        <v>1281.8400000000001</v>
      </c>
      <c r="S99" s="95">
        <f t="shared" ref="S99:T99" si="47">S97+S98</f>
        <v>1282.3400000000001</v>
      </c>
      <c r="T99" s="95">
        <f t="shared" si="47"/>
        <v>1312.5400000000002</v>
      </c>
      <c r="U99" s="95">
        <f t="shared" ref="U99:V99" si="48">U97+U98</f>
        <v>1315.54</v>
      </c>
      <c r="V99" s="95">
        <f t="shared" si="48"/>
        <v>1426.04</v>
      </c>
      <c r="W99" s="95">
        <f t="shared" ref="W99:X99" si="49">W97+W98</f>
        <v>1510.44</v>
      </c>
      <c r="X99" s="95">
        <f t="shared" si="49"/>
        <v>1651.94</v>
      </c>
      <c r="Y99" s="95">
        <f t="shared" ref="Y99:Z99" si="50">Y97+Y98</f>
        <v>1509.94</v>
      </c>
      <c r="Z99" s="95">
        <f t="shared" si="50"/>
        <v>1453.04</v>
      </c>
      <c r="AA99" s="95">
        <f t="shared" ref="AA99" si="51">AA97+AA98</f>
        <v>1404.94</v>
      </c>
      <c r="AB99" s="95">
        <f t="shared" si="46"/>
        <v>1359.2400000000002</v>
      </c>
      <c r="AC99" s="95">
        <f t="shared" si="46"/>
        <v>1393.0400000000002</v>
      </c>
      <c r="AD99" s="95">
        <f t="shared" si="46"/>
        <v>1164.04</v>
      </c>
      <c r="AE99" s="95">
        <f t="shared" si="46"/>
        <v>1064.0400000000002</v>
      </c>
      <c r="AF99" s="95">
        <f t="shared" si="46"/>
        <v>1014.0400000000001</v>
      </c>
      <c r="AG99" s="88">
        <f>AG96+AG92+AG80+AG76+AG58+AG98</f>
        <v>1693.71</v>
      </c>
      <c r="AH99" s="47">
        <f t="shared" si="32"/>
        <v>1657.5400000000002</v>
      </c>
      <c r="AI99" s="48">
        <f t="shared" si="33"/>
        <v>982.74</v>
      </c>
    </row>
    <row r="100" spans="1:37" ht="15.75" thickBot="1" x14ac:dyDescent="0.3">
      <c r="A100" s="74" t="s">
        <v>103</v>
      </c>
      <c r="B100" s="95">
        <f t="shared" ref="B100:M100" si="52">B99-(B107)</f>
        <v>1010.7400000000001</v>
      </c>
      <c r="C100" s="95">
        <f t="shared" si="52"/>
        <v>992.84000000000015</v>
      </c>
      <c r="D100" s="95">
        <f t="shared" si="52"/>
        <v>1003.3400000000001</v>
      </c>
      <c r="E100" s="95">
        <f t="shared" si="52"/>
        <v>993.24</v>
      </c>
      <c r="F100" s="95">
        <f t="shared" si="52"/>
        <v>982.74</v>
      </c>
      <c r="G100" s="95">
        <f t="shared" si="52"/>
        <v>1045.44</v>
      </c>
      <c r="H100" s="95">
        <f t="shared" si="52"/>
        <v>1181.24</v>
      </c>
      <c r="I100" s="95">
        <f t="shared" si="52"/>
        <v>1263.1399999999999</v>
      </c>
      <c r="J100" s="95">
        <f t="shared" si="52"/>
        <v>1393.7400000000002</v>
      </c>
      <c r="K100" s="95">
        <f t="shared" si="52"/>
        <v>1467.94</v>
      </c>
      <c r="L100" s="95">
        <f t="shared" si="52"/>
        <v>1657.5400000000002</v>
      </c>
      <c r="M100" s="95">
        <f t="shared" si="52"/>
        <v>1545.04</v>
      </c>
      <c r="N100" s="95">
        <f>N99-(N107)</f>
        <v>1509.44</v>
      </c>
      <c r="O100" s="95">
        <f t="shared" ref="O100:AF100" si="53">O99-(O107)</f>
        <v>1460.74</v>
      </c>
      <c r="P100" s="95">
        <f t="shared" si="53"/>
        <v>1392.0400000000002</v>
      </c>
      <c r="Q100" s="95">
        <f t="shared" si="53"/>
        <v>1337.94</v>
      </c>
      <c r="R100" s="95">
        <f t="shared" si="53"/>
        <v>1281.8400000000001</v>
      </c>
      <c r="S100" s="95">
        <f t="shared" si="53"/>
        <v>1281.3400000000001</v>
      </c>
      <c r="T100" s="95">
        <f t="shared" si="53"/>
        <v>1310.5400000000002</v>
      </c>
      <c r="U100" s="95">
        <f t="shared" si="53"/>
        <v>1312.54</v>
      </c>
      <c r="V100" s="95">
        <f t="shared" si="53"/>
        <v>1422.04</v>
      </c>
      <c r="W100" s="95">
        <f t="shared" si="53"/>
        <v>1505.44</v>
      </c>
      <c r="X100" s="95">
        <f t="shared" si="53"/>
        <v>1643.94</v>
      </c>
      <c r="Y100" s="95">
        <f t="shared" si="53"/>
        <v>1500.94</v>
      </c>
      <c r="Z100" s="95">
        <f t="shared" si="53"/>
        <v>1443.04</v>
      </c>
      <c r="AA100" s="95">
        <f t="shared" si="53"/>
        <v>1393.94</v>
      </c>
      <c r="AB100" s="95">
        <f t="shared" si="53"/>
        <v>1359.2400000000002</v>
      </c>
      <c r="AC100" s="95">
        <f t="shared" si="53"/>
        <v>1393.0400000000002</v>
      </c>
      <c r="AD100" s="95">
        <f t="shared" si="53"/>
        <v>1164.04</v>
      </c>
      <c r="AE100" s="95">
        <f t="shared" si="53"/>
        <v>1064.0400000000002</v>
      </c>
      <c r="AF100" s="95">
        <f t="shared" si="53"/>
        <v>1014.0400000000001</v>
      </c>
      <c r="AG100" s="88"/>
      <c r="AH100" s="47">
        <f t="shared" si="32"/>
        <v>1657.5400000000002</v>
      </c>
      <c r="AI100" s="48">
        <f t="shared" si="33"/>
        <v>982.74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54">IF(C84&lt;0,C84*-1,0)</f>
        <v>0</v>
      </c>
      <c r="D101" s="76">
        <f t="shared" si="54"/>
        <v>0</v>
      </c>
      <c r="E101" s="76">
        <f t="shared" si="54"/>
        <v>0</v>
      </c>
      <c r="F101" s="76">
        <f t="shared" si="54"/>
        <v>0</v>
      </c>
      <c r="G101" s="76">
        <f t="shared" si="54"/>
        <v>0</v>
      </c>
      <c r="H101" s="76">
        <f t="shared" si="54"/>
        <v>0</v>
      </c>
      <c r="I101" s="76">
        <f t="shared" si="54"/>
        <v>0</v>
      </c>
      <c r="J101" s="76">
        <f t="shared" si="54"/>
        <v>0</v>
      </c>
      <c r="K101" s="76">
        <f t="shared" si="54"/>
        <v>0</v>
      </c>
      <c r="L101" s="76">
        <f t="shared" si="54"/>
        <v>0</v>
      </c>
      <c r="M101" s="76">
        <f t="shared" si="54"/>
        <v>0</v>
      </c>
      <c r="N101" s="76">
        <f t="shared" si="54"/>
        <v>0</v>
      </c>
      <c r="O101" s="76">
        <f t="shared" si="54"/>
        <v>0</v>
      </c>
      <c r="P101" s="76">
        <f t="shared" si="54"/>
        <v>0</v>
      </c>
      <c r="Q101" s="76">
        <f t="shared" si="54"/>
        <v>0</v>
      </c>
      <c r="R101" s="76">
        <f t="shared" si="54"/>
        <v>0</v>
      </c>
      <c r="S101" s="76">
        <f t="shared" ref="S101:T101" si="55">IF(S84&lt;0,S84*-1,0)</f>
        <v>0</v>
      </c>
      <c r="T101" s="76">
        <f t="shared" si="55"/>
        <v>0</v>
      </c>
      <c r="U101" s="76">
        <f t="shared" ref="U101:V101" si="56">IF(U84&lt;0,U84*-1,0)</f>
        <v>0</v>
      </c>
      <c r="V101" s="76">
        <f t="shared" si="56"/>
        <v>0</v>
      </c>
      <c r="W101" s="76">
        <f t="shared" ref="W101:X101" si="57">IF(W84&lt;0,W84*-1,0)</f>
        <v>0</v>
      </c>
      <c r="X101" s="76">
        <f t="shared" si="57"/>
        <v>0</v>
      </c>
      <c r="Y101" s="76">
        <f t="shared" ref="Y101:Z101" si="58">IF(Y84&lt;0,Y84*-1,0)</f>
        <v>0</v>
      </c>
      <c r="Z101" s="76">
        <f t="shared" si="58"/>
        <v>0</v>
      </c>
      <c r="AA101" s="76">
        <f t="shared" ref="AA101" si="59">IF(AA84&lt;0,AA84*-1,0)</f>
        <v>0</v>
      </c>
      <c r="AB101" s="76">
        <f t="shared" si="54"/>
        <v>0</v>
      </c>
      <c r="AC101" s="76">
        <f t="shared" si="54"/>
        <v>0</v>
      </c>
      <c r="AD101" s="76">
        <f t="shared" si="54"/>
        <v>0</v>
      </c>
      <c r="AE101" s="76">
        <f t="shared" si="54"/>
        <v>0</v>
      </c>
      <c r="AF101" s="76">
        <f t="shared" si="54"/>
        <v>0</v>
      </c>
      <c r="AG101" s="52"/>
      <c r="AH101" s="47">
        <f t="shared" si="32"/>
        <v>0</v>
      </c>
      <c r="AI101" s="48">
        <f t="shared" si="33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60">IF(C82&lt;0,C82*-1,0)</f>
        <v>0</v>
      </c>
      <c r="D102" s="76">
        <f t="shared" si="60"/>
        <v>0</v>
      </c>
      <c r="E102" s="76">
        <f t="shared" si="60"/>
        <v>0</v>
      </c>
      <c r="F102" s="76">
        <f t="shared" si="60"/>
        <v>0</v>
      </c>
      <c r="G102" s="76">
        <f t="shared" si="60"/>
        <v>0</v>
      </c>
      <c r="H102" s="76">
        <f t="shared" si="60"/>
        <v>0</v>
      </c>
      <c r="I102" s="76">
        <f t="shared" si="60"/>
        <v>0</v>
      </c>
      <c r="J102" s="76">
        <f t="shared" si="60"/>
        <v>0</v>
      </c>
      <c r="K102" s="76">
        <f t="shared" si="60"/>
        <v>0</v>
      </c>
      <c r="L102" s="76">
        <f t="shared" si="60"/>
        <v>0</v>
      </c>
      <c r="M102" s="76">
        <f t="shared" si="60"/>
        <v>0</v>
      </c>
      <c r="N102" s="76">
        <f t="shared" si="60"/>
        <v>0</v>
      </c>
      <c r="O102" s="76">
        <f t="shared" si="60"/>
        <v>0</v>
      </c>
      <c r="P102" s="76">
        <f t="shared" si="60"/>
        <v>0</v>
      </c>
      <c r="Q102" s="76">
        <f t="shared" si="60"/>
        <v>0</v>
      </c>
      <c r="R102" s="76">
        <f t="shared" si="60"/>
        <v>0</v>
      </c>
      <c r="S102" s="76">
        <f t="shared" ref="S102:T102" si="61">IF(S82&lt;0,S82*-1,0)</f>
        <v>0</v>
      </c>
      <c r="T102" s="76">
        <f t="shared" si="61"/>
        <v>0</v>
      </c>
      <c r="U102" s="76">
        <f t="shared" ref="U102:V102" si="62">IF(U82&lt;0,U82*-1,0)</f>
        <v>0</v>
      </c>
      <c r="V102" s="76">
        <f t="shared" si="62"/>
        <v>0</v>
      </c>
      <c r="W102" s="76">
        <f t="shared" ref="W102:X102" si="63">IF(W82&lt;0,W82*-1,0)</f>
        <v>0</v>
      </c>
      <c r="X102" s="76">
        <f t="shared" si="63"/>
        <v>0</v>
      </c>
      <c r="Y102" s="76">
        <f t="shared" ref="Y102:Z102" si="64">IF(Y82&lt;0,Y82*-1,0)</f>
        <v>0</v>
      </c>
      <c r="Z102" s="76">
        <f t="shared" si="64"/>
        <v>0</v>
      </c>
      <c r="AA102" s="76">
        <f t="shared" ref="AA102" si="65">IF(AA82&lt;0,AA82*-1,0)</f>
        <v>0</v>
      </c>
      <c r="AB102" s="76">
        <f t="shared" si="60"/>
        <v>0</v>
      </c>
      <c r="AC102" s="76">
        <f t="shared" si="60"/>
        <v>0</v>
      </c>
      <c r="AD102" s="76">
        <f t="shared" si="60"/>
        <v>0</v>
      </c>
      <c r="AE102" s="76">
        <f t="shared" si="60"/>
        <v>0</v>
      </c>
      <c r="AF102" s="76">
        <f t="shared" si="60"/>
        <v>0</v>
      </c>
      <c r="AG102" s="55"/>
      <c r="AH102" s="47">
        <f t="shared" si="32"/>
        <v>0</v>
      </c>
      <c r="AI102" s="48">
        <f t="shared" si="33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66">IF(C85&lt;0,C85*-1,0)</f>
        <v>0</v>
      </c>
      <c r="D103" s="76">
        <f t="shared" si="66"/>
        <v>0</v>
      </c>
      <c r="E103" s="76">
        <f t="shared" si="66"/>
        <v>0</v>
      </c>
      <c r="F103" s="76">
        <f t="shared" si="66"/>
        <v>0</v>
      </c>
      <c r="G103" s="76">
        <f t="shared" si="66"/>
        <v>0</v>
      </c>
      <c r="H103" s="76">
        <f t="shared" si="66"/>
        <v>0</v>
      </c>
      <c r="I103" s="76">
        <f t="shared" si="66"/>
        <v>0</v>
      </c>
      <c r="J103" s="76">
        <f t="shared" si="66"/>
        <v>0</v>
      </c>
      <c r="K103" s="76">
        <f t="shared" si="66"/>
        <v>0</v>
      </c>
      <c r="L103" s="76">
        <f t="shared" si="66"/>
        <v>0</v>
      </c>
      <c r="M103" s="76">
        <f t="shared" si="66"/>
        <v>0</v>
      </c>
      <c r="N103" s="76">
        <f t="shared" si="66"/>
        <v>0</v>
      </c>
      <c r="O103" s="76">
        <f t="shared" si="66"/>
        <v>0</v>
      </c>
      <c r="P103" s="76">
        <f t="shared" si="66"/>
        <v>0</v>
      </c>
      <c r="Q103" s="76">
        <f t="shared" si="66"/>
        <v>0</v>
      </c>
      <c r="R103" s="76">
        <f t="shared" si="66"/>
        <v>0</v>
      </c>
      <c r="S103" s="76">
        <f t="shared" ref="S103:T103" si="67">IF(S85&lt;0,S85*-1,0)</f>
        <v>0</v>
      </c>
      <c r="T103" s="76">
        <f t="shared" si="67"/>
        <v>0</v>
      </c>
      <c r="U103" s="76">
        <f t="shared" ref="U103:V103" si="68">IF(U85&lt;0,U85*-1,0)</f>
        <v>0</v>
      </c>
      <c r="V103" s="76">
        <f t="shared" si="68"/>
        <v>0</v>
      </c>
      <c r="W103" s="76">
        <f t="shared" ref="W103:X103" si="69">IF(W85&lt;0,W85*-1,0)</f>
        <v>0</v>
      </c>
      <c r="X103" s="76">
        <f t="shared" si="69"/>
        <v>0</v>
      </c>
      <c r="Y103" s="76">
        <f t="shared" ref="Y103:Z103" si="70">IF(Y85&lt;0,Y85*-1,0)</f>
        <v>0</v>
      </c>
      <c r="Z103" s="76">
        <f t="shared" si="70"/>
        <v>0</v>
      </c>
      <c r="AA103" s="76">
        <f t="shared" ref="AA103" si="71">IF(AA85&lt;0,AA85*-1,0)</f>
        <v>0</v>
      </c>
      <c r="AB103" s="76">
        <f t="shared" si="66"/>
        <v>0</v>
      </c>
      <c r="AC103" s="76">
        <f t="shared" si="66"/>
        <v>0</v>
      </c>
      <c r="AD103" s="76">
        <f t="shared" si="66"/>
        <v>0</v>
      </c>
      <c r="AE103" s="76">
        <f t="shared" si="66"/>
        <v>0</v>
      </c>
      <c r="AF103" s="76">
        <f t="shared" si="66"/>
        <v>0</v>
      </c>
      <c r="AG103" s="98"/>
      <c r="AH103" s="47">
        <f t="shared" si="32"/>
        <v>0</v>
      </c>
      <c r="AI103" s="48">
        <f t="shared" si="33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72">IF(C83&lt;0,C83*-1,0)</f>
        <v>0</v>
      </c>
      <c r="D104" s="76">
        <f t="shared" si="72"/>
        <v>0</v>
      </c>
      <c r="E104" s="76">
        <f t="shared" si="72"/>
        <v>0</v>
      </c>
      <c r="F104" s="76">
        <f t="shared" si="72"/>
        <v>0</v>
      </c>
      <c r="G104" s="76">
        <f t="shared" si="72"/>
        <v>0</v>
      </c>
      <c r="H104" s="76">
        <f t="shared" si="72"/>
        <v>0</v>
      </c>
      <c r="I104" s="76">
        <f t="shared" si="72"/>
        <v>0</v>
      </c>
      <c r="J104" s="76">
        <f t="shared" si="72"/>
        <v>0</v>
      </c>
      <c r="K104" s="76">
        <f t="shared" si="72"/>
        <v>0</v>
      </c>
      <c r="L104" s="76">
        <f t="shared" si="72"/>
        <v>0</v>
      </c>
      <c r="M104" s="76">
        <f t="shared" si="72"/>
        <v>0</v>
      </c>
      <c r="N104" s="76">
        <f t="shared" si="72"/>
        <v>0</v>
      </c>
      <c r="O104" s="76">
        <f t="shared" si="72"/>
        <v>0</v>
      </c>
      <c r="P104" s="76">
        <f t="shared" si="72"/>
        <v>0</v>
      </c>
      <c r="Q104" s="76">
        <f t="shared" si="72"/>
        <v>0</v>
      </c>
      <c r="R104" s="76">
        <f t="shared" si="72"/>
        <v>0</v>
      </c>
      <c r="S104" s="76">
        <f t="shared" ref="S104:T104" si="73">IF(S83&lt;0,S83*-1,0)</f>
        <v>0</v>
      </c>
      <c r="T104" s="76">
        <f t="shared" si="73"/>
        <v>0</v>
      </c>
      <c r="U104" s="76">
        <f t="shared" ref="U104:V104" si="74">IF(U83&lt;0,U83*-1,0)</f>
        <v>0</v>
      </c>
      <c r="V104" s="76">
        <f t="shared" si="74"/>
        <v>0</v>
      </c>
      <c r="W104" s="76">
        <f t="shared" ref="W104:X104" si="75">IF(W83&lt;0,W83*-1,0)</f>
        <v>0</v>
      </c>
      <c r="X104" s="76">
        <f t="shared" si="75"/>
        <v>0</v>
      </c>
      <c r="Y104" s="76">
        <f t="shared" ref="Y104:Z104" si="76">IF(Y83&lt;0,Y83*-1,0)</f>
        <v>0</v>
      </c>
      <c r="Z104" s="76">
        <f t="shared" si="76"/>
        <v>0</v>
      </c>
      <c r="AA104" s="76">
        <f t="shared" ref="AA104" si="77">IF(AA83&lt;0,AA83*-1,0)</f>
        <v>0</v>
      </c>
      <c r="AB104" s="76">
        <f t="shared" si="72"/>
        <v>0</v>
      </c>
      <c r="AC104" s="76">
        <f t="shared" si="72"/>
        <v>0</v>
      </c>
      <c r="AD104" s="76">
        <f t="shared" si="72"/>
        <v>0</v>
      </c>
      <c r="AE104" s="76">
        <f t="shared" si="72"/>
        <v>0</v>
      </c>
      <c r="AF104" s="76">
        <f t="shared" si="72"/>
        <v>0</v>
      </c>
      <c r="AG104" s="98"/>
      <c r="AH104" s="47">
        <f t="shared" si="32"/>
        <v>0</v>
      </c>
      <c r="AI104" s="48">
        <f t="shared" si="33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78">IF(C81&lt;0,C81*-1,0)</f>
        <v>0</v>
      </c>
      <c r="D105" s="76">
        <f t="shared" si="78"/>
        <v>0</v>
      </c>
      <c r="E105" s="76">
        <f t="shared" si="78"/>
        <v>0</v>
      </c>
      <c r="F105" s="76">
        <f t="shared" si="78"/>
        <v>0</v>
      </c>
      <c r="G105" s="76">
        <f t="shared" si="78"/>
        <v>0</v>
      </c>
      <c r="H105" s="76">
        <f t="shared" si="78"/>
        <v>0</v>
      </c>
      <c r="I105" s="76">
        <f t="shared" si="78"/>
        <v>0</v>
      </c>
      <c r="J105" s="76">
        <f t="shared" si="78"/>
        <v>0</v>
      </c>
      <c r="K105" s="76">
        <f t="shared" si="78"/>
        <v>0</v>
      </c>
      <c r="L105" s="76">
        <f t="shared" si="78"/>
        <v>0</v>
      </c>
      <c r="M105" s="76">
        <f t="shared" si="78"/>
        <v>0</v>
      </c>
      <c r="N105" s="76">
        <f t="shared" si="78"/>
        <v>0</v>
      </c>
      <c r="O105" s="76">
        <f t="shared" si="78"/>
        <v>0</v>
      </c>
      <c r="P105" s="76">
        <f t="shared" si="78"/>
        <v>0</v>
      </c>
      <c r="Q105" s="76">
        <f t="shared" si="78"/>
        <v>0</v>
      </c>
      <c r="R105" s="76">
        <f t="shared" si="78"/>
        <v>0</v>
      </c>
      <c r="S105" s="76">
        <f t="shared" ref="S105:T105" si="79">IF(S81&lt;0,S81*-1,0)</f>
        <v>0</v>
      </c>
      <c r="T105" s="76">
        <f t="shared" si="79"/>
        <v>0</v>
      </c>
      <c r="U105" s="76">
        <f t="shared" ref="U105:V105" si="80">IF(U81&lt;0,U81*-1,0)</f>
        <v>0</v>
      </c>
      <c r="V105" s="76">
        <f t="shared" si="80"/>
        <v>0</v>
      </c>
      <c r="W105" s="76">
        <f t="shared" ref="W105:X105" si="81">IF(W81&lt;0,W81*-1,0)</f>
        <v>0</v>
      </c>
      <c r="X105" s="76">
        <f t="shared" si="81"/>
        <v>0</v>
      </c>
      <c r="Y105" s="76">
        <f t="shared" ref="Y105:Z105" si="82">IF(Y81&lt;0,Y81*-1,0)</f>
        <v>0</v>
      </c>
      <c r="Z105" s="76">
        <f t="shared" si="82"/>
        <v>0</v>
      </c>
      <c r="AA105" s="76">
        <f t="shared" ref="AA105" si="83">IF(AA81&lt;0,AA81*-1,0)</f>
        <v>0</v>
      </c>
      <c r="AB105" s="76">
        <f t="shared" si="78"/>
        <v>0</v>
      </c>
      <c r="AC105" s="76">
        <f t="shared" si="78"/>
        <v>0</v>
      </c>
      <c r="AD105" s="76">
        <f t="shared" si="78"/>
        <v>0</v>
      </c>
      <c r="AE105" s="76">
        <f t="shared" si="78"/>
        <v>0</v>
      </c>
      <c r="AF105" s="76">
        <f t="shared" si="78"/>
        <v>0</v>
      </c>
      <c r="AG105" s="98"/>
      <c r="AH105" s="47">
        <f t="shared" si="32"/>
        <v>0</v>
      </c>
      <c r="AI105" s="48">
        <f t="shared" si="33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3</v>
      </c>
      <c r="V106" s="94">
        <v>4</v>
      </c>
      <c r="W106" s="94">
        <v>5</v>
      </c>
      <c r="X106" s="94">
        <v>8</v>
      </c>
      <c r="Y106" s="94">
        <v>9</v>
      </c>
      <c r="Z106" s="94">
        <v>10</v>
      </c>
      <c r="AA106" s="94">
        <v>11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2"/>
        <v>11</v>
      </c>
      <c r="AI106" s="48">
        <f t="shared" si="33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84">SUM(C101:C106)</f>
        <v>0</v>
      </c>
      <c r="D107" s="60">
        <f t="shared" si="84"/>
        <v>0</v>
      </c>
      <c r="E107" s="60">
        <f t="shared" si="84"/>
        <v>0</v>
      </c>
      <c r="F107" s="60">
        <f t="shared" si="84"/>
        <v>0</v>
      </c>
      <c r="G107" s="60">
        <f t="shared" si="84"/>
        <v>0</v>
      </c>
      <c r="H107" s="60">
        <f t="shared" si="84"/>
        <v>0</v>
      </c>
      <c r="I107" s="60">
        <f t="shared" si="84"/>
        <v>0</v>
      </c>
      <c r="J107" s="60">
        <f t="shared" si="84"/>
        <v>0</v>
      </c>
      <c r="K107" s="60">
        <f t="shared" si="84"/>
        <v>0</v>
      </c>
      <c r="L107" s="60">
        <f t="shared" si="84"/>
        <v>0</v>
      </c>
      <c r="M107" s="60">
        <f t="shared" si="84"/>
        <v>0</v>
      </c>
      <c r="N107" s="60">
        <f t="shared" si="84"/>
        <v>0</v>
      </c>
      <c r="O107" s="60">
        <f t="shared" si="84"/>
        <v>0</v>
      </c>
      <c r="P107" s="60">
        <f t="shared" si="84"/>
        <v>0</v>
      </c>
      <c r="Q107" s="60">
        <f t="shared" si="84"/>
        <v>0</v>
      </c>
      <c r="R107" s="60">
        <f t="shared" si="84"/>
        <v>0</v>
      </c>
      <c r="S107" s="60">
        <f t="shared" si="84"/>
        <v>1</v>
      </c>
      <c r="T107" s="60">
        <f t="shared" si="84"/>
        <v>2</v>
      </c>
      <c r="U107" s="60">
        <f t="shared" si="84"/>
        <v>3</v>
      </c>
      <c r="V107" s="60">
        <f t="shared" si="84"/>
        <v>4</v>
      </c>
      <c r="W107" s="60">
        <f t="shared" si="84"/>
        <v>5</v>
      </c>
      <c r="X107" s="60">
        <f t="shared" si="84"/>
        <v>8</v>
      </c>
      <c r="Y107" s="60">
        <f t="shared" si="84"/>
        <v>9</v>
      </c>
      <c r="Z107" s="60">
        <f t="shared" si="84"/>
        <v>10</v>
      </c>
      <c r="AA107" s="60">
        <f t="shared" si="84"/>
        <v>11</v>
      </c>
      <c r="AB107" s="60">
        <f t="shared" si="84"/>
        <v>0</v>
      </c>
      <c r="AC107" s="60">
        <f t="shared" si="84"/>
        <v>0</v>
      </c>
      <c r="AD107" s="60">
        <f t="shared" si="84"/>
        <v>0</v>
      </c>
      <c r="AE107" s="60">
        <f t="shared" si="84"/>
        <v>0</v>
      </c>
      <c r="AF107" s="60">
        <f t="shared" si="84"/>
        <v>0</v>
      </c>
      <c r="AG107" s="88"/>
      <c r="AH107" s="47">
        <f t="shared" si="32"/>
        <v>11</v>
      </c>
      <c r="AI107" s="48">
        <f t="shared" si="33"/>
        <v>0</v>
      </c>
      <c r="AK107" s="50"/>
    </row>
    <row r="108" spans="1:37" ht="15.75" thickBot="1" x14ac:dyDescent="0.3">
      <c r="A108" s="74" t="s">
        <v>108</v>
      </c>
      <c r="B108" s="60">
        <f t="shared" ref="B108:AF108" si="85">B92-B107</f>
        <v>159.4</v>
      </c>
      <c r="C108" s="60">
        <f t="shared" si="85"/>
        <v>141.80000000000001</v>
      </c>
      <c r="D108" s="60">
        <f t="shared" si="85"/>
        <v>152</v>
      </c>
      <c r="E108" s="60">
        <f t="shared" si="85"/>
        <v>114.9</v>
      </c>
      <c r="F108" s="60">
        <f t="shared" si="85"/>
        <v>121.80000000000001</v>
      </c>
      <c r="G108" s="60">
        <f t="shared" si="85"/>
        <v>113</v>
      </c>
      <c r="H108" s="60">
        <f t="shared" si="85"/>
        <v>147.6</v>
      </c>
      <c r="I108" s="60">
        <f t="shared" si="85"/>
        <v>258.39999999999998</v>
      </c>
      <c r="J108" s="60">
        <f t="shared" si="85"/>
        <v>246.9</v>
      </c>
      <c r="K108" s="60">
        <f t="shared" si="85"/>
        <v>243.8</v>
      </c>
      <c r="L108" s="60">
        <f t="shared" si="85"/>
        <v>113.9</v>
      </c>
      <c r="M108" s="60">
        <f t="shared" si="85"/>
        <v>35.200000000000003</v>
      </c>
      <c r="N108" s="60">
        <f t="shared" si="85"/>
        <v>37.299999999999997</v>
      </c>
      <c r="O108" s="60">
        <f t="shared" si="85"/>
        <v>219</v>
      </c>
      <c r="P108" s="60">
        <f t="shared" si="85"/>
        <v>163.19999999999999</v>
      </c>
      <c r="Q108" s="60">
        <f t="shared" si="85"/>
        <v>338.9</v>
      </c>
      <c r="R108" s="60">
        <f t="shared" si="85"/>
        <v>379.4</v>
      </c>
      <c r="S108" s="60">
        <f t="shared" ref="S108:T108" si="86">S92-S107</f>
        <v>385</v>
      </c>
      <c r="T108" s="60">
        <f t="shared" si="86"/>
        <v>363.70000000000005</v>
      </c>
      <c r="U108" s="60">
        <f t="shared" ref="U108:V108" si="87">U92-U107</f>
        <v>353.6</v>
      </c>
      <c r="V108" s="60">
        <f t="shared" si="87"/>
        <v>31.5</v>
      </c>
      <c r="W108" s="60">
        <f t="shared" ref="W108:X108" si="88">W92-W107</f>
        <v>37.800000000000004</v>
      </c>
      <c r="X108" s="60">
        <f t="shared" si="88"/>
        <v>25.700000000000003</v>
      </c>
      <c r="Y108" s="60">
        <f t="shared" ref="Y108:Z108" si="89">Y92-Y107</f>
        <v>212.7</v>
      </c>
      <c r="Z108" s="60">
        <f t="shared" si="89"/>
        <v>154.80000000000001</v>
      </c>
      <c r="AA108" s="60">
        <f t="shared" ref="AA108" si="90">AA92-AA107</f>
        <v>105.7</v>
      </c>
      <c r="AB108" s="60">
        <f t="shared" si="85"/>
        <v>139</v>
      </c>
      <c r="AC108" s="60">
        <f t="shared" si="85"/>
        <v>307</v>
      </c>
      <c r="AD108" s="60">
        <f t="shared" si="85"/>
        <v>279</v>
      </c>
      <c r="AE108" s="60">
        <f t="shared" si="85"/>
        <v>238</v>
      </c>
      <c r="AF108" s="60">
        <f t="shared" si="85"/>
        <v>200</v>
      </c>
      <c r="AG108" s="88"/>
      <c r="AH108" s="47">
        <f t="shared" si="32"/>
        <v>385</v>
      </c>
      <c r="AI108" s="48">
        <f t="shared" si="33"/>
        <v>25.700000000000003</v>
      </c>
    </row>
    <row r="109" spans="1:37" x14ac:dyDescent="0.25">
      <c r="A109" s="100" t="s">
        <v>109</v>
      </c>
      <c r="B109" s="101">
        <v>49.978000000000002</v>
      </c>
      <c r="C109" s="101">
        <v>50.029000000000003</v>
      </c>
      <c r="D109" s="101">
        <v>49.991999999999997</v>
      </c>
      <c r="E109" s="101">
        <v>49.942999999999998</v>
      </c>
      <c r="F109" s="101">
        <v>49.973999999999997</v>
      </c>
      <c r="G109" s="101">
        <v>49.945</v>
      </c>
      <c r="H109" s="101">
        <v>50.01</v>
      </c>
      <c r="I109" s="101">
        <v>50.063000000000002</v>
      </c>
      <c r="J109" s="101">
        <v>50.103000000000002</v>
      </c>
      <c r="K109" s="101">
        <v>50.051000000000002</v>
      </c>
      <c r="L109" s="101">
        <v>50.051000000000002</v>
      </c>
      <c r="M109" s="101">
        <v>50.0321</v>
      </c>
      <c r="N109" s="101">
        <v>49.828000000000003</v>
      </c>
      <c r="O109" s="101">
        <v>49.951000000000001</v>
      </c>
      <c r="P109" s="101">
        <v>49.965000000000003</v>
      </c>
      <c r="Q109" s="101">
        <v>49.991</v>
      </c>
      <c r="R109" s="101">
        <v>50.09</v>
      </c>
      <c r="S109" s="101">
        <v>50</v>
      </c>
      <c r="T109" s="101">
        <v>49.92</v>
      </c>
      <c r="U109" s="101">
        <v>49.93</v>
      </c>
      <c r="V109" s="101">
        <v>49.91</v>
      </c>
      <c r="W109" s="101">
        <v>49.83</v>
      </c>
      <c r="X109" s="101">
        <v>49.81</v>
      </c>
      <c r="Y109" s="101">
        <v>49.99</v>
      </c>
      <c r="Z109" s="101">
        <v>50.02</v>
      </c>
      <c r="AA109" s="101">
        <v>50.01</v>
      </c>
      <c r="AB109" s="101">
        <v>50.148000000000003</v>
      </c>
      <c r="AC109" s="101">
        <v>50.148000000000003</v>
      </c>
      <c r="AD109" s="101">
        <v>49.932000000000002</v>
      </c>
      <c r="AE109" s="101">
        <v>50.119</v>
      </c>
      <c r="AF109" s="101">
        <v>50.008000000000003</v>
      </c>
      <c r="AG109" s="102"/>
      <c r="AH109" s="47">
        <f t="shared" si="32"/>
        <v>50.148000000000003</v>
      </c>
      <c r="AI109" s="48">
        <f t="shared" si="33"/>
        <v>49.81</v>
      </c>
    </row>
    <row r="110" spans="1:37" x14ac:dyDescent="0.25">
      <c r="A110" s="103" t="s">
        <v>110</v>
      </c>
      <c r="B110" s="65">
        <v>130.1</v>
      </c>
      <c r="C110" s="65">
        <v>130.9</v>
      </c>
      <c r="D110" s="65">
        <v>130.30000000000001</v>
      </c>
      <c r="E110" s="65">
        <v>131.6</v>
      </c>
      <c r="F110" s="65">
        <v>131.6</v>
      </c>
      <c r="G110" s="65">
        <v>130.30000000000001</v>
      </c>
      <c r="H110" s="65">
        <v>129.4</v>
      </c>
      <c r="I110" s="65">
        <v>127.9</v>
      </c>
      <c r="J110" s="65">
        <v>127</v>
      </c>
      <c r="K110" s="65">
        <v>125.5</v>
      </c>
      <c r="L110" s="65">
        <v>125.5</v>
      </c>
      <c r="M110" s="65">
        <v>123.7</v>
      </c>
      <c r="N110" s="65">
        <v>125.4</v>
      </c>
      <c r="O110" s="65">
        <v>125.8</v>
      </c>
      <c r="P110" s="65">
        <v>127</v>
      </c>
      <c r="Q110" s="65">
        <v>125</v>
      </c>
      <c r="R110" s="65">
        <v>125.7</v>
      </c>
      <c r="S110" s="65">
        <v>125.2</v>
      </c>
      <c r="T110" s="65">
        <v>125.1</v>
      </c>
      <c r="U110" s="65">
        <v>126.7</v>
      </c>
      <c r="V110" s="65">
        <v>125.6</v>
      </c>
      <c r="W110" s="65">
        <v>125.6</v>
      </c>
      <c r="X110" s="65">
        <v>127.1</v>
      </c>
      <c r="Y110" s="65">
        <v>128.6</v>
      </c>
      <c r="Z110" s="65">
        <v>128.6</v>
      </c>
      <c r="AA110" s="65">
        <v>129.80000000000001</v>
      </c>
      <c r="AB110" s="65">
        <v>129.19999999999999</v>
      </c>
      <c r="AC110" s="65">
        <v>129.19999999999999</v>
      </c>
      <c r="AD110" s="65">
        <v>128.30000000000001</v>
      </c>
      <c r="AE110" s="65">
        <v>129.19999999999999</v>
      </c>
      <c r="AF110" s="65">
        <v>129.69999999999999</v>
      </c>
      <c r="AG110" s="104"/>
      <c r="AH110" s="47">
        <f t="shared" si="32"/>
        <v>131.6</v>
      </c>
      <c r="AI110" s="48">
        <f t="shared" si="33"/>
        <v>123.7</v>
      </c>
    </row>
    <row r="111" spans="1:37" x14ac:dyDescent="0.25">
      <c r="A111" s="103" t="s">
        <v>111</v>
      </c>
      <c r="B111" s="65">
        <v>134.1</v>
      </c>
      <c r="C111" s="65">
        <v>134.5</v>
      </c>
      <c r="D111" s="65">
        <v>134.30000000000001</v>
      </c>
      <c r="E111" s="65">
        <v>135.19999999999999</v>
      </c>
      <c r="F111" s="65">
        <v>135.30000000000001</v>
      </c>
      <c r="G111" s="65">
        <v>134.1</v>
      </c>
      <c r="H111" s="65">
        <v>133</v>
      </c>
      <c r="I111" s="65">
        <v>131.6</v>
      </c>
      <c r="J111" s="65">
        <v>130.19999999999999</v>
      </c>
      <c r="K111" s="65">
        <v>128.19999999999999</v>
      </c>
      <c r="L111" s="65">
        <v>128.19999999999999</v>
      </c>
      <c r="M111" s="65">
        <v>125.9</v>
      </c>
      <c r="N111" s="65">
        <v>127.9</v>
      </c>
      <c r="O111" s="65">
        <v>128.5</v>
      </c>
      <c r="P111" s="65">
        <v>129.6</v>
      </c>
      <c r="Q111" s="65">
        <v>128.6</v>
      </c>
      <c r="R111" s="65">
        <v>128.5</v>
      </c>
      <c r="S111" s="65">
        <v>128.4</v>
      </c>
      <c r="T111" s="65">
        <v>128.19999999999999</v>
      </c>
      <c r="U111" s="65">
        <v>129.4</v>
      </c>
      <c r="V111" s="65">
        <v>128.4</v>
      </c>
      <c r="W111" s="65">
        <v>128.4</v>
      </c>
      <c r="X111" s="65">
        <v>128.19999999999999</v>
      </c>
      <c r="Y111" s="65">
        <v>129.6</v>
      </c>
      <c r="Z111" s="65">
        <v>129.6</v>
      </c>
      <c r="AA111" s="65">
        <v>131.1</v>
      </c>
      <c r="AB111" s="65">
        <v>131.36000000000001</v>
      </c>
      <c r="AC111" s="65">
        <v>131.36000000000001</v>
      </c>
      <c r="AD111" s="65">
        <v>131</v>
      </c>
      <c r="AE111" s="65">
        <v>132.30000000000001</v>
      </c>
      <c r="AF111" s="65">
        <v>132.80000000000001</v>
      </c>
      <c r="AG111" s="104"/>
      <c r="AH111" s="47">
        <f t="shared" si="32"/>
        <v>135.30000000000001</v>
      </c>
      <c r="AI111" s="48">
        <f t="shared" si="33"/>
        <v>125.9</v>
      </c>
    </row>
    <row r="112" spans="1:37" x14ac:dyDescent="0.25">
      <c r="A112" s="103" t="s">
        <v>112</v>
      </c>
      <c r="B112" s="65">
        <v>132.9</v>
      </c>
      <c r="C112" s="65">
        <v>133.30000000000001</v>
      </c>
      <c r="D112" s="65">
        <v>131.80000000000001</v>
      </c>
      <c r="E112" s="65">
        <v>133.5</v>
      </c>
      <c r="F112" s="65">
        <v>128.9</v>
      </c>
      <c r="G112" s="65">
        <v>128</v>
      </c>
      <c r="H112" s="65">
        <v>128</v>
      </c>
      <c r="I112" s="65">
        <v>127.7</v>
      </c>
      <c r="J112" s="65">
        <v>128.19999999999999</v>
      </c>
      <c r="K112" s="65">
        <v>128.1</v>
      </c>
      <c r="L112" s="65">
        <v>128.1</v>
      </c>
      <c r="M112" s="65">
        <v>122.7</v>
      </c>
      <c r="N112" s="65">
        <v>126</v>
      </c>
      <c r="O112" s="65">
        <v>127.3</v>
      </c>
      <c r="P112" s="65">
        <v>127.5</v>
      </c>
      <c r="Q112" s="65">
        <v>127</v>
      </c>
      <c r="R112" s="65">
        <v>126.5</v>
      </c>
      <c r="S112" s="65">
        <v>124.9</v>
      </c>
      <c r="T112" s="65">
        <v>127.5</v>
      </c>
      <c r="U112" s="65">
        <v>129</v>
      </c>
      <c r="V112" s="65">
        <v>127.9</v>
      </c>
      <c r="W112" s="65">
        <v>127.9</v>
      </c>
      <c r="X112" s="65">
        <v>126.3</v>
      </c>
      <c r="Y112" s="65">
        <v>134.19999999999999</v>
      </c>
      <c r="Z112" s="65">
        <v>134.19999999999999</v>
      </c>
      <c r="AA112" s="65">
        <v>132.88999999999999</v>
      </c>
      <c r="AB112" s="65">
        <v>129.30000000000001</v>
      </c>
      <c r="AC112" s="65">
        <v>129.30000000000001</v>
      </c>
      <c r="AD112" s="65">
        <v>130.1</v>
      </c>
      <c r="AE112" s="65">
        <v>131.80000000000001</v>
      </c>
      <c r="AF112" s="65">
        <v>130.30000000000001</v>
      </c>
      <c r="AG112" s="104"/>
      <c r="AH112" s="47">
        <f t="shared" si="32"/>
        <v>134.19999999999999</v>
      </c>
      <c r="AI112" s="48">
        <f t="shared" si="33"/>
        <v>122.7</v>
      </c>
    </row>
    <row r="113" spans="1:35" x14ac:dyDescent="0.25">
      <c r="A113" s="105" t="s">
        <v>113</v>
      </c>
      <c r="B113" s="65">
        <v>132.9</v>
      </c>
      <c r="C113" s="65">
        <v>133.19999999999999</v>
      </c>
      <c r="D113" s="65">
        <v>132.5</v>
      </c>
      <c r="E113" s="65">
        <v>133.4</v>
      </c>
      <c r="F113" s="65">
        <v>130.69999999999999</v>
      </c>
      <c r="G113" s="65">
        <v>130</v>
      </c>
      <c r="H113" s="65">
        <v>129.1</v>
      </c>
      <c r="I113" s="65">
        <v>127.3</v>
      </c>
      <c r="J113" s="65">
        <v>130.6</v>
      </c>
      <c r="K113" s="65">
        <v>128.1</v>
      </c>
      <c r="L113" s="65">
        <v>128.1</v>
      </c>
      <c r="M113" s="65">
        <v>124.1</v>
      </c>
      <c r="N113" s="65">
        <v>126.8</v>
      </c>
      <c r="O113" s="65">
        <v>129</v>
      </c>
      <c r="P113" s="65">
        <v>129.4</v>
      </c>
      <c r="Q113" s="65">
        <v>129.69999999999999</v>
      </c>
      <c r="R113" s="65">
        <v>128.69999999999999</v>
      </c>
      <c r="S113" s="65">
        <v>127</v>
      </c>
      <c r="T113" s="65">
        <v>129.19999999999999</v>
      </c>
      <c r="U113" s="65">
        <v>129.4</v>
      </c>
      <c r="V113" s="65">
        <v>128.30000000000001</v>
      </c>
      <c r="W113" s="65">
        <v>128.30000000000001</v>
      </c>
      <c r="X113" s="65">
        <v>123.4</v>
      </c>
      <c r="Y113" s="65">
        <v>134.1</v>
      </c>
      <c r="Z113" s="65">
        <v>134.1</v>
      </c>
      <c r="AA113" s="65">
        <v>132</v>
      </c>
      <c r="AB113" s="65">
        <v>131.19999999999999</v>
      </c>
      <c r="AC113" s="65">
        <v>131.19999999999999</v>
      </c>
      <c r="AD113" s="65">
        <v>131.69999999999999</v>
      </c>
      <c r="AE113" s="65">
        <v>133.4</v>
      </c>
      <c r="AF113" s="65">
        <v>133.30000000000001</v>
      </c>
      <c r="AG113" s="104"/>
      <c r="AH113" s="47">
        <f t="shared" si="32"/>
        <v>134.1</v>
      </c>
      <c r="AI113" s="48">
        <f t="shared" si="33"/>
        <v>123.4</v>
      </c>
    </row>
    <row r="114" spans="1:35" x14ac:dyDescent="0.25">
      <c r="A114" s="105" t="s">
        <v>114</v>
      </c>
      <c r="B114" s="106">
        <v>135</v>
      </c>
      <c r="C114" s="106">
        <v>135.1</v>
      </c>
      <c r="D114" s="106">
        <v>134.9</v>
      </c>
      <c r="E114" s="106">
        <v>135.6</v>
      </c>
      <c r="F114" s="106">
        <v>135.5</v>
      </c>
      <c r="G114" s="106">
        <v>136</v>
      </c>
      <c r="H114" s="106">
        <v>136.5</v>
      </c>
      <c r="I114" s="106">
        <v>134.5</v>
      </c>
      <c r="J114" s="106">
        <v>136.19999999999999</v>
      </c>
      <c r="K114" s="106">
        <v>135.69999999999999</v>
      </c>
      <c r="L114" s="106">
        <v>135.69999999999999</v>
      </c>
      <c r="M114" s="106">
        <v>131.6</v>
      </c>
      <c r="N114" s="106">
        <v>133.5</v>
      </c>
      <c r="O114" s="106">
        <v>134.4</v>
      </c>
      <c r="P114" s="106">
        <v>135</v>
      </c>
      <c r="Q114" s="106">
        <v>134</v>
      </c>
      <c r="R114" s="106">
        <v>132.4</v>
      </c>
      <c r="S114" s="106">
        <v>132.30000000000001</v>
      </c>
      <c r="T114" s="106">
        <v>131.80000000000001</v>
      </c>
      <c r="U114" s="106">
        <v>132</v>
      </c>
      <c r="V114" s="106">
        <v>133.69999999999999</v>
      </c>
      <c r="W114" s="106">
        <v>133.69999999999999</v>
      </c>
      <c r="X114" s="106">
        <v>134.69999999999999</v>
      </c>
      <c r="Y114" s="106">
        <v>134.6</v>
      </c>
      <c r="Z114" s="106">
        <v>134.6</v>
      </c>
      <c r="AA114" s="106">
        <v>135.6</v>
      </c>
      <c r="AB114" s="106">
        <v>135.6</v>
      </c>
      <c r="AC114" s="106">
        <v>135.6</v>
      </c>
      <c r="AD114" s="106">
        <v>135.80000000000001</v>
      </c>
      <c r="AE114" s="106">
        <v>135</v>
      </c>
      <c r="AF114" s="106">
        <v>134.6</v>
      </c>
      <c r="AG114" s="107"/>
      <c r="AH114" s="47">
        <f t="shared" si="32"/>
        <v>136.5</v>
      </c>
      <c r="AI114" s="48">
        <f t="shared" si="33"/>
        <v>131.6</v>
      </c>
    </row>
    <row r="115" spans="1:35" x14ac:dyDescent="0.25">
      <c r="A115" s="103" t="s">
        <v>115</v>
      </c>
      <c r="B115" s="65">
        <v>137.6</v>
      </c>
      <c r="C115" s="65">
        <v>134.69999999999999</v>
      </c>
      <c r="D115" s="65">
        <v>132.4</v>
      </c>
      <c r="E115" s="65">
        <v>134.30000000000001</v>
      </c>
      <c r="F115" s="65">
        <v>136.19999999999999</v>
      </c>
      <c r="G115" s="65" t="s">
        <v>277</v>
      </c>
      <c r="H115" s="65">
        <v>131.69999999999999</v>
      </c>
      <c r="I115" s="65">
        <v>131.80000000000001</v>
      </c>
      <c r="J115" s="65">
        <v>131.69999999999999</v>
      </c>
      <c r="K115" s="65">
        <v>132.6</v>
      </c>
      <c r="L115" s="65">
        <v>132.6</v>
      </c>
      <c r="M115" s="65">
        <v>134.1</v>
      </c>
      <c r="N115" s="65">
        <v>130.6</v>
      </c>
      <c r="O115" s="65">
        <v>133.80000000000001</v>
      </c>
      <c r="P115" s="65">
        <v>134</v>
      </c>
      <c r="Q115" s="65">
        <v>134</v>
      </c>
      <c r="R115" s="65">
        <v>134.1</v>
      </c>
      <c r="S115" s="65">
        <v>131.9</v>
      </c>
      <c r="T115" s="65">
        <v>130.5</v>
      </c>
      <c r="U115" s="65">
        <v>128</v>
      </c>
      <c r="V115" s="65">
        <v>136</v>
      </c>
      <c r="W115" s="65">
        <v>136</v>
      </c>
      <c r="X115" s="65">
        <v>130.69999999999999</v>
      </c>
      <c r="Y115" s="65">
        <v>138.30000000000001</v>
      </c>
      <c r="Z115" s="65">
        <v>138.30000000000001</v>
      </c>
      <c r="AA115" s="65">
        <v>132.69999999999999</v>
      </c>
      <c r="AB115" s="65">
        <v>132.19999999999999</v>
      </c>
      <c r="AC115" s="65">
        <v>132.19999999999999</v>
      </c>
      <c r="AD115" s="65">
        <v>134.4</v>
      </c>
      <c r="AE115" s="65">
        <v>136.1</v>
      </c>
      <c r="AF115" s="65">
        <v>131</v>
      </c>
      <c r="AG115" s="104"/>
      <c r="AH115" s="47">
        <f t="shared" si="32"/>
        <v>138.30000000000001</v>
      </c>
      <c r="AI115" s="48">
        <f t="shared" si="33"/>
        <v>128</v>
      </c>
    </row>
    <row r="116" spans="1:35" ht="15.75" thickBot="1" x14ac:dyDescent="0.3">
      <c r="A116" s="103" t="s">
        <v>116</v>
      </c>
      <c r="B116" s="92">
        <v>67.400000000000006</v>
      </c>
      <c r="C116" s="92">
        <v>67.5</v>
      </c>
      <c r="D116" s="92">
        <v>67.5</v>
      </c>
      <c r="E116" s="92">
        <v>67.8</v>
      </c>
      <c r="F116" s="92">
        <v>67.8</v>
      </c>
      <c r="G116" s="92">
        <v>67.3</v>
      </c>
      <c r="H116" s="92">
        <v>66.7</v>
      </c>
      <c r="I116" s="92">
        <v>66</v>
      </c>
      <c r="J116" s="92">
        <v>65.2</v>
      </c>
      <c r="K116" s="92">
        <v>64.099999999999994</v>
      </c>
      <c r="L116" s="92">
        <v>64.099999999999994</v>
      </c>
      <c r="M116" s="92">
        <v>63.1</v>
      </c>
      <c r="N116" s="92">
        <v>64</v>
      </c>
      <c r="O116" s="92">
        <v>64.2</v>
      </c>
      <c r="P116" s="92">
        <v>64.900000000000006</v>
      </c>
      <c r="Q116" s="92">
        <v>64.400000000000006</v>
      </c>
      <c r="R116" s="92">
        <v>64.3</v>
      </c>
      <c r="S116" s="92">
        <v>64.3</v>
      </c>
      <c r="T116" s="92">
        <v>64.3</v>
      </c>
      <c r="U116" s="92">
        <v>64.8</v>
      </c>
      <c r="V116" s="92">
        <v>64.400000000000006</v>
      </c>
      <c r="W116" s="92">
        <v>64.400000000000006</v>
      </c>
      <c r="X116" s="92">
        <v>64.099999999999994</v>
      </c>
      <c r="Y116" s="92">
        <v>64.5</v>
      </c>
      <c r="Z116" s="92">
        <v>64.5</v>
      </c>
      <c r="AA116" s="92">
        <v>65.400000000000006</v>
      </c>
      <c r="AB116" s="92">
        <v>65.400000000000006</v>
      </c>
      <c r="AC116" s="92">
        <v>65.400000000000006</v>
      </c>
      <c r="AD116" s="92">
        <v>65.5</v>
      </c>
      <c r="AE116" s="92">
        <v>66.400000000000006</v>
      </c>
      <c r="AF116" s="92">
        <v>66.8</v>
      </c>
      <c r="AG116" s="108"/>
      <c r="AH116" s="47">
        <f t="shared" si="32"/>
        <v>67.8</v>
      </c>
      <c r="AI116" s="48">
        <f t="shared" si="33"/>
        <v>63.1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2"/>
        <v>0</v>
      </c>
      <c r="AI117" s="48">
        <f t="shared" si="33"/>
        <v>0</v>
      </c>
    </row>
    <row r="118" spans="1:35" ht="15.75" thickBot="1" x14ac:dyDescent="0.3">
      <c r="A118" s="110" t="s">
        <v>118</v>
      </c>
      <c r="B118" s="111">
        <f t="shared" ref="B118:O118" si="91">SUM(B22,B28,B31:B32,B66,B68:B69,B71,B73,B119:B123,B148,B154,B160,B169,B171,B183,B190,B193:B194,B201,B203,B205,B209:B211,B213:B215,B220,B226:B227,B229:B231,B239,B244)</f>
        <v>94.24499999999999</v>
      </c>
      <c r="C118" s="111">
        <f t="shared" si="91"/>
        <v>70.039999999999992</v>
      </c>
      <c r="D118" s="111">
        <f t="shared" si="91"/>
        <v>72.44</v>
      </c>
      <c r="E118" s="111">
        <f t="shared" si="91"/>
        <v>66.190000000000026</v>
      </c>
      <c r="F118" s="111">
        <f t="shared" si="91"/>
        <v>77.740000000000009</v>
      </c>
      <c r="G118" s="111">
        <f t="shared" si="91"/>
        <v>96.140000000000015</v>
      </c>
      <c r="H118" s="111">
        <f t="shared" si="91"/>
        <v>128.94</v>
      </c>
      <c r="I118" s="111">
        <f t="shared" si="91"/>
        <v>175.54</v>
      </c>
      <c r="J118" s="111">
        <f t="shared" si="91"/>
        <v>204.875</v>
      </c>
      <c r="K118" s="111">
        <f t="shared" si="91"/>
        <v>255.42000000000004</v>
      </c>
      <c r="L118" s="111">
        <f t="shared" si="91"/>
        <v>257.42</v>
      </c>
      <c r="M118" s="111">
        <f t="shared" si="91"/>
        <v>343.69200000000001</v>
      </c>
      <c r="N118" s="111">
        <f t="shared" si="91"/>
        <v>240.04000000000002</v>
      </c>
      <c r="O118" s="111">
        <f t="shared" si="91"/>
        <v>232.34</v>
      </c>
      <c r="P118" s="111">
        <v>42</v>
      </c>
      <c r="Q118" s="111">
        <f t="shared" ref="Q118:AF118" si="92">SUM(Q22,Q28,Q31:Q32,Q66,Q68:Q69,Q71,Q73,Q119:Q123,Q148,Q154,Q160,Q169,Q171,Q183,Q190,Q193:Q194,Q201,Q203,Q205,Q209:Q211,Q213:Q215,Q220,Q226:Q227,Q229:Q231,Q239,Q244)</f>
        <v>233.24</v>
      </c>
      <c r="R118" s="111">
        <f t="shared" si="92"/>
        <v>209.94</v>
      </c>
      <c r="S118" s="111">
        <f t="shared" ref="S118:T118" si="93">SUM(S22,S28,S31:S32,S66,S68:S69,S71,S73,S119:S123,S148,S154,S160,S169,S171,S183,S190,S193:S194,S201,S203,S205,S209:S211,S213:S215,S220,S226:S227,S229:S231,S239,S244)</f>
        <v>235.09000000000003</v>
      </c>
      <c r="T118" s="111">
        <f t="shared" si="93"/>
        <v>229.24</v>
      </c>
      <c r="U118" s="111">
        <f t="shared" ref="U118:V118" si="94">SUM(U22,U28,U31:U32,U66,U68:U69,U71,U73,U119:U123,U148,U154,U160,U169,U171,U183,U190,U193:U194,U201,U203,U205,U209:U211,U213:U215,U220,U226:U227,U229:U231,U239,U244)</f>
        <v>231.18999999999997</v>
      </c>
      <c r="V118" s="111">
        <f t="shared" si="94"/>
        <v>254.64000000000001</v>
      </c>
      <c r="W118" s="111">
        <f t="shared" ref="W118:X118" si="95">SUM(W22,W28,W31:W32,W66,W68:W69,W71,W73,W119:W123,W148,W154,W160,W169,W171,W183,W190,W193:W194,W201,W203,W205,W209:W211,W213:W215,W220,W226:W227,W229:W231,W239,W244)</f>
        <v>298.54000000000002</v>
      </c>
      <c r="X118" s="111">
        <f t="shared" si="95"/>
        <v>332.84</v>
      </c>
      <c r="Y118" s="111">
        <f t="shared" ref="Y118:Z118" si="96">SUM(Y22,Y28,Y31:Y32,Y66,Y68:Y69,Y71,Y73,Y119:Y123,Y148,Y154,Y160,Y169,Y171,Y183,Y190,Y193:Y194,Y201,Y203,Y205,Y209:Y211,Y213:Y215,Y220,Y226:Y227,Y229:Y231,Y239,Y244)</f>
        <v>319.42</v>
      </c>
      <c r="Z118" s="111">
        <f t="shared" si="96"/>
        <v>327.68</v>
      </c>
      <c r="AA118" s="111">
        <f t="shared" ref="AA118" si="97">SUM(AA22,AA28,AA31:AA32,AA66,AA68:AA69,AA71,AA73,AA119:AA123,AA148,AA154,AA160,AA169,AA171,AA183,AA190,AA193:AA194,AA201,AA203,AA205,AA209:AA211,AA213:AA215,AA220,AA226:AA227,AA229:AA231,AA239,AA244)</f>
        <v>283.33999999999997</v>
      </c>
      <c r="AB118" s="111">
        <f t="shared" si="92"/>
        <v>257.70800000000003</v>
      </c>
      <c r="AC118" s="111">
        <f t="shared" si="92"/>
        <v>257.70800000000003</v>
      </c>
      <c r="AD118" s="111"/>
      <c r="AE118" s="111">
        <f t="shared" si="92"/>
        <v>155.34</v>
      </c>
      <c r="AF118" s="111">
        <f t="shared" si="92"/>
        <v>113.24</v>
      </c>
      <c r="AG118" s="112"/>
      <c r="AH118" s="47">
        <f t="shared" si="32"/>
        <v>343.69200000000001</v>
      </c>
      <c r="AI118" s="48">
        <f t="shared" si="33"/>
        <v>42</v>
      </c>
    </row>
    <row r="119" spans="1:35" x14ac:dyDescent="0.25">
      <c r="A119" s="181" t="s">
        <v>119</v>
      </c>
      <c r="B119" s="113">
        <v>0</v>
      </c>
      <c r="C119" s="113">
        <v>0</v>
      </c>
      <c r="D119" s="113">
        <v>0</v>
      </c>
      <c r="E119" s="113"/>
      <c r="F119" s="113"/>
      <c r="G119" s="113"/>
      <c r="H119" s="113"/>
      <c r="I119" s="113"/>
      <c r="J119" s="113"/>
      <c r="K119" s="113"/>
      <c r="L119" s="113"/>
      <c r="M119" s="113">
        <f>170/5</f>
        <v>34</v>
      </c>
      <c r="N119" s="113">
        <v>0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  <c r="Z119" s="113">
        <v>0</v>
      </c>
      <c r="AA119" s="113">
        <v>0</v>
      </c>
      <c r="AB119" s="113">
        <v>0</v>
      </c>
      <c r="AC119" s="113">
        <v>0</v>
      </c>
      <c r="AD119" s="113">
        <v>0</v>
      </c>
      <c r="AE119" s="113">
        <v>0</v>
      </c>
      <c r="AF119" s="113">
        <v>0</v>
      </c>
      <c r="AG119" s="114">
        <v>75</v>
      </c>
      <c r="AH119" s="47">
        <f t="shared" si="32"/>
        <v>34</v>
      </c>
      <c r="AI119" s="48">
        <f t="shared" si="33"/>
        <v>0</v>
      </c>
    </row>
    <row r="120" spans="1:35" x14ac:dyDescent="0.25">
      <c r="A120" s="182" t="s">
        <v>120</v>
      </c>
      <c r="B120" s="115">
        <v>19.100000000000001</v>
      </c>
      <c r="C120" s="115">
        <v>18</v>
      </c>
      <c r="D120" s="115">
        <v>17.100000000000001</v>
      </c>
      <c r="E120" s="115">
        <v>20.7</v>
      </c>
      <c r="F120" s="115">
        <v>12.3</v>
      </c>
      <c r="G120" s="115">
        <v>20.399999999999999</v>
      </c>
      <c r="H120" s="115">
        <v>23.9</v>
      </c>
      <c r="I120" s="115">
        <v>15.2</v>
      </c>
      <c r="J120" s="115">
        <v>24.2</v>
      </c>
      <c r="K120" s="115">
        <v>27.8</v>
      </c>
      <c r="L120" s="115">
        <v>28.8</v>
      </c>
      <c r="M120" s="115">
        <v>39.9</v>
      </c>
      <c r="N120" s="115">
        <v>51.2</v>
      </c>
      <c r="O120" s="115">
        <v>69</v>
      </c>
      <c r="P120" s="115">
        <v>71.3</v>
      </c>
      <c r="Q120" s="115">
        <v>43.2</v>
      </c>
      <c r="R120" s="115">
        <v>22.9</v>
      </c>
      <c r="S120" s="115">
        <v>21.8</v>
      </c>
      <c r="T120" s="115">
        <v>40.700000000000003</v>
      </c>
      <c r="U120" s="115">
        <v>43.9</v>
      </c>
      <c r="V120" s="115">
        <v>52.9</v>
      </c>
      <c r="W120" s="115">
        <v>54.8</v>
      </c>
      <c r="X120" s="115">
        <v>47.4</v>
      </c>
      <c r="Y120" s="115">
        <v>50</v>
      </c>
      <c r="Z120" s="115">
        <v>55</v>
      </c>
      <c r="AA120" s="115">
        <v>61.4</v>
      </c>
      <c r="AB120" s="115">
        <v>66.900000000000006</v>
      </c>
      <c r="AC120" s="115">
        <v>66.900000000000006</v>
      </c>
      <c r="AD120" s="115">
        <v>30</v>
      </c>
      <c r="AE120" s="115">
        <v>21.3</v>
      </c>
      <c r="AF120" s="115">
        <v>10.3</v>
      </c>
      <c r="AG120" s="114">
        <v>240</v>
      </c>
      <c r="AH120" s="47">
        <f t="shared" si="32"/>
        <v>71.3</v>
      </c>
      <c r="AI120" s="48">
        <f t="shared" si="33"/>
        <v>10.3</v>
      </c>
    </row>
    <row r="121" spans="1:35" x14ac:dyDescent="0.25">
      <c r="A121" s="182" t="s">
        <v>121</v>
      </c>
      <c r="B121" s="115">
        <v>-68.599999999999994</v>
      </c>
      <c r="C121" s="115">
        <v>-77.7</v>
      </c>
      <c r="D121" s="115">
        <v>-75</v>
      </c>
      <c r="E121" s="115">
        <f>-34.8-39.4</f>
        <v>-74.199999999999989</v>
      </c>
      <c r="F121" s="115">
        <f>-32.6-36.3</f>
        <v>-68.900000000000006</v>
      </c>
      <c r="G121" s="115">
        <f>-31-35.5</f>
        <v>-66.5</v>
      </c>
      <c r="H121" s="115">
        <f>-28.8-32.4</f>
        <v>-61.2</v>
      </c>
      <c r="I121" s="115">
        <f>-20.7-23.7</f>
        <v>-44.4</v>
      </c>
      <c r="J121" s="115">
        <f>-15.7-17.7</f>
        <v>-33.4</v>
      </c>
      <c r="K121" s="115">
        <f>-7.6-9.2</f>
        <v>-16.799999999999997</v>
      </c>
      <c r="L121" s="115">
        <f>-7.6-9.2</f>
        <v>-16.799999999999997</v>
      </c>
      <c r="M121" s="115">
        <v>-20.6</v>
      </c>
      <c r="N121" s="115">
        <v>-25</v>
      </c>
      <c r="O121" s="115">
        <v>-28</v>
      </c>
      <c r="P121" s="115">
        <v>-51.4</v>
      </c>
      <c r="Q121" s="115">
        <v>-36</v>
      </c>
      <c r="R121" s="115">
        <v>-24</v>
      </c>
      <c r="S121" s="115">
        <v>-21</v>
      </c>
      <c r="T121" s="115">
        <v>-24</v>
      </c>
      <c r="U121" s="115">
        <v>-22.9</v>
      </c>
      <c r="V121" s="115">
        <v>-35</v>
      </c>
      <c r="W121" s="115">
        <v>-14</v>
      </c>
      <c r="X121" s="115">
        <v>-3</v>
      </c>
      <c r="Y121" s="115">
        <v>5.3</v>
      </c>
      <c r="Z121" s="115">
        <v>14</v>
      </c>
      <c r="AA121" s="115">
        <v>-28</v>
      </c>
      <c r="AB121" s="115">
        <v>-40.1</v>
      </c>
      <c r="AC121" s="115">
        <v>-40.1</v>
      </c>
      <c r="AD121" s="115">
        <v>4</v>
      </c>
      <c r="AE121" s="115">
        <v>-7</v>
      </c>
      <c r="AF121" s="115">
        <v>-19</v>
      </c>
      <c r="AG121" s="114">
        <v>240</v>
      </c>
      <c r="AH121" s="47">
        <f t="shared" si="32"/>
        <v>14</v>
      </c>
      <c r="AI121" s="48">
        <f t="shared" si="33"/>
        <v>-77.7</v>
      </c>
    </row>
    <row r="122" spans="1:35" ht="15.75" thickBot="1" x14ac:dyDescent="0.3">
      <c r="A122" s="182" t="s">
        <v>122</v>
      </c>
      <c r="B122" s="115">
        <v>-0.4</v>
      </c>
      <c r="C122" s="115">
        <v>-2.2000000000000002</v>
      </c>
      <c r="D122" s="115">
        <v>-2.6</v>
      </c>
      <c r="E122" s="115">
        <v>-2.2999999999999998</v>
      </c>
      <c r="F122" s="115">
        <v>-1.6</v>
      </c>
      <c r="G122" s="115">
        <v>0</v>
      </c>
      <c r="H122" s="115">
        <v>2.1</v>
      </c>
      <c r="I122" s="115">
        <v>5.4</v>
      </c>
      <c r="J122" s="115">
        <v>7.6</v>
      </c>
      <c r="K122" s="115">
        <v>13.3</v>
      </c>
      <c r="L122" s="115">
        <v>14.3</v>
      </c>
      <c r="M122" s="115">
        <v>22.8</v>
      </c>
      <c r="N122" s="115">
        <v>20.6</v>
      </c>
      <c r="O122" s="115">
        <v>30</v>
      </c>
      <c r="P122" s="115">
        <v>29.8</v>
      </c>
      <c r="Q122" s="115">
        <v>12.2</v>
      </c>
      <c r="R122" s="115">
        <v>12.2</v>
      </c>
      <c r="S122" s="115">
        <v>13.4</v>
      </c>
      <c r="T122" s="115">
        <v>12.1</v>
      </c>
      <c r="U122" s="115">
        <v>26.7</v>
      </c>
      <c r="V122" s="115">
        <v>20.5</v>
      </c>
      <c r="W122" s="115">
        <v>29</v>
      </c>
      <c r="X122" s="115">
        <v>42.3</v>
      </c>
      <c r="Y122" s="115">
        <v>56.7</v>
      </c>
      <c r="Z122" s="115">
        <v>55.1</v>
      </c>
      <c r="AA122" s="115">
        <v>51.8</v>
      </c>
      <c r="AB122" s="115">
        <v>37.5</v>
      </c>
      <c r="AC122" s="115">
        <v>37.5</v>
      </c>
      <c r="AD122" s="115">
        <v>16</v>
      </c>
      <c r="AE122" s="115">
        <v>13.3</v>
      </c>
      <c r="AF122" s="115">
        <v>7</v>
      </c>
      <c r="AG122" s="114">
        <v>60</v>
      </c>
      <c r="AH122" s="47">
        <f t="shared" si="32"/>
        <v>56.7</v>
      </c>
      <c r="AI122" s="48">
        <f t="shared" si="33"/>
        <v>-2.6</v>
      </c>
    </row>
    <row r="123" spans="1:35" x14ac:dyDescent="0.25">
      <c r="A123" s="181" t="s">
        <v>267</v>
      </c>
      <c r="B123" s="117">
        <f>11.5*1.67</f>
        <v>19.204999999999998</v>
      </c>
      <c r="C123" s="117">
        <v>7</v>
      </c>
      <c r="D123" s="117">
        <v>8</v>
      </c>
      <c r="E123" s="117">
        <f>-1.7*1.5</f>
        <v>-2.5499999999999998</v>
      </c>
      <c r="F123" s="117">
        <f>7.6*1.5</f>
        <v>11.399999999999999</v>
      </c>
      <c r="G123" s="117">
        <f>10.6*1.5</f>
        <v>15.899999999999999</v>
      </c>
      <c r="H123" s="117">
        <f>25.2*1.5</f>
        <v>37.799999999999997</v>
      </c>
      <c r="I123" s="117">
        <v>73</v>
      </c>
      <c r="J123" s="117">
        <f>51.7*1.55</f>
        <v>80.135000000000005</v>
      </c>
      <c r="K123" s="117">
        <f>67.6*1.55</f>
        <v>104.78</v>
      </c>
      <c r="L123" s="117">
        <f>67.6*1.55</f>
        <v>104.78</v>
      </c>
      <c r="M123" s="117">
        <f>1.64*84.3</f>
        <v>138.25199999999998</v>
      </c>
      <c r="N123" s="117">
        <v>63.9</v>
      </c>
      <c r="O123" s="117">
        <v>32</v>
      </c>
      <c r="P123" s="117">
        <v>35</v>
      </c>
      <c r="Q123" s="117">
        <v>74</v>
      </c>
      <c r="R123" s="117">
        <v>59</v>
      </c>
      <c r="S123" s="117">
        <f>58.1*1.5</f>
        <v>87.15</v>
      </c>
      <c r="T123" s="117">
        <f>50.2*1.5</f>
        <v>75.300000000000011</v>
      </c>
      <c r="U123" s="117">
        <f>40.5*1.5</f>
        <v>60.75</v>
      </c>
      <c r="V123" s="117">
        <f>63.2*1.5</f>
        <v>94.800000000000011</v>
      </c>
      <c r="W123" s="117">
        <f>73.2*1.5</f>
        <v>109.80000000000001</v>
      </c>
      <c r="X123" s="117">
        <f>79.5*1.6</f>
        <v>127.2</v>
      </c>
      <c r="Y123" s="117">
        <f>55.3*1.6</f>
        <v>88.48</v>
      </c>
      <c r="Z123" s="117">
        <f>52.9*1.6</f>
        <v>84.64</v>
      </c>
      <c r="AA123" s="117">
        <f>49.5*1.6</f>
        <v>79.2</v>
      </c>
      <c r="AB123" s="117">
        <f>1.64*43.7</f>
        <v>71.668000000000006</v>
      </c>
      <c r="AC123" s="117">
        <f>1.64*43.7</f>
        <v>71.668000000000006</v>
      </c>
      <c r="AD123" s="117">
        <v>18</v>
      </c>
      <c r="AE123" s="117">
        <v>6</v>
      </c>
      <c r="AF123" s="117">
        <v>-6.8</v>
      </c>
      <c r="AG123" s="118">
        <v>120</v>
      </c>
      <c r="AH123" s="47">
        <f t="shared" si="32"/>
        <v>138.25199999999998</v>
      </c>
      <c r="AI123" s="48">
        <f t="shared" si="33"/>
        <v>-6.8</v>
      </c>
    </row>
    <row r="124" spans="1:35" x14ac:dyDescent="0.25">
      <c r="A124" s="182" t="s">
        <v>266</v>
      </c>
      <c r="B124" s="117">
        <v>44.6</v>
      </c>
      <c r="C124" s="117">
        <v>38.4</v>
      </c>
      <c r="D124" s="117">
        <v>39.4</v>
      </c>
      <c r="E124" s="117">
        <v>34.1</v>
      </c>
      <c r="F124" s="117">
        <v>40.6</v>
      </c>
      <c r="G124" s="117">
        <v>43.4</v>
      </c>
      <c r="H124" s="117">
        <v>56.7</v>
      </c>
      <c r="I124" s="117">
        <v>71.099999999999994</v>
      </c>
      <c r="J124" s="117">
        <v>77.2</v>
      </c>
      <c r="K124" s="117">
        <v>90.2</v>
      </c>
      <c r="L124" s="117">
        <v>90.2</v>
      </c>
      <c r="M124" s="117">
        <v>105</v>
      </c>
      <c r="N124" s="117">
        <v>87.2</v>
      </c>
      <c r="O124" s="117">
        <v>60</v>
      </c>
      <c r="P124" s="117">
        <v>51.9</v>
      </c>
      <c r="Q124" s="117">
        <v>73.3</v>
      </c>
      <c r="R124" s="117">
        <v>81</v>
      </c>
      <c r="S124" s="117">
        <v>80.41</v>
      </c>
      <c r="T124" s="117">
        <v>74.3</v>
      </c>
      <c r="U124" s="117">
        <v>67.400000000000006</v>
      </c>
      <c r="V124" s="117">
        <v>85.8</v>
      </c>
      <c r="W124" s="117">
        <v>93.4</v>
      </c>
      <c r="X124" s="117">
        <v>98.3</v>
      </c>
      <c r="Y124" s="117">
        <v>78.900000000000006</v>
      </c>
      <c r="Z124" s="117">
        <v>76.2</v>
      </c>
      <c r="AA124" s="117">
        <v>73.900000000000006</v>
      </c>
      <c r="AB124" s="117">
        <v>70.8</v>
      </c>
      <c r="AC124" s="117">
        <v>70.8</v>
      </c>
      <c r="AD124" s="117">
        <v>49</v>
      </c>
      <c r="AE124" s="117">
        <v>40</v>
      </c>
      <c r="AF124" s="117">
        <v>57</v>
      </c>
      <c r="AG124" s="118"/>
      <c r="AH124" s="47"/>
      <c r="AI124" s="48"/>
    </row>
    <row r="125" spans="1:35" x14ac:dyDescent="0.25">
      <c r="A125" s="182" t="s">
        <v>263</v>
      </c>
      <c r="B125" s="117">
        <v>12.8</v>
      </c>
      <c r="C125" s="117">
        <v>11.5</v>
      </c>
      <c r="D125" s="117">
        <v>15.5</v>
      </c>
      <c r="E125" s="117">
        <v>8.5</v>
      </c>
      <c r="F125" s="117">
        <v>18.7</v>
      </c>
      <c r="G125" s="117">
        <v>10</v>
      </c>
      <c r="H125" s="117">
        <v>10.1</v>
      </c>
      <c r="I125" s="117">
        <v>16.3</v>
      </c>
      <c r="J125" s="117">
        <v>2.2000000000000002</v>
      </c>
      <c r="K125" s="117">
        <v>-5.3</v>
      </c>
      <c r="L125" s="117">
        <v>-5.3</v>
      </c>
      <c r="M125" s="117">
        <v>-19.3</v>
      </c>
      <c r="N125" s="117">
        <v>-23</v>
      </c>
      <c r="O125" s="117">
        <v>-56</v>
      </c>
      <c r="P125" s="117">
        <v>-61</v>
      </c>
      <c r="Q125" s="117">
        <v>-9.9</v>
      </c>
      <c r="R125" s="117">
        <v>13</v>
      </c>
      <c r="S125" s="117">
        <v>10.4</v>
      </c>
      <c r="T125" s="117">
        <v>-14.9</v>
      </c>
      <c r="U125" s="117">
        <v>-34.1</v>
      </c>
      <c r="V125" s="117">
        <v>-25.9</v>
      </c>
      <c r="W125" s="117">
        <v>-42.8</v>
      </c>
      <c r="X125" s="117">
        <v>-54.3</v>
      </c>
      <c r="Y125" s="117">
        <v>-82</v>
      </c>
      <c r="Z125" s="117">
        <v>-85.7</v>
      </c>
      <c r="AA125" s="117">
        <v>-79.7</v>
      </c>
      <c r="AB125" s="117">
        <v>-72.900000000000006</v>
      </c>
      <c r="AC125" s="117">
        <v>-72.900000000000006</v>
      </c>
      <c r="AD125" s="117">
        <v>-53</v>
      </c>
      <c r="AE125" s="117">
        <v>-43</v>
      </c>
      <c r="AF125" s="117">
        <v>-27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38.1</v>
      </c>
      <c r="C126" s="117">
        <v>30.3</v>
      </c>
      <c r="D126" s="117">
        <v>31.7</v>
      </c>
      <c r="E126" s="117">
        <v>24.2</v>
      </c>
      <c r="F126" s="117">
        <v>35.299999999999997</v>
      </c>
      <c r="G126" s="117">
        <v>36.1</v>
      </c>
      <c r="H126" s="117">
        <v>46.1</v>
      </c>
      <c r="I126" s="117">
        <v>66.900000000000006</v>
      </c>
      <c r="J126" s="117">
        <v>71.900000000000006</v>
      </c>
      <c r="K126" s="117">
        <v>80.099999999999994</v>
      </c>
      <c r="L126" s="117">
        <v>80.099999999999994</v>
      </c>
      <c r="M126" s="117">
        <v>80.900000000000006</v>
      </c>
      <c r="N126" s="117">
        <v>67</v>
      </c>
      <c r="O126" s="117">
        <v>46</v>
      </c>
      <c r="P126" s="117">
        <v>33.5</v>
      </c>
      <c r="Q126" s="117">
        <v>71.8</v>
      </c>
      <c r="R126" s="117">
        <v>74</v>
      </c>
      <c r="S126" s="117">
        <v>78.8</v>
      </c>
      <c r="T126" s="117">
        <v>68.099999999999994</v>
      </c>
      <c r="U126" s="117">
        <v>58.8</v>
      </c>
      <c r="V126" s="117">
        <v>66.7</v>
      </c>
      <c r="W126" s="117">
        <v>64.5</v>
      </c>
      <c r="X126" s="117">
        <v>66.5</v>
      </c>
      <c r="Y126" s="117">
        <v>53.9</v>
      </c>
      <c r="Z126" s="117">
        <v>35.4</v>
      </c>
      <c r="AA126" s="117">
        <v>19.8</v>
      </c>
      <c r="AB126" s="117">
        <v>20.5</v>
      </c>
      <c r="AC126" s="117">
        <v>20.5</v>
      </c>
      <c r="AD126" s="117">
        <v>91</v>
      </c>
      <c r="AE126" s="117">
        <v>79.900000000000006</v>
      </c>
      <c r="AF126" s="117">
        <v>71</v>
      </c>
      <c r="AG126" s="114"/>
      <c r="AH126" s="47">
        <f t="shared" si="32"/>
        <v>91</v>
      </c>
      <c r="AI126" s="48">
        <f t="shared" si="33"/>
        <v>19.8</v>
      </c>
    </row>
    <row r="127" spans="1:35" x14ac:dyDescent="0.25">
      <c r="A127" s="181" t="s">
        <v>264</v>
      </c>
      <c r="B127" s="117">
        <v>5.2</v>
      </c>
      <c r="C127" s="117">
        <v>4.4000000000000004</v>
      </c>
      <c r="D127" s="117">
        <v>6.2</v>
      </c>
      <c r="E127" s="117">
        <v>8.1</v>
      </c>
      <c r="F127" s="117">
        <v>13.8</v>
      </c>
      <c r="G127" s="117">
        <v>5.9</v>
      </c>
      <c r="H127" s="117">
        <v>0</v>
      </c>
      <c r="I127" s="117">
        <v>7.8</v>
      </c>
      <c r="J127" s="117">
        <v>2.6</v>
      </c>
      <c r="K127" s="117">
        <v>-1</v>
      </c>
      <c r="L127" s="117">
        <v>-1</v>
      </c>
      <c r="M127" s="117">
        <v>1</v>
      </c>
      <c r="N127" s="117">
        <v>-1.1000000000000001</v>
      </c>
      <c r="O127" s="117">
        <v>-19</v>
      </c>
      <c r="P127" s="117">
        <v>-24.6</v>
      </c>
      <c r="Q127" s="117">
        <v>-17.8</v>
      </c>
      <c r="R127" s="117">
        <v>-8</v>
      </c>
      <c r="S127" s="117">
        <v>-8.6</v>
      </c>
      <c r="T127" s="117">
        <v>-9.6</v>
      </c>
      <c r="U127" s="117">
        <v>-13.8</v>
      </c>
      <c r="V127" s="117">
        <v>-7.4</v>
      </c>
      <c r="W127" s="117">
        <v>-8</v>
      </c>
      <c r="X127" s="117">
        <v>-1.9</v>
      </c>
      <c r="Y127" s="117">
        <v>-2.1</v>
      </c>
      <c r="Z127" s="117">
        <v>-7.4</v>
      </c>
      <c r="AA127" s="117">
        <v>-11.8</v>
      </c>
      <c r="AB127" s="117">
        <v>15.7</v>
      </c>
      <c r="AC127" s="117">
        <v>15.7</v>
      </c>
      <c r="AD127" s="117">
        <v>4.3</v>
      </c>
      <c r="AE127" s="117">
        <v>4.5999999999999996</v>
      </c>
      <c r="AF127" s="106">
        <v>-3.2</v>
      </c>
      <c r="AG127" s="114"/>
      <c r="AH127" s="47">
        <f t="shared" si="32"/>
        <v>15.7</v>
      </c>
      <c r="AI127" s="48">
        <f t="shared" si="33"/>
        <v>-24.6</v>
      </c>
    </row>
    <row r="128" spans="1:35" x14ac:dyDescent="0.25">
      <c r="A128" s="182" t="s">
        <v>126</v>
      </c>
      <c r="B128" s="106">
        <v>4.2</v>
      </c>
      <c r="C128" s="106">
        <v>5.6</v>
      </c>
      <c r="D128" s="106">
        <v>5.4</v>
      </c>
      <c r="E128" s="106">
        <v>6.8</v>
      </c>
      <c r="F128" s="106">
        <v>7.7</v>
      </c>
      <c r="G128" s="106">
        <v>2.1</v>
      </c>
      <c r="H128" s="106">
        <v>-2.6</v>
      </c>
      <c r="I128" s="106">
        <v>-8.3000000000000007</v>
      </c>
      <c r="J128" s="106">
        <v>-17.600000000000001</v>
      </c>
      <c r="K128" s="106">
        <v>-21.2</v>
      </c>
      <c r="L128" s="106">
        <v>-21.2</v>
      </c>
      <c r="M128" s="106">
        <v>-25.8</v>
      </c>
      <c r="N128" s="106">
        <v>-15</v>
      </c>
      <c r="O128" s="106">
        <v>-6.6</v>
      </c>
      <c r="P128" s="106">
        <v>-8.1999999999999993</v>
      </c>
      <c r="Q128" s="106">
        <v>-6.5</v>
      </c>
      <c r="R128" s="106">
        <v>-9</v>
      </c>
      <c r="S128" s="106">
        <v>-6.5</v>
      </c>
      <c r="T128" s="106">
        <v>-6.6</v>
      </c>
      <c r="U128" s="106">
        <v>-16.600000000000001</v>
      </c>
      <c r="V128" s="106">
        <v>-29</v>
      </c>
      <c r="W128" s="106">
        <v>-39.200000000000003</v>
      </c>
      <c r="X128" s="106">
        <v>-43</v>
      </c>
      <c r="Y128" s="106">
        <v>-31.6</v>
      </c>
      <c r="Z128" s="106">
        <v>-25.9</v>
      </c>
      <c r="AA128" s="106">
        <v>-21.9</v>
      </c>
      <c r="AB128" s="106">
        <v>-13.4</v>
      </c>
      <c r="AC128" s="106">
        <v>-13.4</v>
      </c>
      <c r="AD128" s="106">
        <v>-1.5</v>
      </c>
      <c r="AE128" s="106">
        <v>3.2</v>
      </c>
      <c r="AF128" s="106">
        <v>5.5</v>
      </c>
      <c r="AG128" s="114"/>
      <c r="AH128" s="47">
        <f t="shared" si="32"/>
        <v>7.7</v>
      </c>
      <c r="AI128" s="48">
        <f t="shared" si="33"/>
        <v>-43</v>
      </c>
    </row>
    <row r="129" spans="1:37" x14ac:dyDescent="0.25">
      <c r="A129" s="182" t="s">
        <v>268</v>
      </c>
      <c r="B129" s="106">
        <v>56.2</v>
      </c>
      <c r="C129" s="106">
        <v>61.3</v>
      </c>
      <c r="D129" s="106">
        <v>61.9</v>
      </c>
      <c r="E129" s="106">
        <v>59.6</v>
      </c>
      <c r="F129" s="106">
        <v>53</v>
      </c>
      <c r="G129" s="106">
        <v>57.2</v>
      </c>
      <c r="H129" s="106">
        <v>54.2</v>
      </c>
      <c r="I129" s="106">
        <v>36.700000000000003</v>
      </c>
      <c r="J129" s="106">
        <v>30.5</v>
      </c>
      <c r="K129" s="106">
        <v>20.5</v>
      </c>
      <c r="L129" s="106">
        <v>20.5</v>
      </c>
      <c r="M129" s="106">
        <v>17.3</v>
      </c>
      <c r="N129" s="106">
        <v>41</v>
      </c>
      <c r="O129" s="106">
        <v>64</v>
      </c>
      <c r="P129" s="106">
        <v>71</v>
      </c>
      <c r="Q129" s="106">
        <v>42.9</v>
      </c>
      <c r="R129" s="106">
        <v>25</v>
      </c>
      <c r="S129" s="106">
        <v>23.2</v>
      </c>
      <c r="T129" s="106">
        <v>32.6</v>
      </c>
      <c r="U129" s="106">
        <v>44</v>
      </c>
      <c r="V129" s="106">
        <v>44.2</v>
      </c>
      <c r="W129" s="106">
        <v>26.4</v>
      </c>
      <c r="X129" s="106">
        <v>15.8</v>
      </c>
      <c r="Y129" s="106">
        <v>13.3</v>
      </c>
      <c r="Z129" s="106">
        <v>34.200000000000003</v>
      </c>
      <c r="AA129" s="106">
        <v>47.9</v>
      </c>
      <c r="AB129" s="106">
        <v>54.3</v>
      </c>
      <c r="AC129" s="106">
        <v>54.3</v>
      </c>
      <c r="AD129" s="106">
        <v>10.8</v>
      </c>
      <c r="AE129" s="106">
        <v>17</v>
      </c>
      <c r="AF129" s="106">
        <v>20.2</v>
      </c>
      <c r="AG129" s="114"/>
      <c r="AH129" s="47">
        <f t="shared" si="32"/>
        <v>71</v>
      </c>
      <c r="AI129" s="48">
        <f t="shared" si="33"/>
        <v>10.8</v>
      </c>
    </row>
    <row r="130" spans="1:37" x14ac:dyDescent="0.25">
      <c r="A130" s="182" t="s">
        <v>265</v>
      </c>
      <c r="B130" s="106">
        <v>68.400000000000006</v>
      </c>
      <c r="C130" s="106">
        <v>69.900000000000006</v>
      </c>
      <c r="D130" s="106">
        <v>65.5</v>
      </c>
      <c r="E130" s="106">
        <v>67.099999999999994</v>
      </c>
      <c r="F130" s="106">
        <v>60.3</v>
      </c>
      <c r="G130" s="106">
        <v>72.400000000000006</v>
      </c>
      <c r="H130" s="106">
        <v>82.1</v>
      </c>
      <c r="I130" s="106">
        <v>86.3</v>
      </c>
      <c r="J130" s="106">
        <v>90.5</v>
      </c>
      <c r="K130" s="106">
        <v>93.7</v>
      </c>
      <c r="L130" s="106">
        <v>93.7</v>
      </c>
      <c r="M130" s="106">
        <v>98.7</v>
      </c>
      <c r="N130" s="106">
        <v>99</v>
      </c>
      <c r="O130" s="106">
        <v>96</v>
      </c>
      <c r="P130" s="106">
        <v>98.1</v>
      </c>
      <c r="Q130" s="106">
        <v>95.6</v>
      </c>
      <c r="R130" s="106">
        <v>92</v>
      </c>
      <c r="S130" s="106">
        <v>92.7</v>
      </c>
      <c r="T130" s="106">
        <v>97.3</v>
      </c>
      <c r="U130" s="106">
        <v>97.9</v>
      </c>
      <c r="V130" s="106">
        <v>100.8</v>
      </c>
      <c r="W130" s="106">
        <v>113.5</v>
      </c>
      <c r="X130" s="106">
        <v>110.7</v>
      </c>
      <c r="Y130" s="106">
        <v>82.9</v>
      </c>
      <c r="Z130" s="106">
        <v>77.599999999999994</v>
      </c>
      <c r="AA130" s="106">
        <v>75.87</v>
      </c>
      <c r="AB130" s="106">
        <v>62</v>
      </c>
      <c r="AC130" s="106">
        <v>62</v>
      </c>
      <c r="AD130" s="106">
        <v>73</v>
      </c>
      <c r="AE130" s="106">
        <v>70</v>
      </c>
      <c r="AF130" s="106">
        <v>66.2</v>
      </c>
      <c r="AG130" s="114"/>
      <c r="AH130" s="47">
        <f t="shared" si="32"/>
        <v>113.5</v>
      </c>
      <c r="AI130" s="48">
        <f t="shared" si="33"/>
        <v>60.3</v>
      </c>
    </row>
    <row r="131" spans="1:37" ht="15.75" thickBot="1" x14ac:dyDescent="0.3">
      <c r="A131" s="122" t="s">
        <v>129</v>
      </c>
      <c r="B131" s="123"/>
      <c r="C131" s="123"/>
      <c r="D131" s="123"/>
      <c r="E131" s="123"/>
      <c r="F131" s="176" t="s">
        <v>258</v>
      </c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83"/>
      <c r="AH131" s="47"/>
      <c r="AI131" s="48"/>
      <c r="AK131" s="50"/>
    </row>
    <row r="132" spans="1:37" x14ac:dyDescent="0.25">
      <c r="A132" s="125" t="s">
        <v>130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>
        <v>9.94</v>
      </c>
      <c r="AH132" s="47"/>
      <c r="AI132" s="48"/>
      <c r="AK132" s="50"/>
    </row>
    <row r="133" spans="1:37" x14ac:dyDescent="0.25">
      <c r="A133" s="103" t="s">
        <v>131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132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133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134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135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136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137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138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139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140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141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142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143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144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145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146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1">
        <v>9.9</v>
      </c>
      <c r="AH148" s="47"/>
      <c r="AI148" s="48"/>
      <c r="AK148" s="50"/>
    </row>
    <row r="149" spans="1:37" x14ac:dyDescent="0.25">
      <c r="A149" s="116" t="s">
        <v>147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9.6579999999999995</v>
      </c>
      <c r="AH149" s="47"/>
      <c r="AI149" s="48"/>
      <c r="AK149" s="50"/>
    </row>
    <row r="150" spans="1:37" x14ac:dyDescent="0.25">
      <c r="A150" s="116" t="s">
        <v>148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9.6</v>
      </c>
      <c r="AH150" s="47"/>
      <c r="AI150" s="48"/>
      <c r="AK150" s="50"/>
    </row>
    <row r="151" spans="1:37" x14ac:dyDescent="0.25">
      <c r="A151" s="116" t="s">
        <v>149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9.51</v>
      </c>
      <c r="AH151" s="47"/>
      <c r="AI151" s="48"/>
      <c r="AK151" s="50"/>
    </row>
    <row r="152" spans="1:37" x14ac:dyDescent="0.25">
      <c r="A152" s="116" t="s">
        <v>150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9.4</v>
      </c>
      <c r="AH152" s="47"/>
      <c r="AI152" s="48"/>
      <c r="AK152" s="50"/>
    </row>
    <row r="153" spans="1:37" x14ac:dyDescent="0.25">
      <c r="A153" s="116" t="s">
        <v>151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8.8000000000000007</v>
      </c>
      <c r="AH153" s="47"/>
      <c r="AI153" s="48"/>
      <c r="AK153" s="50"/>
    </row>
    <row r="154" spans="1:37" x14ac:dyDescent="0.25">
      <c r="A154" s="116" t="s">
        <v>152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8.5</v>
      </c>
      <c r="AH154" s="47"/>
      <c r="AI154" s="48"/>
      <c r="AK154" s="50"/>
    </row>
    <row r="155" spans="1:37" x14ac:dyDescent="0.25">
      <c r="A155" s="116" t="s">
        <v>153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8.5</v>
      </c>
      <c r="AH155" s="47"/>
      <c r="AI155" s="48"/>
      <c r="AK155" s="50"/>
    </row>
    <row r="156" spans="1:37" x14ac:dyDescent="0.25">
      <c r="A156" s="116" t="s">
        <v>154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8.4</v>
      </c>
      <c r="AH156" s="47"/>
      <c r="AI156" s="48"/>
      <c r="AK156" s="50"/>
    </row>
    <row r="157" spans="1:37" ht="13.5" customHeight="1" x14ac:dyDescent="0.25">
      <c r="A157" s="116" t="s">
        <v>155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8</v>
      </c>
      <c r="AH157" s="47"/>
      <c r="AI157" s="48"/>
      <c r="AK157" s="50"/>
    </row>
    <row r="158" spans="1:37" x14ac:dyDescent="0.25">
      <c r="A158" s="116" t="s">
        <v>156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</v>
      </c>
      <c r="AH158" s="47"/>
      <c r="AI158" s="48"/>
      <c r="AK158" s="50"/>
    </row>
    <row r="159" spans="1:37" x14ac:dyDescent="0.25">
      <c r="A159" s="116" t="s">
        <v>157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</v>
      </c>
      <c r="AH159" s="47"/>
      <c r="AI159" s="48"/>
      <c r="AK159" s="50"/>
    </row>
    <row r="160" spans="1:37" x14ac:dyDescent="0.25">
      <c r="A160" s="116" t="s">
        <v>158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7.8</v>
      </c>
      <c r="AH160" s="47"/>
      <c r="AI160" s="48"/>
      <c r="AK160" s="50"/>
    </row>
    <row r="161" spans="1:37" x14ac:dyDescent="0.25">
      <c r="A161" s="116" t="s">
        <v>159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7.6</v>
      </c>
      <c r="AH161" s="47"/>
      <c r="AI161" s="48"/>
      <c r="AK161" s="50"/>
    </row>
    <row r="162" spans="1:37" x14ac:dyDescent="0.25">
      <c r="A162" s="116" t="s">
        <v>160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7.5</v>
      </c>
      <c r="AH162" s="47"/>
      <c r="AI162" s="48"/>
      <c r="AK162" s="50"/>
    </row>
    <row r="163" spans="1:37" x14ac:dyDescent="0.25">
      <c r="A163" s="116" t="s">
        <v>161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7.5</v>
      </c>
      <c r="AH163" s="47"/>
      <c r="AI163" s="48"/>
      <c r="AK163" s="50"/>
    </row>
    <row r="164" spans="1:37" x14ac:dyDescent="0.25">
      <c r="A164" s="116" t="s">
        <v>162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7</v>
      </c>
      <c r="AH164" s="47"/>
      <c r="AI164" s="48"/>
      <c r="AK164" s="50"/>
    </row>
    <row r="165" spans="1:37" x14ac:dyDescent="0.25">
      <c r="A165" s="116" t="s">
        <v>163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</v>
      </c>
      <c r="AH165" s="47"/>
      <c r="AI165" s="48"/>
      <c r="AK165" s="50"/>
    </row>
    <row r="166" spans="1:37" x14ac:dyDescent="0.25">
      <c r="A166" s="116" t="s">
        <v>164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</v>
      </c>
      <c r="AH166" s="47"/>
      <c r="AI166" s="48"/>
      <c r="AK166" s="50"/>
    </row>
    <row r="167" spans="1:37" x14ac:dyDescent="0.25">
      <c r="A167" s="116" t="s">
        <v>165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</v>
      </c>
      <c r="AH167" s="47"/>
      <c r="AI167" s="48"/>
      <c r="AK167" s="50"/>
    </row>
    <row r="168" spans="1:37" x14ac:dyDescent="0.25">
      <c r="A168" s="116" t="s">
        <v>166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6.6</v>
      </c>
      <c r="AH168" s="47"/>
      <c r="AI168" s="48"/>
      <c r="AK168" s="50"/>
    </row>
    <row r="169" spans="1:37" x14ac:dyDescent="0.25">
      <c r="A169" s="116" t="s">
        <v>167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6.6</v>
      </c>
      <c r="AH169" s="47"/>
      <c r="AI169" s="48"/>
      <c r="AK169" s="50"/>
    </row>
    <row r="170" spans="1:37" x14ac:dyDescent="0.25">
      <c r="A170" s="116" t="s">
        <v>168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6.4</v>
      </c>
      <c r="AH170" s="47"/>
      <c r="AI170" s="48"/>
      <c r="AK170" s="50"/>
    </row>
    <row r="171" spans="1:37" x14ac:dyDescent="0.25">
      <c r="A171" s="116" t="s">
        <v>169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6</v>
      </c>
      <c r="AH171" s="47"/>
      <c r="AI171" s="48"/>
      <c r="AK171" s="50"/>
    </row>
    <row r="172" spans="1:37" x14ac:dyDescent="0.25">
      <c r="A172" s="116" t="s">
        <v>170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5.0999999999999996</v>
      </c>
      <c r="AH172" s="47"/>
      <c r="AI172" s="48"/>
      <c r="AK172" s="50"/>
    </row>
    <row r="173" spans="1:37" x14ac:dyDescent="0.25">
      <c r="A173" s="116" t="s">
        <v>171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5</v>
      </c>
      <c r="AH173" s="47"/>
      <c r="AI173" s="48"/>
      <c r="AK173" s="50"/>
    </row>
    <row r="174" spans="1:37" x14ac:dyDescent="0.25">
      <c r="A174" s="103" t="s">
        <v>172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1">
        <v>5</v>
      </c>
      <c r="AH174" s="47"/>
      <c r="AI174" s="48"/>
      <c r="AK174" s="50"/>
    </row>
    <row r="175" spans="1:37" x14ac:dyDescent="0.25">
      <c r="A175" s="116" t="s">
        <v>173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5</v>
      </c>
      <c r="AH175" s="47"/>
      <c r="AI175" s="48"/>
      <c r="AK175" s="50"/>
    </row>
    <row r="176" spans="1:37" x14ac:dyDescent="0.25">
      <c r="A176" s="116" t="s">
        <v>174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5</v>
      </c>
      <c r="AH176" s="47"/>
      <c r="AI176" s="48"/>
      <c r="AK176" s="50"/>
    </row>
    <row r="177" spans="1:37" x14ac:dyDescent="0.25">
      <c r="A177" s="116" t="s">
        <v>175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</v>
      </c>
      <c r="AH177" s="47"/>
      <c r="AI177" s="48"/>
      <c r="AK177" s="50"/>
    </row>
    <row r="178" spans="1:37" x14ac:dyDescent="0.25">
      <c r="A178" s="116" t="s">
        <v>176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16" t="s">
        <v>177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</v>
      </c>
      <c r="AH179" s="47"/>
      <c r="AI179" s="48"/>
      <c r="AK179" s="50"/>
    </row>
    <row r="180" spans="1:37" x14ac:dyDescent="0.25">
      <c r="A180" s="116" t="s">
        <v>178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4.9930000000000003</v>
      </c>
      <c r="AH180" s="47"/>
      <c r="AI180" s="48"/>
      <c r="AK180" s="50"/>
    </row>
    <row r="181" spans="1:37" x14ac:dyDescent="0.25">
      <c r="A181" s="116" t="s">
        <v>179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4.9800000000000004</v>
      </c>
      <c r="AH181" s="47"/>
      <c r="AI181" s="48"/>
      <c r="AK181" s="50"/>
    </row>
    <row r="182" spans="1:37" x14ac:dyDescent="0.25">
      <c r="A182" s="116" t="s">
        <v>180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4.95</v>
      </c>
      <c r="AH182" s="47"/>
      <c r="AI182" s="48"/>
      <c r="AK182" s="50"/>
    </row>
    <row r="183" spans="1:37" x14ac:dyDescent="0.25">
      <c r="A183" s="116" t="s">
        <v>181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4.95</v>
      </c>
      <c r="AH183" s="47"/>
      <c r="AI183" s="48"/>
      <c r="AK183" s="50"/>
    </row>
    <row r="184" spans="1:37" x14ac:dyDescent="0.25">
      <c r="A184" s="116" t="s">
        <v>182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4.8</v>
      </c>
      <c r="AH184" s="47"/>
      <c r="AI184" s="48"/>
      <c r="AK184" s="50"/>
    </row>
    <row r="185" spans="1:37" x14ac:dyDescent="0.25">
      <c r="A185" s="116" t="s">
        <v>183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4.8</v>
      </c>
      <c r="AH185" s="47"/>
      <c r="AI185" s="48"/>
      <c r="AK185" s="50"/>
    </row>
    <row r="186" spans="1:37" x14ac:dyDescent="0.25">
      <c r="A186" s="116" t="s">
        <v>184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4.8</v>
      </c>
      <c r="AH186" s="47"/>
      <c r="AI186" s="48"/>
      <c r="AK186" s="50"/>
    </row>
    <row r="187" spans="1:37" x14ac:dyDescent="0.25">
      <c r="A187" s="116" t="s">
        <v>185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4.5</v>
      </c>
      <c r="AH187" s="47"/>
      <c r="AI187" s="48"/>
      <c r="AK187" s="50"/>
    </row>
    <row r="188" spans="1:37" x14ac:dyDescent="0.25">
      <c r="A188" s="116" t="s">
        <v>186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4.5</v>
      </c>
      <c r="AH188" s="47"/>
      <c r="AI188" s="48"/>
      <c r="AK188" s="50"/>
    </row>
    <row r="189" spans="1:37" x14ac:dyDescent="0.25">
      <c r="A189" s="116" t="s">
        <v>187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4.4550000000000001</v>
      </c>
      <c r="AH189" s="47"/>
      <c r="AI189" s="48"/>
      <c r="AK189" s="50"/>
    </row>
    <row r="190" spans="1:37" x14ac:dyDescent="0.25">
      <c r="A190" s="116" t="s">
        <v>188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4.41</v>
      </c>
      <c r="AH190" s="47"/>
      <c r="AI190" s="48"/>
      <c r="AK190" s="50"/>
    </row>
    <row r="191" spans="1:37" x14ac:dyDescent="0.25">
      <c r="A191" s="116" t="s">
        <v>189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4.4000000000000004</v>
      </c>
      <c r="AH191" s="47"/>
      <c r="AI191" s="48"/>
      <c r="AK191" s="50"/>
    </row>
    <row r="192" spans="1:37" x14ac:dyDescent="0.25">
      <c r="A192" s="116" t="s">
        <v>190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4.3600000000000003</v>
      </c>
      <c r="AH192" s="47"/>
      <c r="AI192" s="48"/>
      <c r="AK192" s="50"/>
    </row>
    <row r="193" spans="1:37" x14ac:dyDescent="0.25">
      <c r="A193" s="116" t="s">
        <v>191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4.2</v>
      </c>
      <c r="AH193" s="47"/>
      <c r="AI193" s="48"/>
      <c r="AK193" s="50"/>
    </row>
    <row r="194" spans="1:37" x14ac:dyDescent="0.25">
      <c r="A194" s="116" t="s">
        <v>192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</v>
      </c>
      <c r="AH194" s="47"/>
      <c r="AI194" s="48"/>
      <c r="AK194" s="50"/>
    </row>
    <row r="195" spans="1:37" x14ac:dyDescent="0.25">
      <c r="A195" s="116" t="s">
        <v>193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</v>
      </c>
      <c r="AH195" s="47"/>
      <c r="AI195" s="48"/>
      <c r="AK195" s="50"/>
    </row>
    <row r="196" spans="1:37" x14ac:dyDescent="0.25">
      <c r="A196" s="116" t="s">
        <v>194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</v>
      </c>
      <c r="AH196" s="47"/>
      <c r="AI196" s="48"/>
      <c r="AK196" s="50"/>
    </row>
    <row r="197" spans="1:37" x14ac:dyDescent="0.25">
      <c r="A197" s="116" t="s">
        <v>195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</v>
      </c>
      <c r="AH197" s="47"/>
      <c r="AI197" s="48"/>
      <c r="AK197" s="50"/>
    </row>
    <row r="198" spans="1:37" x14ac:dyDescent="0.25">
      <c r="A198" s="116" t="s">
        <v>196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</v>
      </c>
      <c r="AH198" s="47"/>
      <c r="AI198" s="48"/>
      <c r="AK198" s="50"/>
    </row>
    <row r="199" spans="1:37" x14ac:dyDescent="0.25">
      <c r="A199" s="116" t="s">
        <v>197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198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199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200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3.75</v>
      </c>
      <c r="AH202" s="47"/>
      <c r="AI202" s="48"/>
      <c r="AK202" s="50"/>
    </row>
    <row r="203" spans="1:37" x14ac:dyDescent="0.25">
      <c r="A203" s="116" t="s">
        <v>201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3.52</v>
      </c>
      <c r="AH203" s="47"/>
      <c r="AI203" s="48"/>
      <c r="AK203" s="50"/>
    </row>
    <row r="204" spans="1:37" x14ac:dyDescent="0.25">
      <c r="A204" s="116" t="s">
        <v>202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3.33</v>
      </c>
      <c r="AH204" s="47"/>
      <c r="AI204" s="48"/>
      <c r="AK204" s="50"/>
    </row>
    <row r="205" spans="1:37" x14ac:dyDescent="0.25">
      <c r="A205" s="116" t="s">
        <v>203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3.2</v>
      </c>
      <c r="AH205" s="47"/>
      <c r="AI205" s="48"/>
      <c r="AK205" s="50"/>
    </row>
    <row r="206" spans="1:37" x14ac:dyDescent="0.25">
      <c r="A206" s="116" t="s">
        <v>204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3</v>
      </c>
      <c r="AH206" s="47"/>
      <c r="AI206" s="48"/>
      <c r="AK206" s="50"/>
    </row>
    <row r="207" spans="1:37" x14ac:dyDescent="0.25">
      <c r="A207" s="116" t="s">
        <v>205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</v>
      </c>
      <c r="AH207" s="47"/>
      <c r="AI207" s="48"/>
      <c r="AK207" s="50"/>
    </row>
    <row r="208" spans="1:37" x14ac:dyDescent="0.25">
      <c r="A208" s="116" t="s">
        <v>206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</v>
      </c>
      <c r="AH208" s="47"/>
      <c r="AI208" s="48"/>
      <c r="AK208" s="50"/>
    </row>
    <row r="209" spans="1:37" x14ac:dyDescent="0.25">
      <c r="A209" s="116" t="s">
        <v>207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</v>
      </c>
      <c r="AH209" s="47"/>
      <c r="AI209" s="48"/>
      <c r="AK209" s="50"/>
    </row>
    <row r="210" spans="1:37" x14ac:dyDescent="0.25">
      <c r="A210" s="116" t="s">
        <v>208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</v>
      </c>
      <c r="AH210" s="47"/>
      <c r="AI210" s="48"/>
      <c r="AK210" s="50"/>
    </row>
    <row r="211" spans="1:37" x14ac:dyDescent="0.25">
      <c r="A211" s="116" t="s">
        <v>209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210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211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212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2.83</v>
      </c>
      <c r="AH214" s="47"/>
      <c r="AI214" s="48"/>
      <c r="AK214" s="50"/>
    </row>
    <row r="215" spans="1:37" x14ac:dyDescent="0.25">
      <c r="A215" s="116" t="s">
        <v>213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2.5</v>
      </c>
      <c r="AH215" s="47"/>
      <c r="AI215" s="48"/>
      <c r="AK215" s="50"/>
    </row>
    <row r="216" spans="1:37" x14ac:dyDescent="0.25">
      <c r="A216" s="116" t="s">
        <v>214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2.5</v>
      </c>
      <c r="AH216" s="47"/>
      <c r="AI216" s="48"/>
      <c r="AK216" s="50"/>
    </row>
    <row r="217" spans="1:37" x14ac:dyDescent="0.25">
      <c r="A217" s="116" t="s">
        <v>215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2.4</v>
      </c>
      <c r="AH217" s="47"/>
      <c r="AI217" s="48"/>
      <c r="AK217" s="50"/>
    </row>
    <row r="218" spans="1:37" x14ac:dyDescent="0.25">
      <c r="A218" s="116" t="s">
        <v>216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2.4</v>
      </c>
      <c r="AH218" s="47"/>
      <c r="AI218" s="48"/>
      <c r="AK218" s="50"/>
    </row>
    <row r="219" spans="1:37" x14ac:dyDescent="0.25">
      <c r="A219" s="116" t="s">
        <v>217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2.2000000000000002</v>
      </c>
      <c r="AH219" s="47"/>
      <c r="AI219" s="48"/>
      <c r="AK219" s="50"/>
    </row>
    <row r="220" spans="1:37" x14ac:dyDescent="0.25">
      <c r="A220" s="116" t="s">
        <v>218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</v>
      </c>
      <c r="AH220" s="47"/>
      <c r="AI220" s="48"/>
      <c r="AK220" s="50"/>
    </row>
    <row r="221" spans="1:37" x14ac:dyDescent="0.25">
      <c r="A221" s="116" t="s">
        <v>219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</v>
      </c>
      <c r="AH221" s="47"/>
      <c r="AI221" s="48"/>
      <c r="AK221" s="50"/>
    </row>
    <row r="222" spans="1:37" x14ac:dyDescent="0.25">
      <c r="A222" s="116" t="s">
        <v>220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</v>
      </c>
      <c r="AH222" s="47"/>
      <c r="AI222" s="48"/>
      <c r="AK222" s="50"/>
    </row>
    <row r="223" spans="1:37" x14ac:dyDescent="0.25">
      <c r="A223" s="116" t="s">
        <v>221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1.8</v>
      </c>
      <c r="AH223" s="47"/>
      <c r="AI223" s="48"/>
      <c r="AK223" s="50"/>
    </row>
    <row r="224" spans="1:37" x14ac:dyDescent="0.25">
      <c r="A224" s="116" t="s">
        <v>222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1.8</v>
      </c>
      <c r="AH224" s="47"/>
      <c r="AI224" s="48"/>
      <c r="AK224" s="50"/>
    </row>
    <row r="225" spans="1:37" x14ac:dyDescent="0.25">
      <c r="A225" s="116" t="s">
        <v>223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1.65</v>
      </c>
      <c r="AH225" s="47"/>
      <c r="AI225" s="48"/>
      <c r="AK225" s="50"/>
    </row>
    <row r="226" spans="1:37" x14ac:dyDescent="0.25">
      <c r="A226" s="116" t="s">
        <v>224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1.5</v>
      </c>
      <c r="AH226" s="47"/>
      <c r="AI226" s="48"/>
      <c r="AK226" s="50"/>
    </row>
    <row r="227" spans="1:37" x14ac:dyDescent="0.25">
      <c r="A227" s="116" t="s">
        <v>225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0.998</v>
      </c>
      <c r="AH227" s="47"/>
      <c r="AI227" s="48"/>
      <c r="AK227" s="50"/>
    </row>
    <row r="228" spans="1:37" x14ac:dyDescent="0.25">
      <c r="A228" s="116" t="s">
        <v>226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0.997</v>
      </c>
      <c r="AH228" s="47"/>
      <c r="AI228" s="48"/>
      <c r="AK228" s="50"/>
    </row>
    <row r="229" spans="1:37" x14ac:dyDescent="0.25">
      <c r="A229" s="116" t="s">
        <v>227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0.997</v>
      </c>
      <c r="AH229" s="47"/>
      <c r="AI229" s="48"/>
      <c r="AK229" s="50"/>
    </row>
    <row r="230" spans="1:37" x14ac:dyDescent="0.25">
      <c r="A230" s="116" t="s">
        <v>228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0.996</v>
      </c>
      <c r="AH230" s="47"/>
      <c r="AI230" s="48"/>
      <c r="AK230" s="50"/>
    </row>
    <row r="231" spans="1:37" x14ac:dyDescent="0.25">
      <c r="A231" s="116" t="s">
        <v>229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0.996</v>
      </c>
      <c r="AH231" s="47"/>
      <c r="AI231" s="48"/>
      <c r="AK231" s="50"/>
    </row>
    <row r="232" spans="1:37" x14ac:dyDescent="0.25">
      <c r="A232" s="116" t="s">
        <v>230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0.996</v>
      </c>
      <c r="AH232" s="47"/>
      <c r="AI232" s="48"/>
      <c r="AK232" s="50"/>
    </row>
    <row r="233" spans="1:37" x14ac:dyDescent="0.25">
      <c r="A233" s="116" t="s">
        <v>231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0.995</v>
      </c>
      <c r="AH233" s="47"/>
      <c r="AI233" s="48"/>
      <c r="AK233" s="50"/>
    </row>
    <row r="234" spans="1:37" x14ac:dyDescent="0.25">
      <c r="A234" s="116" t="s">
        <v>232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0.99299999999999999</v>
      </c>
      <c r="AH234" s="47"/>
      <c r="AI234" s="48"/>
      <c r="AK234" s="50"/>
    </row>
    <row r="235" spans="1:37" x14ac:dyDescent="0.25">
      <c r="A235" s="116" t="s">
        <v>233</v>
      </c>
      <c r="B235" s="129"/>
      <c r="C235" s="127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</v>
      </c>
      <c r="AH235" s="47"/>
      <c r="AI235" s="48"/>
      <c r="AK235" s="50"/>
    </row>
    <row r="236" spans="1:37" ht="15.75" thickBot="1" x14ac:dyDescent="0.3">
      <c r="A236" s="116" t="s">
        <v>234</v>
      </c>
      <c r="B236" s="133"/>
      <c r="C236" s="134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2">
        <v>0.97899999999999998</v>
      </c>
      <c r="AH236" s="47"/>
      <c r="AI236" s="48"/>
      <c r="AK236" s="50"/>
    </row>
    <row r="237" spans="1:37" ht="15.75" thickBot="1" x14ac:dyDescent="0.3">
      <c r="A237" s="135" t="s">
        <v>235</v>
      </c>
      <c r="B237" s="136">
        <f t="shared" ref="B237:AG237" si="98">SUM(B132:B236)</f>
        <v>0</v>
      </c>
      <c r="C237" s="137">
        <f t="shared" si="98"/>
        <v>0</v>
      </c>
      <c r="D237" s="137">
        <f t="shared" si="98"/>
        <v>0</v>
      </c>
      <c r="E237" s="137">
        <f t="shared" si="98"/>
        <v>0</v>
      </c>
      <c r="F237" s="137">
        <f t="shared" si="98"/>
        <v>0</v>
      </c>
      <c r="G237" s="137">
        <f t="shared" si="98"/>
        <v>0</v>
      </c>
      <c r="H237" s="137">
        <f t="shared" si="98"/>
        <v>0</v>
      </c>
      <c r="I237" s="137">
        <f t="shared" si="98"/>
        <v>0</v>
      </c>
      <c r="J237" s="137">
        <f t="shared" si="98"/>
        <v>0</v>
      </c>
      <c r="K237" s="137">
        <f t="shared" si="98"/>
        <v>0</v>
      </c>
      <c r="L237" s="137">
        <f t="shared" si="98"/>
        <v>0</v>
      </c>
      <c r="M237" s="137">
        <f t="shared" si="98"/>
        <v>0</v>
      </c>
      <c r="N237" s="137">
        <f t="shared" si="98"/>
        <v>0</v>
      </c>
      <c r="O237" s="137">
        <f t="shared" si="98"/>
        <v>0</v>
      </c>
      <c r="P237" s="137">
        <f t="shared" si="98"/>
        <v>0</v>
      </c>
      <c r="Q237" s="137">
        <f t="shared" si="98"/>
        <v>0</v>
      </c>
      <c r="R237" s="137">
        <f t="shared" si="98"/>
        <v>0</v>
      </c>
      <c r="S237" s="137">
        <f t="shared" si="98"/>
        <v>0</v>
      </c>
      <c r="T237" s="137">
        <f t="shared" si="98"/>
        <v>0</v>
      </c>
      <c r="U237" s="137">
        <f t="shared" si="98"/>
        <v>0</v>
      </c>
      <c r="V237" s="137">
        <f t="shared" si="98"/>
        <v>0</v>
      </c>
      <c r="W237" s="137">
        <f t="shared" si="98"/>
        <v>0</v>
      </c>
      <c r="X237" s="137">
        <f t="shared" si="98"/>
        <v>0</v>
      </c>
      <c r="Y237" s="137">
        <f t="shared" si="98"/>
        <v>0</v>
      </c>
      <c r="Z237" s="137">
        <f t="shared" si="98"/>
        <v>0</v>
      </c>
      <c r="AA237" s="137">
        <f t="shared" si="98"/>
        <v>0</v>
      </c>
      <c r="AB237" s="137">
        <f t="shared" si="98"/>
        <v>0</v>
      </c>
      <c r="AC237" s="137">
        <f t="shared" si="98"/>
        <v>0</v>
      </c>
      <c r="AD237" s="137">
        <f t="shared" si="98"/>
        <v>0</v>
      </c>
      <c r="AE237" s="137">
        <f t="shared" si="98"/>
        <v>0</v>
      </c>
      <c r="AF237" s="138">
        <f t="shared" si="98"/>
        <v>0</v>
      </c>
      <c r="AG237" s="139">
        <f t="shared" si="98"/>
        <v>412.72299999999984</v>
      </c>
      <c r="AH237" s="47"/>
      <c r="AI237" s="48"/>
      <c r="AK237" s="50"/>
    </row>
    <row r="238" spans="1:37" ht="15.75" thickBot="1" x14ac:dyDescent="0.3">
      <c r="A238" s="26" t="s">
        <v>75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19"/>
      <c r="AH238" s="47"/>
      <c r="AI238" s="48"/>
      <c r="AK238" s="50"/>
    </row>
    <row r="239" spans="1:37" x14ac:dyDescent="0.25">
      <c r="A239" s="100" t="s">
        <v>236</v>
      </c>
      <c r="B239" s="141">
        <f t="shared" ref="B239:B244" si="99">AF239</f>
        <v>0.3</v>
      </c>
      <c r="C239" s="141">
        <v>0.3</v>
      </c>
      <c r="D239" s="141">
        <f t="shared" ref="D239:S244" si="100">C239</f>
        <v>0.3</v>
      </c>
      <c r="E239" s="141">
        <f t="shared" si="100"/>
        <v>0.3</v>
      </c>
      <c r="F239" s="141">
        <f t="shared" si="100"/>
        <v>0.3</v>
      </c>
      <c r="G239" s="141">
        <f t="shared" si="100"/>
        <v>0.3</v>
      </c>
      <c r="H239" s="141">
        <f t="shared" si="100"/>
        <v>0.3</v>
      </c>
      <c r="I239" s="141">
        <f t="shared" si="100"/>
        <v>0.3</v>
      </c>
      <c r="J239" s="141">
        <f t="shared" si="100"/>
        <v>0.3</v>
      </c>
      <c r="K239" s="141">
        <f t="shared" si="100"/>
        <v>0.3</v>
      </c>
      <c r="L239" s="141">
        <f t="shared" si="100"/>
        <v>0.3</v>
      </c>
      <c r="M239" s="141">
        <f t="shared" si="100"/>
        <v>0.3</v>
      </c>
      <c r="N239" s="141">
        <f t="shared" si="100"/>
        <v>0.3</v>
      </c>
      <c r="O239" s="141">
        <f t="shared" si="100"/>
        <v>0.3</v>
      </c>
      <c r="P239" s="141">
        <f t="shared" si="100"/>
        <v>0.3</v>
      </c>
      <c r="Q239" s="141">
        <f t="shared" si="100"/>
        <v>0.3</v>
      </c>
      <c r="R239" s="141">
        <f t="shared" si="100"/>
        <v>0.3</v>
      </c>
      <c r="S239" s="141">
        <f t="shared" si="100"/>
        <v>0.3</v>
      </c>
      <c r="T239" s="141">
        <f t="shared" ref="T239:AF244" si="101">S239</f>
        <v>0.3</v>
      </c>
      <c r="U239" s="141">
        <f t="shared" si="101"/>
        <v>0.3</v>
      </c>
      <c r="V239" s="141">
        <f t="shared" si="101"/>
        <v>0.3</v>
      </c>
      <c r="W239" s="141">
        <f t="shared" si="101"/>
        <v>0.3</v>
      </c>
      <c r="X239" s="141">
        <f t="shared" si="101"/>
        <v>0.3</v>
      </c>
      <c r="Y239" s="141">
        <f t="shared" si="101"/>
        <v>0.3</v>
      </c>
      <c r="Z239" s="141">
        <f t="shared" si="101"/>
        <v>0.3</v>
      </c>
      <c r="AA239" s="141">
        <f t="shared" si="101"/>
        <v>0.3</v>
      </c>
      <c r="AB239" s="141">
        <f t="shared" si="101"/>
        <v>0.3</v>
      </c>
      <c r="AC239" s="141">
        <f t="shared" si="101"/>
        <v>0.3</v>
      </c>
      <c r="AD239" s="141">
        <f t="shared" si="101"/>
        <v>0.3</v>
      </c>
      <c r="AE239" s="141">
        <f t="shared" si="101"/>
        <v>0.3</v>
      </c>
      <c r="AF239" s="141">
        <f t="shared" si="101"/>
        <v>0.3</v>
      </c>
      <c r="AG239" s="142">
        <v>2.4</v>
      </c>
      <c r="AH239" s="47"/>
      <c r="AI239" s="48"/>
      <c r="AK239" s="50"/>
    </row>
    <row r="240" spans="1:37" x14ac:dyDescent="0.25">
      <c r="A240" s="103" t="s">
        <v>237</v>
      </c>
      <c r="B240" s="129">
        <f t="shared" si="99"/>
        <v>0.4</v>
      </c>
      <c r="C240" s="129">
        <v>0.4</v>
      </c>
      <c r="D240" s="129">
        <f t="shared" si="100"/>
        <v>0.4</v>
      </c>
      <c r="E240" s="129">
        <f t="shared" si="100"/>
        <v>0.4</v>
      </c>
      <c r="F240" s="129">
        <f t="shared" si="100"/>
        <v>0.4</v>
      </c>
      <c r="G240" s="129">
        <f t="shared" si="100"/>
        <v>0.4</v>
      </c>
      <c r="H240" s="129">
        <f t="shared" si="100"/>
        <v>0.4</v>
      </c>
      <c r="I240" s="129">
        <f t="shared" si="100"/>
        <v>0.4</v>
      </c>
      <c r="J240" s="129">
        <f t="shared" si="100"/>
        <v>0.4</v>
      </c>
      <c r="K240" s="129">
        <f t="shared" si="100"/>
        <v>0.4</v>
      </c>
      <c r="L240" s="129">
        <f t="shared" si="100"/>
        <v>0.4</v>
      </c>
      <c r="M240" s="129">
        <f t="shared" si="100"/>
        <v>0.4</v>
      </c>
      <c r="N240" s="129">
        <f t="shared" si="100"/>
        <v>0.4</v>
      </c>
      <c r="O240" s="129">
        <f t="shared" si="100"/>
        <v>0.4</v>
      </c>
      <c r="P240" s="129">
        <f t="shared" si="100"/>
        <v>0.4</v>
      </c>
      <c r="Q240" s="129">
        <f t="shared" si="100"/>
        <v>0.4</v>
      </c>
      <c r="R240" s="129">
        <f t="shared" si="100"/>
        <v>0.4</v>
      </c>
      <c r="S240" s="129">
        <f t="shared" si="100"/>
        <v>0.4</v>
      </c>
      <c r="T240" s="129">
        <f t="shared" si="101"/>
        <v>0.4</v>
      </c>
      <c r="U240" s="129">
        <f t="shared" si="101"/>
        <v>0.4</v>
      </c>
      <c r="V240" s="129">
        <f t="shared" si="101"/>
        <v>0.4</v>
      </c>
      <c r="W240" s="129">
        <f t="shared" si="101"/>
        <v>0.4</v>
      </c>
      <c r="X240" s="129">
        <f t="shared" si="101"/>
        <v>0.4</v>
      </c>
      <c r="Y240" s="129">
        <f t="shared" si="101"/>
        <v>0.4</v>
      </c>
      <c r="Z240" s="129">
        <f t="shared" si="101"/>
        <v>0.4</v>
      </c>
      <c r="AA240" s="129">
        <f t="shared" si="101"/>
        <v>0.4</v>
      </c>
      <c r="AB240" s="129">
        <f t="shared" si="101"/>
        <v>0.4</v>
      </c>
      <c r="AC240" s="129">
        <f t="shared" si="101"/>
        <v>0.4</v>
      </c>
      <c r="AD240" s="129">
        <f t="shared" si="101"/>
        <v>0.4</v>
      </c>
      <c r="AE240" s="129">
        <f t="shared" si="101"/>
        <v>0.4</v>
      </c>
      <c r="AF240" s="129">
        <f t="shared" si="101"/>
        <v>0.4</v>
      </c>
      <c r="AG240" s="143">
        <v>2</v>
      </c>
      <c r="AH240" s="47"/>
      <c r="AI240" s="48"/>
      <c r="AK240" s="50"/>
    </row>
    <row r="241" spans="1:37" x14ac:dyDescent="0.25">
      <c r="A241" s="103" t="s">
        <v>238</v>
      </c>
      <c r="B241" s="129">
        <f t="shared" si="99"/>
        <v>1.5</v>
      </c>
      <c r="C241" s="129">
        <v>1.5</v>
      </c>
      <c r="D241" s="129">
        <f t="shared" si="100"/>
        <v>1.5</v>
      </c>
      <c r="E241" s="129">
        <f t="shared" si="100"/>
        <v>1.5</v>
      </c>
      <c r="F241" s="129">
        <f t="shared" si="100"/>
        <v>1.5</v>
      </c>
      <c r="G241" s="129">
        <f t="shared" si="100"/>
        <v>1.5</v>
      </c>
      <c r="H241" s="129">
        <f t="shared" si="100"/>
        <v>1.5</v>
      </c>
      <c r="I241" s="129">
        <f t="shared" si="100"/>
        <v>1.5</v>
      </c>
      <c r="J241" s="129">
        <f t="shared" si="100"/>
        <v>1.5</v>
      </c>
      <c r="K241" s="129">
        <f t="shared" si="100"/>
        <v>1.5</v>
      </c>
      <c r="L241" s="129">
        <f t="shared" si="100"/>
        <v>1.5</v>
      </c>
      <c r="M241" s="129">
        <f t="shared" si="100"/>
        <v>1.5</v>
      </c>
      <c r="N241" s="129">
        <f t="shared" si="100"/>
        <v>1.5</v>
      </c>
      <c r="O241" s="129">
        <f t="shared" si="100"/>
        <v>1.5</v>
      </c>
      <c r="P241" s="129">
        <f t="shared" si="100"/>
        <v>1.5</v>
      </c>
      <c r="Q241" s="129">
        <f t="shared" si="100"/>
        <v>1.5</v>
      </c>
      <c r="R241" s="129">
        <f t="shared" si="100"/>
        <v>1.5</v>
      </c>
      <c r="S241" s="129">
        <f t="shared" si="100"/>
        <v>1.5</v>
      </c>
      <c r="T241" s="129">
        <f t="shared" si="101"/>
        <v>1.5</v>
      </c>
      <c r="U241" s="129">
        <f t="shared" si="101"/>
        <v>1.5</v>
      </c>
      <c r="V241" s="129">
        <f t="shared" si="101"/>
        <v>1.5</v>
      </c>
      <c r="W241" s="129">
        <f t="shared" si="101"/>
        <v>1.5</v>
      </c>
      <c r="X241" s="129">
        <f t="shared" si="101"/>
        <v>1.5</v>
      </c>
      <c r="Y241" s="129">
        <f t="shared" si="101"/>
        <v>1.5</v>
      </c>
      <c r="Z241" s="129">
        <f t="shared" si="101"/>
        <v>1.5</v>
      </c>
      <c r="AA241" s="129">
        <f t="shared" si="101"/>
        <v>1.5</v>
      </c>
      <c r="AB241" s="129">
        <f t="shared" si="101"/>
        <v>1.5</v>
      </c>
      <c r="AC241" s="129">
        <f t="shared" si="101"/>
        <v>1.5</v>
      </c>
      <c r="AD241" s="129">
        <f t="shared" si="101"/>
        <v>1.5</v>
      </c>
      <c r="AE241" s="129">
        <f t="shared" si="101"/>
        <v>1.5</v>
      </c>
      <c r="AF241" s="129">
        <f t="shared" si="101"/>
        <v>1.5</v>
      </c>
      <c r="AG241" s="143">
        <v>1.5</v>
      </c>
      <c r="AH241" s="47"/>
      <c r="AI241" s="48"/>
      <c r="AK241" s="50"/>
    </row>
    <row r="242" spans="1:37" x14ac:dyDescent="0.25">
      <c r="A242" s="103" t="s">
        <v>239</v>
      </c>
      <c r="B242" s="129">
        <f t="shared" si="99"/>
        <v>0.3</v>
      </c>
      <c r="C242" s="129">
        <v>0.3</v>
      </c>
      <c r="D242" s="129">
        <f t="shared" si="100"/>
        <v>0.3</v>
      </c>
      <c r="E242" s="129">
        <f t="shared" si="100"/>
        <v>0.3</v>
      </c>
      <c r="F242" s="129">
        <f t="shared" si="100"/>
        <v>0.3</v>
      </c>
      <c r="G242" s="129">
        <f t="shared" si="100"/>
        <v>0.3</v>
      </c>
      <c r="H242" s="129">
        <f t="shared" si="100"/>
        <v>0.3</v>
      </c>
      <c r="I242" s="129">
        <f t="shared" si="100"/>
        <v>0.3</v>
      </c>
      <c r="J242" s="129">
        <f t="shared" si="100"/>
        <v>0.3</v>
      </c>
      <c r="K242" s="129">
        <f t="shared" si="100"/>
        <v>0.3</v>
      </c>
      <c r="L242" s="129">
        <f t="shared" si="100"/>
        <v>0.3</v>
      </c>
      <c r="M242" s="129">
        <f t="shared" si="100"/>
        <v>0.3</v>
      </c>
      <c r="N242" s="129">
        <f t="shared" si="100"/>
        <v>0.3</v>
      </c>
      <c r="O242" s="129">
        <f t="shared" si="100"/>
        <v>0.3</v>
      </c>
      <c r="P242" s="129">
        <f t="shared" si="100"/>
        <v>0.3</v>
      </c>
      <c r="Q242" s="129">
        <f t="shared" si="100"/>
        <v>0.3</v>
      </c>
      <c r="R242" s="129">
        <f t="shared" si="100"/>
        <v>0.3</v>
      </c>
      <c r="S242" s="129">
        <f t="shared" si="100"/>
        <v>0.3</v>
      </c>
      <c r="T242" s="129">
        <f t="shared" si="101"/>
        <v>0.3</v>
      </c>
      <c r="U242" s="129">
        <f t="shared" si="101"/>
        <v>0.3</v>
      </c>
      <c r="V242" s="129">
        <f t="shared" si="101"/>
        <v>0.3</v>
      </c>
      <c r="W242" s="129">
        <f t="shared" si="101"/>
        <v>0.3</v>
      </c>
      <c r="X242" s="129">
        <f t="shared" si="101"/>
        <v>0.3</v>
      </c>
      <c r="Y242" s="129">
        <f t="shared" si="101"/>
        <v>0.3</v>
      </c>
      <c r="Z242" s="129">
        <f t="shared" si="101"/>
        <v>0.3</v>
      </c>
      <c r="AA242" s="129">
        <f t="shared" si="101"/>
        <v>0.3</v>
      </c>
      <c r="AB242" s="129">
        <f t="shared" si="101"/>
        <v>0.3</v>
      </c>
      <c r="AC242" s="129">
        <f t="shared" si="101"/>
        <v>0.3</v>
      </c>
      <c r="AD242" s="129">
        <f t="shared" si="101"/>
        <v>0.3</v>
      </c>
      <c r="AE242" s="129">
        <f t="shared" si="101"/>
        <v>0.3</v>
      </c>
      <c r="AF242" s="129">
        <f t="shared" si="101"/>
        <v>0.3</v>
      </c>
      <c r="AG242" s="143">
        <v>1</v>
      </c>
      <c r="AH242" s="47"/>
      <c r="AI242" s="48"/>
      <c r="AK242" s="50"/>
    </row>
    <row r="243" spans="1:37" x14ac:dyDescent="0.25">
      <c r="A243" s="103" t="s">
        <v>240</v>
      </c>
      <c r="B243" s="129">
        <f t="shared" si="99"/>
        <v>0.4</v>
      </c>
      <c r="C243" s="129">
        <v>0.4</v>
      </c>
      <c r="D243" s="129">
        <f t="shared" si="100"/>
        <v>0.4</v>
      </c>
      <c r="E243" s="129">
        <f t="shared" si="100"/>
        <v>0.4</v>
      </c>
      <c r="F243" s="129">
        <f t="shared" si="100"/>
        <v>0.4</v>
      </c>
      <c r="G243" s="129">
        <f t="shared" si="100"/>
        <v>0.4</v>
      </c>
      <c r="H243" s="129">
        <f t="shared" si="100"/>
        <v>0.4</v>
      </c>
      <c r="I243" s="129">
        <f t="shared" si="100"/>
        <v>0.4</v>
      </c>
      <c r="J243" s="129">
        <f t="shared" si="100"/>
        <v>0.4</v>
      </c>
      <c r="K243" s="129">
        <f t="shared" si="100"/>
        <v>0.4</v>
      </c>
      <c r="L243" s="129">
        <f t="shared" si="100"/>
        <v>0.4</v>
      </c>
      <c r="M243" s="129">
        <f t="shared" si="100"/>
        <v>0.4</v>
      </c>
      <c r="N243" s="129">
        <f t="shared" si="100"/>
        <v>0.4</v>
      </c>
      <c r="O243" s="129">
        <f t="shared" si="100"/>
        <v>0.4</v>
      </c>
      <c r="P243" s="129">
        <f t="shared" si="100"/>
        <v>0.4</v>
      </c>
      <c r="Q243" s="129">
        <f t="shared" si="100"/>
        <v>0.4</v>
      </c>
      <c r="R243" s="129">
        <f t="shared" si="100"/>
        <v>0.4</v>
      </c>
      <c r="S243" s="129">
        <f t="shared" si="100"/>
        <v>0.4</v>
      </c>
      <c r="T243" s="129">
        <f t="shared" si="101"/>
        <v>0.4</v>
      </c>
      <c r="U243" s="129">
        <f t="shared" si="101"/>
        <v>0.4</v>
      </c>
      <c r="V243" s="129">
        <f t="shared" si="101"/>
        <v>0.4</v>
      </c>
      <c r="W243" s="129">
        <f t="shared" si="101"/>
        <v>0.4</v>
      </c>
      <c r="X243" s="129">
        <f t="shared" si="101"/>
        <v>0.4</v>
      </c>
      <c r="Y243" s="129">
        <f t="shared" si="101"/>
        <v>0.4</v>
      </c>
      <c r="Z243" s="129">
        <f t="shared" si="101"/>
        <v>0.4</v>
      </c>
      <c r="AA243" s="129">
        <f t="shared" si="101"/>
        <v>0.4</v>
      </c>
      <c r="AB243" s="129">
        <f t="shared" si="101"/>
        <v>0.4</v>
      </c>
      <c r="AC243" s="129">
        <f t="shared" si="101"/>
        <v>0.4</v>
      </c>
      <c r="AD243" s="129">
        <f t="shared" si="101"/>
        <v>0.4</v>
      </c>
      <c r="AE243" s="129">
        <f t="shared" si="101"/>
        <v>0.4</v>
      </c>
      <c r="AF243" s="129">
        <f t="shared" si="101"/>
        <v>0.4</v>
      </c>
      <c r="AG243" s="143">
        <v>1</v>
      </c>
      <c r="AH243" s="47"/>
      <c r="AI243" s="48"/>
      <c r="AK243" s="50"/>
    </row>
    <row r="244" spans="1:37" ht="15.75" thickBot="1" x14ac:dyDescent="0.3">
      <c r="A244" s="116" t="s">
        <v>241</v>
      </c>
      <c r="B244" s="133">
        <f t="shared" si="99"/>
        <v>0.64</v>
      </c>
      <c r="C244" s="133">
        <v>0.64</v>
      </c>
      <c r="D244" s="133">
        <f t="shared" si="100"/>
        <v>0.64</v>
      </c>
      <c r="E244" s="133">
        <f t="shared" si="100"/>
        <v>0.64</v>
      </c>
      <c r="F244" s="133">
        <f t="shared" si="100"/>
        <v>0.64</v>
      </c>
      <c r="G244" s="133">
        <f t="shared" si="100"/>
        <v>0.64</v>
      </c>
      <c r="H244" s="133">
        <f t="shared" si="100"/>
        <v>0.64</v>
      </c>
      <c r="I244" s="133">
        <f t="shared" si="100"/>
        <v>0.64</v>
      </c>
      <c r="J244" s="133">
        <f t="shared" si="100"/>
        <v>0.64</v>
      </c>
      <c r="K244" s="133">
        <f t="shared" si="100"/>
        <v>0.64</v>
      </c>
      <c r="L244" s="133">
        <f t="shared" si="100"/>
        <v>0.64</v>
      </c>
      <c r="M244" s="133">
        <f t="shared" si="100"/>
        <v>0.64</v>
      </c>
      <c r="N244" s="133">
        <f t="shared" si="100"/>
        <v>0.64</v>
      </c>
      <c r="O244" s="133">
        <f t="shared" si="100"/>
        <v>0.64</v>
      </c>
      <c r="P244" s="133">
        <f t="shared" si="100"/>
        <v>0.64</v>
      </c>
      <c r="Q244" s="133">
        <f t="shared" si="100"/>
        <v>0.64</v>
      </c>
      <c r="R244" s="133">
        <f t="shared" si="100"/>
        <v>0.64</v>
      </c>
      <c r="S244" s="133">
        <f t="shared" si="100"/>
        <v>0.64</v>
      </c>
      <c r="T244" s="133">
        <f t="shared" si="101"/>
        <v>0.64</v>
      </c>
      <c r="U244" s="133">
        <f t="shared" si="101"/>
        <v>0.64</v>
      </c>
      <c r="V244" s="133">
        <f t="shared" si="101"/>
        <v>0.64</v>
      </c>
      <c r="W244" s="133">
        <f t="shared" si="101"/>
        <v>0.64</v>
      </c>
      <c r="X244" s="133">
        <f t="shared" si="101"/>
        <v>0.64</v>
      </c>
      <c r="Y244" s="133">
        <f t="shared" si="101"/>
        <v>0.64</v>
      </c>
      <c r="Z244" s="133">
        <f t="shared" si="101"/>
        <v>0.64</v>
      </c>
      <c r="AA244" s="133">
        <f t="shared" si="101"/>
        <v>0.64</v>
      </c>
      <c r="AB244" s="133">
        <f t="shared" si="101"/>
        <v>0.64</v>
      </c>
      <c r="AC244" s="133">
        <f t="shared" si="101"/>
        <v>0.64</v>
      </c>
      <c r="AD244" s="133">
        <f t="shared" si="101"/>
        <v>0.64</v>
      </c>
      <c r="AE244" s="133">
        <f t="shared" si="101"/>
        <v>0.64</v>
      </c>
      <c r="AF244" s="133">
        <f t="shared" si="101"/>
        <v>0.64</v>
      </c>
      <c r="AG244" s="144">
        <v>0.66</v>
      </c>
      <c r="AH244" s="47"/>
      <c r="AI244" s="48"/>
    </row>
    <row r="245" spans="1:37" ht="15.75" thickBot="1" x14ac:dyDescent="0.3">
      <c r="A245" s="145" t="s">
        <v>75</v>
      </c>
      <c r="B245" s="137">
        <f t="shared" ref="B245:AG245" si="102">SUM(B239:B244)</f>
        <v>3.54</v>
      </c>
      <c r="C245" s="137">
        <f t="shared" si="102"/>
        <v>3.54</v>
      </c>
      <c r="D245" s="137">
        <f t="shared" si="102"/>
        <v>3.54</v>
      </c>
      <c r="E245" s="137">
        <f t="shared" si="102"/>
        <v>3.54</v>
      </c>
      <c r="F245" s="137">
        <f t="shared" si="102"/>
        <v>3.54</v>
      </c>
      <c r="G245" s="137">
        <f t="shared" si="102"/>
        <v>3.54</v>
      </c>
      <c r="H245" s="137">
        <f t="shared" si="102"/>
        <v>3.54</v>
      </c>
      <c r="I245" s="137">
        <f t="shared" si="102"/>
        <v>3.54</v>
      </c>
      <c r="J245" s="137">
        <f t="shared" si="102"/>
        <v>3.54</v>
      </c>
      <c r="K245" s="137">
        <f t="shared" si="102"/>
        <v>3.54</v>
      </c>
      <c r="L245" s="137">
        <f t="shared" si="102"/>
        <v>3.54</v>
      </c>
      <c r="M245" s="137">
        <f t="shared" si="102"/>
        <v>3.54</v>
      </c>
      <c r="N245" s="137">
        <f t="shared" si="102"/>
        <v>3.54</v>
      </c>
      <c r="O245" s="137">
        <f t="shared" si="102"/>
        <v>3.54</v>
      </c>
      <c r="P245" s="137">
        <f t="shared" si="102"/>
        <v>3.54</v>
      </c>
      <c r="Q245" s="137">
        <f t="shared" si="102"/>
        <v>3.54</v>
      </c>
      <c r="R245" s="137">
        <f t="shared" si="102"/>
        <v>3.54</v>
      </c>
      <c r="S245" s="137">
        <f t="shared" si="102"/>
        <v>3.54</v>
      </c>
      <c r="T245" s="137">
        <f t="shared" si="102"/>
        <v>3.54</v>
      </c>
      <c r="U245" s="137">
        <f t="shared" si="102"/>
        <v>3.54</v>
      </c>
      <c r="V245" s="137">
        <f t="shared" si="102"/>
        <v>3.54</v>
      </c>
      <c r="W245" s="137">
        <f t="shared" si="102"/>
        <v>3.54</v>
      </c>
      <c r="X245" s="137">
        <f t="shared" si="102"/>
        <v>3.54</v>
      </c>
      <c r="Y245" s="137">
        <f t="shared" si="102"/>
        <v>3.54</v>
      </c>
      <c r="Z245" s="137">
        <f t="shared" si="102"/>
        <v>3.54</v>
      </c>
      <c r="AA245" s="137">
        <f t="shared" si="102"/>
        <v>3.54</v>
      </c>
      <c r="AB245" s="137">
        <f t="shared" si="102"/>
        <v>3.54</v>
      </c>
      <c r="AC245" s="137">
        <f t="shared" si="102"/>
        <v>3.54</v>
      </c>
      <c r="AD245" s="137">
        <f t="shared" si="102"/>
        <v>3.54</v>
      </c>
      <c r="AE245" s="137">
        <f t="shared" si="102"/>
        <v>3.54</v>
      </c>
      <c r="AF245" s="137">
        <f t="shared" si="102"/>
        <v>3.54</v>
      </c>
      <c r="AG245" s="146">
        <f t="shared" si="102"/>
        <v>8.56</v>
      </c>
      <c r="AH245" s="47"/>
      <c r="AI245" s="48"/>
    </row>
    <row r="246" spans="1:37" ht="15.75" thickBot="1" x14ac:dyDescent="0.3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140"/>
      <c r="AH246" s="43"/>
    </row>
    <row r="247" spans="1:37" x14ac:dyDescent="0.25">
      <c r="A247" s="147" t="s">
        <v>242</v>
      </c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9"/>
      <c r="AG247" s="43"/>
      <c r="AH247" s="47"/>
      <c r="AI247" s="48"/>
    </row>
    <row r="248" spans="1:37" x14ac:dyDescent="0.25">
      <c r="A248" s="150" t="s">
        <v>243</v>
      </c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2"/>
      <c r="AG248" s="153"/>
      <c r="AH248" s="47"/>
      <c r="AI248" s="48"/>
    </row>
    <row r="249" spans="1:37" x14ac:dyDescent="0.25">
      <c r="A249" s="154" t="s">
        <v>244</v>
      </c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6"/>
      <c r="AG249" s="153"/>
      <c r="AH249" s="47"/>
      <c r="AI249" s="48"/>
    </row>
    <row r="250" spans="1:37" x14ac:dyDescent="0.25">
      <c r="A250" s="154" t="s">
        <v>245</v>
      </c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6"/>
      <c r="AG250" s="153"/>
      <c r="AH250" s="47"/>
      <c r="AI250" s="48"/>
    </row>
    <row r="251" spans="1:37" ht="15.75" thickBot="1" x14ac:dyDescent="0.3">
      <c r="A251" s="157" t="s">
        <v>246</v>
      </c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9"/>
      <c r="AG251" s="153"/>
      <c r="AH251" s="47"/>
      <c r="AI251" s="48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1657.5400000000002</v>
      </c>
      <c r="C254" s="162">
        <f>INDEX(G9:N9,1,MATCH(MAX(G99:N99),G99:N99,0))</f>
        <v>0.3125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12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2080/09/12)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2080/09/12)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103">B99</f>
        <v>1010.7400000000001</v>
      </c>
      <c r="U259" s="171">
        <f t="shared" si="103"/>
        <v>992.84000000000015</v>
      </c>
      <c r="V259" s="171">
        <f t="shared" si="103"/>
        <v>1003.3400000000001</v>
      </c>
      <c r="W259" s="171">
        <f t="shared" si="103"/>
        <v>993.24</v>
      </c>
      <c r="X259" s="171">
        <f t="shared" si="103"/>
        <v>982.74</v>
      </c>
      <c r="Y259" s="171">
        <f t="shared" si="103"/>
        <v>1045.44</v>
      </c>
      <c r="Z259" s="171">
        <f t="shared" si="103"/>
        <v>1181.24</v>
      </c>
      <c r="AA259" s="171">
        <f t="shared" si="103"/>
        <v>1263.1399999999999</v>
      </c>
      <c r="AB259" s="171">
        <f t="shared" si="103"/>
        <v>1393.7400000000002</v>
      </c>
      <c r="AC259" s="171">
        <f t="shared" si="103"/>
        <v>1467.94</v>
      </c>
      <c r="AD259" s="171">
        <f t="shared" si="103"/>
        <v>1657.5400000000002</v>
      </c>
      <c r="AE259" s="171">
        <f t="shared" si="103"/>
        <v>1545.04</v>
      </c>
      <c r="AF259" s="171">
        <f t="shared" si="103"/>
        <v>1509.44</v>
      </c>
      <c r="AG259" s="171">
        <f t="shared" si="103"/>
        <v>1460.74</v>
      </c>
      <c r="AH259" s="171">
        <f t="shared" si="103"/>
        <v>1392.0400000000002</v>
      </c>
      <c r="AI259" s="171">
        <f t="shared" si="103"/>
        <v>1337.94</v>
      </c>
      <c r="AJ259" s="171">
        <f t="shared" si="103"/>
        <v>1281.8400000000001</v>
      </c>
      <c r="AK259" s="171">
        <f t="shared" si="103"/>
        <v>1282.3400000000001</v>
      </c>
      <c r="AL259" s="171">
        <f t="shared" si="103"/>
        <v>1312.5400000000002</v>
      </c>
      <c r="AM259" s="171">
        <f t="shared" si="103"/>
        <v>1315.54</v>
      </c>
      <c r="AN259" s="171">
        <f t="shared" si="103"/>
        <v>1426.04</v>
      </c>
      <c r="AO259" s="171">
        <f t="shared" si="103"/>
        <v>1510.44</v>
      </c>
      <c r="AP259" s="171">
        <f t="shared" si="103"/>
        <v>1651.94</v>
      </c>
      <c r="AQ259" s="171">
        <f t="shared" si="103"/>
        <v>1509.94</v>
      </c>
      <c r="AR259" s="171">
        <f t="shared" si="103"/>
        <v>1453.04</v>
      </c>
      <c r="AS259" s="171">
        <f t="shared" si="103"/>
        <v>1404.94</v>
      </c>
      <c r="AT259" s="171">
        <f t="shared" si="103"/>
        <v>1359.2400000000002</v>
      </c>
      <c r="AU259" s="171">
        <f t="shared" si="103"/>
        <v>1393.0400000000002</v>
      </c>
      <c r="AV259" s="171">
        <f t="shared" si="103"/>
        <v>1164.04</v>
      </c>
      <c r="AW259" s="171">
        <f t="shared" si="103"/>
        <v>1064.0400000000002</v>
      </c>
      <c r="AX259" s="171">
        <f t="shared" si="103"/>
        <v>1014.0400000000001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104">C244</f>
        <v>0.64</v>
      </c>
      <c r="C280" s="174">
        <f t="shared" si="104"/>
        <v>0.64</v>
      </c>
      <c r="D280" s="174">
        <f t="shared" si="104"/>
        <v>0.64</v>
      </c>
      <c r="E280" s="174">
        <f t="shared" si="104"/>
        <v>0.64</v>
      </c>
      <c r="F280" s="174">
        <f t="shared" si="104"/>
        <v>0.64</v>
      </c>
      <c r="G280" s="174">
        <f t="shared" si="104"/>
        <v>0.64</v>
      </c>
      <c r="H280" s="174">
        <f t="shared" si="104"/>
        <v>0.64</v>
      </c>
      <c r="I280" s="174">
        <f t="shared" si="104"/>
        <v>0.64</v>
      </c>
      <c r="J280" s="174">
        <f t="shared" si="104"/>
        <v>0.64</v>
      </c>
      <c r="K280" s="174">
        <f t="shared" si="104"/>
        <v>0.64</v>
      </c>
      <c r="L280" s="174">
        <f t="shared" si="104"/>
        <v>0.64</v>
      </c>
      <c r="M280" s="174">
        <f t="shared" si="104"/>
        <v>0.64</v>
      </c>
      <c r="N280" s="174">
        <f t="shared" si="104"/>
        <v>0.64</v>
      </c>
      <c r="O280" s="174">
        <f t="shared" si="104"/>
        <v>0.64</v>
      </c>
      <c r="P280" s="174">
        <f t="shared" si="104"/>
        <v>0.64</v>
      </c>
      <c r="Q280" s="174">
        <f t="shared" si="104"/>
        <v>0.64</v>
      </c>
      <c r="R280" s="174">
        <f t="shared" si="104"/>
        <v>0.64</v>
      </c>
      <c r="S280" s="174">
        <f t="shared" si="104"/>
        <v>0.64</v>
      </c>
      <c r="T280" s="174">
        <f t="shared" si="104"/>
        <v>0.64</v>
      </c>
      <c r="U280" s="174">
        <f t="shared" si="104"/>
        <v>0.64</v>
      </c>
      <c r="V280" s="174">
        <f t="shared" si="104"/>
        <v>0.64</v>
      </c>
      <c r="W280" s="174">
        <f t="shared" si="104"/>
        <v>0.64</v>
      </c>
      <c r="X280" s="174">
        <f t="shared" si="104"/>
        <v>0.64</v>
      </c>
      <c r="Y280" s="174">
        <f t="shared" si="104"/>
        <v>0.64</v>
      </c>
      <c r="Z280" s="174">
        <f t="shared" si="104"/>
        <v>0.64</v>
      </c>
      <c r="AA280" s="174">
        <f t="shared" si="104"/>
        <v>0.64</v>
      </c>
      <c r="AB280" s="174">
        <f t="shared" si="104"/>
        <v>0.64</v>
      </c>
      <c r="AC280" s="174">
        <f t="shared" si="104"/>
        <v>0.64</v>
      </c>
      <c r="AD280" s="174">
        <f t="shared" si="104"/>
        <v>0.64</v>
      </c>
      <c r="AE280" s="174">
        <f t="shared" si="104"/>
        <v>0.64</v>
      </c>
      <c r="AF280" s="174">
        <f>B244</f>
        <v>0.64</v>
      </c>
      <c r="AG280" s="43"/>
      <c r="AH280" s="43"/>
    </row>
    <row r="281" spans="1:34" x14ac:dyDescent="0.25">
      <c r="A281" s="175" t="str">
        <f>A248</f>
        <v>KGA</v>
      </c>
      <c r="B281" s="175" t="str">
        <f t="shared" ref="B281:AF281" si="105">IF(B248&lt;100,"",B248-520)</f>
        <v/>
      </c>
      <c r="C281" s="175" t="str">
        <f t="shared" si="105"/>
        <v/>
      </c>
      <c r="D281" s="175" t="str">
        <f t="shared" si="105"/>
        <v/>
      </c>
      <c r="E281" s="175" t="str">
        <f t="shared" si="105"/>
        <v/>
      </c>
      <c r="F281" s="175" t="str">
        <f t="shared" si="105"/>
        <v/>
      </c>
      <c r="G281" s="175" t="str">
        <f t="shared" si="105"/>
        <v/>
      </c>
      <c r="H281" s="175" t="str">
        <f t="shared" si="105"/>
        <v/>
      </c>
      <c r="I281" s="175" t="str">
        <f t="shared" si="105"/>
        <v/>
      </c>
      <c r="J281" s="175" t="str">
        <f t="shared" si="105"/>
        <v/>
      </c>
      <c r="K281" s="175" t="str">
        <f t="shared" si="105"/>
        <v/>
      </c>
      <c r="L281" s="175" t="str">
        <f t="shared" si="105"/>
        <v/>
      </c>
      <c r="M281" s="175" t="str">
        <f t="shared" si="105"/>
        <v/>
      </c>
      <c r="N281" s="175" t="str">
        <f t="shared" si="105"/>
        <v/>
      </c>
      <c r="O281" s="175" t="str">
        <f t="shared" si="105"/>
        <v/>
      </c>
      <c r="P281" s="175" t="str">
        <f t="shared" si="105"/>
        <v/>
      </c>
      <c r="Q281" s="175" t="str">
        <f t="shared" si="105"/>
        <v/>
      </c>
      <c r="R281" s="175" t="str">
        <f t="shared" si="105"/>
        <v/>
      </c>
      <c r="S281" s="175" t="str">
        <f t="shared" si="105"/>
        <v/>
      </c>
      <c r="T281" s="175" t="str">
        <f t="shared" si="105"/>
        <v/>
      </c>
      <c r="U281" s="175" t="str">
        <f t="shared" si="105"/>
        <v/>
      </c>
      <c r="V281" s="175" t="str">
        <f t="shared" si="105"/>
        <v/>
      </c>
      <c r="W281" s="175" t="str">
        <f t="shared" si="105"/>
        <v/>
      </c>
      <c r="X281" s="175" t="str">
        <f t="shared" si="105"/>
        <v/>
      </c>
      <c r="Y281" s="175" t="str">
        <f t="shared" si="105"/>
        <v/>
      </c>
      <c r="Z281" s="175" t="str">
        <f t="shared" si="105"/>
        <v/>
      </c>
      <c r="AA281" s="175" t="str">
        <f t="shared" si="105"/>
        <v/>
      </c>
      <c r="AB281" s="175" t="str">
        <f t="shared" si="105"/>
        <v/>
      </c>
      <c r="AC281" s="175" t="str">
        <f t="shared" si="105"/>
        <v/>
      </c>
      <c r="AD281" s="175" t="str">
        <f t="shared" si="105"/>
        <v/>
      </c>
      <c r="AE281" s="175" t="str">
        <f t="shared" si="105"/>
        <v/>
      </c>
      <c r="AF281" s="175" t="str">
        <f t="shared" si="105"/>
        <v/>
      </c>
      <c r="AG281" s="43"/>
      <c r="AH281" s="43"/>
    </row>
    <row r="282" spans="1:34" x14ac:dyDescent="0.25">
      <c r="A282" s="175" t="str">
        <f>A249</f>
        <v>MMRS</v>
      </c>
      <c r="B282" s="175" t="str">
        <f t="shared" ref="B282:AF282" si="106">IF(B249&lt;100,"",B249-620)</f>
        <v/>
      </c>
      <c r="C282" s="175" t="str">
        <f t="shared" si="106"/>
        <v/>
      </c>
      <c r="D282" s="175" t="str">
        <f t="shared" si="106"/>
        <v/>
      </c>
      <c r="E282" s="175" t="str">
        <f t="shared" si="106"/>
        <v/>
      </c>
      <c r="F282" s="175" t="str">
        <f t="shared" si="106"/>
        <v/>
      </c>
      <c r="G282" s="175" t="str">
        <f t="shared" si="106"/>
        <v/>
      </c>
      <c r="H282" s="175" t="str">
        <f t="shared" si="106"/>
        <v/>
      </c>
      <c r="I282" s="175" t="str">
        <f t="shared" si="106"/>
        <v/>
      </c>
      <c r="J282" s="175" t="str">
        <f t="shared" si="106"/>
        <v/>
      </c>
      <c r="K282" s="175" t="str">
        <f t="shared" si="106"/>
        <v/>
      </c>
      <c r="L282" s="175" t="str">
        <f t="shared" si="106"/>
        <v/>
      </c>
      <c r="M282" s="175" t="str">
        <f t="shared" si="106"/>
        <v/>
      </c>
      <c r="N282" s="175" t="str">
        <f t="shared" si="106"/>
        <v/>
      </c>
      <c r="O282" s="175" t="str">
        <f t="shared" si="106"/>
        <v/>
      </c>
      <c r="P282" s="175" t="str">
        <f t="shared" si="106"/>
        <v/>
      </c>
      <c r="Q282" s="175" t="str">
        <f t="shared" si="106"/>
        <v/>
      </c>
      <c r="R282" s="175" t="str">
        <f t="shared" si="106"/>
        <v/>
      </c>
      <c r="S282" s="175" t="str">
        <f t="shared" si="106"/>
        <v/>
      </c>
      <c r="T282" s="175" t="str">
        <f t="shared" si="106"/>
        <v/>
      </c>
      <c r="U282" s="175" t="str">
        <f t="shared" si="106"/>
        <v/>
      </c>
      <c r="V282" s="175" t="str">
        <f t="shared" si="106"/>
        <v/>
      </c>
      <c r="W282" s="175" t="str">
        <f t="shared" si="106"/>
        <v/>
      </c>
      <c r="X282" s="175" t="str">
        <f t="shared" si="106"/>
        <v/>
      </c>
      <c r="Y282" s="175" t="str">
        <f t="shared" si="106"/>
        <v/>
      </c>
      <c r="Z282" s="175" t="str">
        <f t="shared" si="106"/>
        <v/>
      </c>
      <c r="AA282" s="175" t="str">
        <f t="shared" si="106"/>
        <v/>
      </c>
      <c r="AB282" s="175" t="str">
        <f t="shared" si="106"/>
        <v/>
      </c>
      <c r="AC282" s="175" t="str">
        <f t="shared" si="106"/>
        <v/>
      </c>
      <c r="AD282" s="175" t="str">
        <f t="shared" si="106"/>
        <v/>
      </c>
      <c r="AE282" s="175" t="str">
        <f t="shared" si="106"/>
        <v/>
      </c>
      <c r="AF282" s="175" t="str">
        <f t="shared" si="106"/>
        <v/>
      </c>
      <c r="AG282" s="43"/>
      <c r="AH282" s="43"/>
    </row>
    <row r="283" spans="1:34" x14ac:dyDescent="0.25">
      <c r="A283" s="175" t="str">
        <f>A250</f>
        <v>MRS</v>
      </c>
      <c r="B283" s="175" t="str">
        <f t="shared" ref="B283:AF283" si="107">IF(B250&lt;100,"",B250-330)</f>
        <v/>
      </c>
      <c r="C283" s="175" t="str">
        <f t="shared" si="107"/>
        <v/>
      </c>
      <c r="D283" s="175" t="str">
        <f t="shared" si="107"/>
        <v/>
      </c>
      <c r="E283" s="175" t="str">
        <f t="shared" si="107"/>
        <v/>
      </c>
      <c r="F283" s="175" t="str">
        <f t="shared" si="107"/>
        <v/>
      </c>
      <c r="G283" s="175" t="str">
        <f t="shared" si="107"/>
        <v/>
      </c>
      <c r="H283" s="175" t="str">
        <f t="shared" si="107"/>
        <v/>
      </c>
      <c r="I283" s="175" t="str">
        <f t="shared" si="107"/>
        <v/>
      </c>
      <c r="J283" s="175" t="str">
        <f t="shared" si="107"/>
        <v/>
      </c>
      <c r="K283" s="175" t="str">
        <f t="shared" si="107"/>
        <v/>
      </c>
      <c r="L283" s="175" t="str">
        <f t="shared" si="107"/>
        <v/>
      </c>
      <c r="M283" s="175" t="str">
        <f t="shared" si="107"/>
        <v/>
      </c>
      <c r="N283" s="175" t="str">
        <f t="shared" si="107"/>
        <v/>
      </c>
      <c r="O283" s="175" t="str">
        <f t="shared" si="107"/>
        <v/>
      </c>
      <c r="P283" s="175" t="str">
        <f t="shared" si="107"/>
        <v/>
      </c>
      <c r="Q283" s="175" t="str">
        <f t="shared" si="107"/>
        <v/>
      </c>
      <c r="R283" s="175" t="str">
        <f t="shared" si="107"/>
        <v/>
      </c>
      <c r="S283" s="175" t="str">
        <f t="shared" si="107"/>
        <v/>
      </c>
      <c r="T283" s="175" t="str">
        <f t="shared" si="107"/>
        <v/>
      </c>
      <c r="U283" s="175" t="str">
        <f t="shared" si="107"/>
        <v/>
      </c>
      <c r="V283" s="175" t="str">
        <f t="shared" si="107"/>
        <v/>
      </c>
      <c r="W283" s="175" t="str">
        <f t="shared" si="107"/>
        <v/>
      </c>
      <c r="X283" s="175" t="str">
        <f t="shared" si="107"/>
        <v/>
      </c>
      <c r="Y283" s="175" t="str">
        <f t="shared" si="107"/>
        <v/>
      </c>
      <c r="Z283" s="175" t="str">
        <f t="shared" si="107"/>
        <v/>
      </c>
      <c r="AA283" s="175" t="str">
        <f t="shared" si="107"/>
        <v/>
      </c>
      <c r="AB283" s="175" t="str">
        <f t="shared" si="107"/>
        <v/>
      </c>
      <c r="AC283" s="175" t="str">
        <f t="shared" si="107"/>
        <v/>
      </c>
      <c r="AD283" s="175" t="str">
        <f t="shared" si="107"/>
        <v/>
      </c>
      <c r="AE283" s="175" t="str">
        <f t="shared" si="107"/>
        <v/>
      </c>
      <c r="AF283" s="175" t="str">
        <f t="shared" si="107"/>
        <v/>
      </c>
      <c r="AG283" s="43"/>
      <c r="AH283" s="43"/>
    </row>
    <row r="284" spans="1:34" x14ac:dyDescent="0.25">
      <c r="A284" s="175" t="str">
        <f>A251</f>
        <v>KL 1</v>
      </c>
      <c r="B284" s="175" t="str">
        <f t="shared" ref="B284:AF284" si="108">IF(B251&lt;100,"",B251-1500)</f>
        <v/>
      </c>
      <c r="C284" s="175" t="str">
        <f t="shared" si="108"/>
        <v/>
      </c>
      <c r="D284" s="175" t="str">
        <f t="shared" si="108"/>
        <v/>
      </c>
      <c r="E284" s="175" t="str">
        <f t="shared" si="108"/>
        <v/>
      </c>
      <c r="F284" s="175" t="str">
        <f t="shared" si="108"/>
        <v/>
      </c>
      <c r="G284" s="175" t="str">
        <f t="shared" si="108"/>
        <v/>
      </c>
      <c r="H284" s="175" t="str">
        <f t="shared" si="108"/>
        <v/>
      </c>
      <c r="I284" s="175" t="str">
        <f t="shared" si="108"/>
        <v/>
      </c>
      <c r="J284" s="175" t="str">
        <f t="shared" si="108"/>
        <v/>
      </c>
      <c r="K284" s="175" t="str">
        <f t="shared" si="108"/>
        <v/>
      </c>
      <c r="L284" s="175" t="str">
        <f t="shared" si="108"/>
        <v/>
      </c>
      <c r="M284" s="175" t="str">
        <f t="shared" si="108"/>
        <v/>
      </c>
      <c r="N284" s="175" t="str">
        <f t="shared" si="108"/>
        <v/>
      </c>
      <c r="O284" s="175" t="str">
        <f t="shared" si="108"/>
        <v/>
      </c>
      <c r="P284" s="175" t="str">
        <f t="shared" si="108"/>
        <v/>
      </c>
      <c r="Q284" s="175" t="str">
        <f t="shared" si="108"/>
        <v/>
      </c>
      <c r="R284" s="175" t="str">
        <f t="shared" si="108"/>
        <v/>
      </c>
      <c r="S284" s="175" t="str">
        <f t="shared" si="108"/>
        <v/>
      </c>
      <c r="T284" s="175" t="str">
        <f t="shared" si="108"/>
        <v/>
      </c>
      <c r="U284" s="175" t="str">
        <f t="shared" si="108"/>
        <v/>
      </c>
      <c r="V284" s="175" t="str">
        <f t="shared" si="108"/>
        <v/>
      </c>
      <c r="W284" s="175" t="str">
        <f t="shared" si="108"/>
        <v/>
      </c>
      <c r="X284" s="175" t="str">
        <f t="shared" si="108"/>
        <v/>
      </c>
      <c r="Y284" s="175" t="str">
        <f t="shared" si="108"/>
        <v/>
      </c>
      <c r="Z284" s="175" t="str">
        <f t="shared" si="108"/>
        <v/>
      </c>
      <c r="AA284" s="175" t="str">
        <f t="shared" si="108"/>
        <v/>
      </c>
      <c r="AB284" s="175" t="str">
        <f t="shared" si="108"/>
        <v/>
      </c>
      <c r="AC284" s="175" t="str">
        <f t="shared" si="108"/>
        <v/>
      </c>
      <c r="AD284" s="175" t="str">
        <f t="shared" si="108"/>
        <v/>
      </c>
      <c r="AE284" s="175" t="str">
        <f t="shared" si="108"/>
        <v/>
      </c>
      <c r="AF284" s="175" t="str">
        <f t="shared" si="108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46">
    <cfRule type="expression" dxfId="2420" priority="57">
      <formula>$AH11=0</formula>
    </cfRule>
  </conditionalFormatting>
  <conditionalFormatting sqref="B8 M8 S8 AB8">
    <cfRule type="expression" dxfId="2419" priority="117">
      <formula>AND(C$9&gt;=14/24,C$9&lt;20/24)</formula>
    </cfRule>
    <cfRule type="expression" dxfId="2418" priority="119">
      <formula>C$9&lt;8/24</formula>
    </cfRule>
    <cfRule type="expression" dxfId="2417" priority="118">
      <formula>AND(C$9&gt;=8/24,C$9&lt;14/24)</formula>
    </cfRule>
  </conditionalFormatting>
  <conditionalFormatting sqref="B63:I74 J64:J74 K66:K74 L68:O74 K69:L71 P72:P74">
    <cfRule type="expression" dxfId="2416" priority="21">
      <formula>AND(B$9&gt;=8/24,B$9&lt;14/24)</formula>
    </cfRule>
    <cfRule type="expression" dxfId="2415" priority="20">
      <formula>AND(B$9&gt;=14/24,B$9&lt;20/24)</formula>
    </cfRule>
    <cfRule type="expression" dxfId="2414" priority="19">
      <formula>B$9&gt;=20/24</formula>
    </cfRule>
    <cfRule type="expression" dxfId="2413" priority="22">
      <formula>B$9&lt;8/24</formula>
    </cfRule>
  </conditionalFormatting>
  <conditionalFormatting sqref="B11:W54 N11:AA11">
    <cfRule type="expression" dxfId="2412" priority="9">
      <formula>B11&gt;$AG11</formula>
    </cfRule>
  </conditionalFormatting>
  <conditionalFormatting sqref="B53:W54">
    <cfRule type="expression" dxfId="2411" priority="8">
      <formula>B$9&lt;8/24</formula>
    </cfRule>
  </conditionalFormatting>
  <conditionalFormatting sqref="B55:W55">
    <cfRule type="expression" dxfId="2410" priority="37">
      <formula>B55&gt;$AG55</formula>
    </cfRule>
  </conditionalFormatting>
  <conditionalFormatting sqref="B9:AF52">
    <cfRule type="expression" dxfId="2409" priority="28">
      <formula>B$9&gt;=20/24</formula>
    </cfRule>
    <cfRule type="expression" dxfId="2408" priority="30">
      <formula>AND(B$9&gt;=8/24,B$9&lt;14/24)</formula>
    </cfRule>
    <cfRule type="expression" dxfId="2407" priority="31">
      <formula>B$9&lt;8/24</formula>
    </cfRule>
    <cfRule type="expression" dxfId="2406" priority="29">
      <formula>AND(B$9&gt;=14/24,B$9&lt;20/24)</formula>
    </cfRule>
  </conditionalFormatting>
  <conditionalFormatting sqref="B53:AF54">
    <cfRule type="expression" dxfId="2405" priority="7">
      <formula>AND(B$9&gt;=8/24,B$9&lt;14/24)</formula>
    </cfRule>
    <cfRule type="expression" dxfId="2404" priority="5">
      <formula>B$9&gt;=20/24</formula>
    </cfRule>
    <cfRule type="expression" dxfId="2403" priority="6">
      <formula>AND(B$9&gt;=14/24,B$9&lt;20/24)</formula>
    </cfRule>
  </conditionalFormatting>
  <conditionalFormatting sqref="B55:AF57">
    <cfRule type="expression" dxfId="2402" priority="33">
      <formula>B$9&gt;=20/24</formula>
    </cfRule>
    <cfRule type="expression" dxfId="2401" priority="34">
      <formula>AND(B$9&gt;=14/24,B$9&lt;20/24)</formula>
    </cfRule>
    <cfRule type="expression" dxfId="2400" priority="35">
      <formula>AND(B$9&gt;=8/24,B$9&lt;14/24)</formula>
    </cfRule>
  </conditionalFormatting>
  <conditionalFormatting sqref="B56:AF61">
    <cfRule type="expression" dxfId="2399" priority="32">
      <formula>B56&gt;$AG56</formula>
    </cfRule>
  </conditionalFormatting>
  <conditionalFormatting sqref="B59:AF61">
    <cfRule type="expression" dxfId="2398" priority="46">
      <formula>B$9&lt;8/24</formula>
    </cfRule>
    <cfRule type="expression" dxfId="2397" priority="45">
      <formula>AND(B$9&gt;=8/24,B$9&lt;14/24)</formula>
    </cfRule>
    <cfRule type="expression" dxfId="2396" priority="44">
      <formula>AND(B$9&gt;=14/24,B$9&lt;20/24)</formula>
    </cfRule>
    <cfRule type="expression" dxfId="2395" priority="43">
      <formula>B$9&gt;=20/24</formula>
    </cfRule>
  </conditionalFormatting>
  <conditionalFormatting sqref="B63:AF74">
    <cfRule type="expression" dxfId="2394" priority="18">
      <formula>B63&gt;$AG63</formula>
    </cfRule>
  </conditionalFormatting>
  <conditionalFormatting sqref="B77:AF79">
    <cfRule type="expression" dxfId="2393" priority="51">
      <formula>B$9&lt;8/24</formula>
    </cfRule>
    <cfRule type="expression" dxfId="2392" priority="48">
      <formula>B$9&gt;=20/24</formula>
    </cfRule>
    <cfRule type="expression" dxfId="2391" priority="47">
      <formula>B77&gt;$AG77</formula>
    </cfRule>
    <cfRule type="expression" dxfId="2390" priority="49">
      <formula>AND(B$9&gt;=14/24,B$9&lt;20/24)</formula>
    </cfRule>
    <cfRule type="expression" dxfId="2389" priority="50">
      <formula>AND(B$9&gt;=8/24,B$9&lt;14/24)</formula>
    </cfRule>
  </conditionalFormatting>
  <conditionalFormatting sqref="B81:AF99">
    <cfRule type="expression" dxfId="2388" priority="14">
      <formula>B$9&gt;=20/24</formula>
    </cfRule>
    <cfRule type="expression" dxfId="2387" priority="15">
      <formula>AND(B$9&gt;=14/24,B$9&lt;20/24)</formula>
    </cfRule>
    <cfRule type="expression" dxfId="2386" priority="16">
      <formula>AND(B$9&gt;=8/24,B$9&lt;14/24)</formula>
    </cfRule>
    <cfRule type="expression" dxfId="2385" priority="17">
      <formula>B$9&lt;8/24</formula>
    </cfRule>
  </conditionalFormatting>
  <conditionalFormatting sqref="B101:AF117">
    <cfRule type="expression" dxfId="2384" priority="3">
      <formula>AND(B$9&gt;=8/24,B$9&lt;14/24)</formula>
    </cfRule>
    <cfRule type="expression" dxfId="2383" priority="4">
      <formula>B$9&lt;8/24</formula>
    </cfRule>
    <cfRule type="expression" dxfId="2382" priority="2">
      <formula>AND(B$9&gt;=14/24,B$9&lt;20/24)</formula>
    </cfRule>
    <cfRule type="expression" dxfId="2381" priority="1">
      <formula>B$9&gt;=20/24</formula>
    </cfRule>
  </conditionalFormatting>
  <conditionalFormatting sqref="B119:AF130">
    <cfRule type="expression" dxfId="2380" priority="23">
      <formula>B$9&gt;=20/24</formula>
    </cfRule>
    <cfRule type="expression" dxfId="2379" priority="24">
      <formula>AND(B$9&gt;=14/24,B$9&lt;20/24)</formula>
    </cfRule>
    <cfRule type="expression" dxfId="2378" priority="25">
      <formula>AND(B$9&gt;=8/24,B$9&lt;14/24)</formula>
    </cfRule>
    <cfRule type="expression" dxfId="2377" priority="26">
      <formula>B$9&lt;8/24</formula>
    </cfRule>
  </conditionalFormatting>
  <conditionalFormatting sqref="B237:AF237 B239:B245 D239:AF245 U258:AF258">
    <cfRule type="expression" dxfId="2376" priority="112">
      <formula>AND(B$9&gt;=8/24,B$9&lt;14/24)</formula>
    </cfRule>
    <cfRule type="expression" dxfId="2375" priority="113">
      <formula>B$9&lt;8/24</formula>
    </cfRule>
    <cfRule type="expression" dxfId="2374" priority="111">
      <formula>AND(B$9&gt;=14/24,B$9&lt;20/24)</formula>
    </cfRule>
    <cfRule type="expression" dxfId="2373" priority="110">
      <formula>B$9&gt;=20/24</formula>
    </cfRule>
  </conditionalFormatting>
  <conditionalFormatting sqref="B62:AG62">
    <cfRule type="expression" dxfId="2372" priority="53">
      <formula>B$9&gt;=20/24</formula>
    </cfRule>
    <cfRule type="expression" dxfId="2371" priority="54">
      <formula>AND(B$9&gt;=14/24,B$9&lt;20/24)</formula>
    </cfRule>
    <cfRule type="expression" dxfId="2370" priority="55">
      <formula>AND(B$9&gt;=8/24,B$9&lt;14/24)</formula>
    </cfRule>
    <cfRule type="expression" dxfId="2369" priority="52">
      <formula>B62&gt;$AG62</formula>
    </cfRule>
    <cfRule type="expression" dxfId="2368" priority="56">
      <formula>B$9&lt;8/24</formula>
    </cfRule>
  </conditionalFormatting>
  <conditionalFormatting sqref="B75:AG76 B80:AG80">
    <cfRule type="expression" dxfId="2367" priority="38">
      <formula>B75&gt;$AG75</formula>
    </cfRule>
  </conditionalFormatting>
  <conditionalFormatting sqref="B80:AG80">
    <cfRule type="expression" dxfId="2366" priority="41">
      <formula>AND(B$9&gt;=8/24,B$9&lt;14/24)</formula>
    </cfRule>
    <cfRule type="expression" dxfId="2365" priority="40">
      <formula>AND(B$9&gt;=14/24,B$9&lt;20/24)</formula>
    </cfRule>
    <cfRule type="expression" dxfId="2364" priority="42">
      <formula>B$9&lt;8/24</formula>
    </cfRule>
    <cfRule type="expression" dxfId="2363" priority="39">
      <formula>B$9&gt;=20/24</formula>
    </cfRule>
  </conditionalFormatting>
  <conditionalFormatting sqref="F63:M65">
    <cfRule type="expression" dxfId="2362" priority="91">
      <formula>F$9&gt;=20/24</formula>
    </cfRule>
    <cfRule type="expression" dxfId="2361" priority="94">
      <formula>F$9&lt;8/24</formula>
    </cfRule>
    <cfRule type="expression" dxfId="2360" priority="93">
      <formula>AND(F$9&gt;=8/24,F$9&lt;14/24)</formula>
    </cfRule>
    <cfRule type="expression" dxfId="2359" priority="92">
      <formula>AND(F$9&gt;=14/24,F$9&lt;20/24)</formula>
    </cfRule>
  </conditionalFormatting>
  <conditionalFormatting sqref="F68:W68">
    <cfRule type="expression" dxfId="2358" priority="71">
      <formula>F$9&lt;8/24</formula>
    </cfRule>
    <cfRule type="expression" dxfId="2357" priority="68">
      <formula>F$9&gt;=20/24</formula>
    </cfRule>
    <cfRule type="expression" dxfId="2356" priority="69">
      <formula>AND(F$9&gt;=14/24,F$9&lt;20/24)</formula>
    </cfRule>
    <cfRule type="expression" dxfId="2355" priority="70">
      <formula>AND(F$9&gt;=8/24,F$9&lt;14/24)</formula>
    </cfRule>
  </conditionalFormatting>
  <conditionalFormatting sqref="F69:AF74">
    <cfRule type="expression" dxfId="2354" priority="58">
      <formula>F$9&gt;=20/24</formula>
    </cfRule>
    <cfRule type="expression" dxfId="2353" priority="59">
      <formula>AND(F$9&gt;=14/24,F$9&lt;20/24)</formula>
    </cfRule>
    <cfRule type="expression" dxfId="2352" priority="60">
      <formula>AND(F$9&gt;=8/24,F$9&lt;14/24)</formula>
    </cfRule>
    <cfRule type="expression" dxfId="2351" priority="61">
      <formula>F$9&lt;8/24</formula>
    </cfRule>
  </conditionalFormatting>
  <conditionalFormatting sqref="K56:W57">
    <cfRule type="expression" dxfId="2350" priority="66">
      <formula>K$9&lt;8/24</formula>
    </cfRule>
  </conditionalFormatting>
  <conditionalFormatting sqref="N63:W67 M66:N67">
    <cfRule type="expression" dxfId="2349" priority="96">
      <formula>AND(M$9&gt;=14/24,M$9&lt;20/24)</formula>
    </cfRule>
    <cfRule type="expression" dxfId="2348" priority="95">
      <formula>M$9&gt;=20/24</formula>
    </cfRule>
    <cfRule type="expression" dxfId="2347" priority="97">
      <formula>AND(M$9&gt;=8/24,M$9&lt;14/24)</formula>
    </cfRule>
    <cfRule type="expression" dxfId="2346" priority="98">
      <formula>M$9&lt;8/24</formula>
    </cfRule>
  </conditionalFormatting>
  <conditionalFormatting sqref="O3:P3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345" priority="116">
      <formula>C$9&gt;=20/24</formula>
    </cfRule>
  </conditionalFormatting>
  <conditionalFormatting sqref="S8">
    <cfRule type="expression" dxfId="2344" priority="104">
      <formula>AND(U$9&gt;=14/24,U$9&lt;20/24)</formula>
    </cfRule>
    <cfRule type="expression" dxfId="2343" priority="106">
      <formula>U$9&lt;8/24</formula>
    </cfRule>
    <cfRule type="expression" dxfId="2342" priority="105">
      <formula>AND(U$9&gt;=8/24,U$9&lt;14/24)</formula>
    </cfRule>
    <cfRule type="expression" dxfId="2341" priority="103">
      <formula>U$9&gt;=20/24</formula>
    </cfRule>
  </conditionalFormatting>
  <conditionalFormatting sqref="T258">
    <cfRule type="expression" dxfId="2340" priority="129">
      <formula>AND(AX$9&gt;=14/24,AX$9&lt;20/24)</formula>
    </cfRule>
    <cfRule type="expression" dxfId="2339" priority="128">
      <formula>AX$9&gt;=20/24</formula>
    </cfRule>
    <cfRule type="expression" dxfId="2338" priority="130">
      <formula>AND(AX$9&gt;=8/24,AX$9&lt;14/24)</formula>
    </cfRule>
    <cfRule type="expression" dxfId="2337" priority="131">
      <formula>AX$9&lt;8/24</formula>
    </cfRule>
  </conditionalFormatting>
  <conditionalFormatting sqref="V3 AB3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X11:AF52">
    <cfRule type="expression" dxfId="2336" priority="27">
      <formula>X11&gt;$AG11</formula>
    </cfRule>
  </conditionalFormatting>
  <conditionalFormatting sqref="X53:AF55">
    <cfRule type="expression" dxfId="2335" priority="67">
      <formula>X53&gt;$AG53</formula>
    </cfRule>
  </conditionalFormatting>
  <conditionalFormatting sqref="X53:AF57 K55:L55 M55:W56 B55:J57 E56:L56">
    <cfRule type="expression" dxfId="2334" priority="36">
      <formula>B$9&lt;8/24</formula>
    </cfRule>
  </conditionalFormatting>
  <conditionalFormatting sqref="X63:AF68">
    <cfRule type="expression" dxfId="2333" priority="62">
      <formula>X$9&gt;=20/24</formula>
    </cfRule>
    <cfRule type="expression" dxfId="2332" priority="63">
      <formula>AND(X$9&gt;=14/24,X$9&lt;20/24)</formula>
    </cfRule>
    <cfRule type="expression" dxfId="2331" priority="65">
      <formula>X$9&lt;8/24</formula>
    </cfRule>
    <cfRule type="expression" dxfId="2330" priority="64">
      <formula>AND(X$9&gt;=8/24,X$9&lt;14/24)</formula>
    </cfRule>
  </conditionalFormatting>
  <conditionalFormatting sqref="AB8">
    <cfRule type="expression" dxfId="2329" priority="101">
      <formula>AND(AD$9&gt;=8/24,AD$9&lt;14/24)</formula>
    </cfRule>
    <cfRule type="expression" dxfId="2328" priority="102">
      <formula>AD$9&lt;8/24</formula>
    </cfRule>
    <cfRule type="expression" dxfId="2327" priority="99">
      <formula>AD$9&gt;=20/24</formula>
    </cfRule>
    <cfRule type="expression" dxfId="2326" priority="100">
      <formula>AND(AD$9&gt;=14/24,AD$9&lt;20/24)</formula>
    </cfRule>
  </conditionalFormatting>
  <conditionalFormatting sqref="AG58">
    <cfRule type="expression" dxfId="2325" priority="86">
      <formula>AG58&gt;$AG58</formula>
    </cfRule>
  </conditionalFormatting>
  <conditionalFormatting sqref="AG97">
    <cfRule type="expression" dxfId="2324" priority="90">
      <formula>AG$9&lt;8/24</formula>
    </cfRule>
    <cfRule type="expression" dxfId="2323" priority="87">
      <formula>AG$9&gt;=20/24</formula>
    </cfRule>
    <cfRule type="expression" dxfId="2322" priority="88">
      <formula>AND(AG$9&gt;=14/24,AG$9&lt;20/24)</formula>
    </cfRule>
    <cfRule type="expression" dxfId="2321" priority="89">
      <formula>AND(AG$9&gt;=8/24,AG$9&lt;14/24)</formula>
    </cfRule>
  </conditionalFormatting>
  <conditionalFormatting sqref="AG258">
    <cfRule type="expression" dxfId="2320" priority="121">
      <formula>AND(B$9&gt;=14/24,B$9&lt;20/24)</formula>
    </cfRule>
    <cfRule type="expression" dxfId="2319" priority="122">
      <formula>AND(B$9&gt;=8/24,B$9&lt;14/24)</formula>
    </cfRule>
    <cfRule type="expression" dxfId="2318" priority="123">
      <formula>B$9&lt;8/24</formula>
    </cfRule>
    <cfRule type="expression" dxfId="2317" priority="120">
      <formula>B$9&gt;=20/24</formula>
    </cfRule>
  </conditionalFormatting>
  <conditionalFormatting sqref="AH258:AX258">
    <cfRule type="expression" dxfId="2316" priority="124">
      <formula>AG$9&gt;=20/24</formula>
    </cfRule>
    <cfRule type="expression" dxfId="2315" priority="125">
      <formula>AND(AG$9&gt;=14/24,AG$9&lt;20/24)</formula>
    </cfRule>
    <cfRule type="expression" dxfId="2314" priority="126">
      <formula>AND(AG$9&gt;=8/24,AG$9&lt;14/24)</formula>
    </cfRule>
    <cfRule type="expression" dxfId="2313" priority="127">
      <formula>AG$9&lt;8/24</formula>
    </cfRule>
  </conditionalFormatting>
  <conditionalFormatting sqref="AL4:AL6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312" priority="133">
      <formula>AJ$9&gt;=20/24</formula>
    </cfRule>
    <cfRule type="expression" dxfId="2311" priority="134">
      <formula>AND(AJ$9&gt;=14/24,AJ$9&lt;20/24)</formula>
    </cfRule>
    <cfRule type="expression" dxfId="2310" priority="135">
      <formula>AND(AJ$9&gt;=8/24,AJ$9&lt;14/24)</formula>
    </cfRule>
    <cfRule type="expression" dxfId="2309" priority="136">
      <formula>AJ$9&lt;8/24</formula>
    </cfRule>
  </conditionalFormatting>
  <conditionalFormatting sqref="AL88:AN88 AL94:AN94">
    <cfRule type="expression" dxfId="2308" priority="82">
      <formula>AL$9&lt;8/24</formula>
    </cfRule>
    <cfRule type="expression" dxfId="2307" priority="81">
      <formula>AND(AL$9&gt;=8/24,AL$9&lt;14/24)</formula>
    </cfRule>
    <cfRule type="expression" dxfId="2306" priority="80">
      <formula>AND(AL$9&gt;=14/24,AL$9&lt;20/24)</formula>
    </cfRule>
    <cfRule type="expression" dxfId="2305" priority="79">
      <formula>AL$9&gt;=20/24</formula>
    </cfRule>
  </conditionalFormatting>
  <conditionalFormatting sqref="AN89:AN92">
    <cfRule type="expression" dxfId="2304" priority="78">
      <formula>AN$9&lt;8/24</formula>
    </cfRule>
    <cfRule type="expression" dxfId="2303" priority="77">
      <formula>AND(AN$9&gt;=8/24,AN$9&lt;14/24)</formula>
    </cfRule>
    <cfRule type="expression" dxfId="2302" priority="76">
      <formula>AND(AN$9&gt;=14/24,AN$9&lt;20/24)</formula>
    </cfRule>
    <cfRule type="expression" dxfId="2301" priority="75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8F03-B647-4448-9E60-59BAEB8C52CE}">
  <sheetPr codeName="Sheet14"/>
  <dimension ref="A1:CJ291"/>
  <sheetViews>
    <sheetView zoomScale="106" workbookViewId="0">
      <pane xSplit="1" ySplit="10" topLeftCell="I46" activePane="bottomRight" state="frozen"/>
      <selection activeCell="P118" sqref="P118"/>
      <selection pane="topRight" activeCell="P118" sqref="P118"/>
      <selection pane="bottomLeft" activeCell="P118" sqref="P118"/>
      <selection pane="bottomRight" activeCell="A33" sqref="A3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1" hidden="1" thickBot="1" x14ac:dyDescent="0.3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9.5" hidden="1" thickBot="1" x14ac:dyDescent="0.3">
      <c r="A4" s="25" t="s">
        <v>11</v>
      </c>
      <c r="B4" s="246" t="str">
        <f ca="1">"2080/"&amp;"09/"&amp;INT(MID(CELL("filename",D6),FIND("]",CELL("filename",D6))+1,200))</f>
        <v>2080/09/13</v>
      </c>
      <c r="C4" s="246"/>
      <c r="D4" s="246"/>
      <c r="E4" s="247" t="str">
        <f ca="1">"2080/"&amp;"09/"&amp;INT(MID(CELL("filename",G6),FIND("]",CELL("filename",G6))+1,200))</f>
        <v>2080/09/13</v>
      </c>
      <c r="F4" s="247"/>
      <c r="G4" s="247"/>
      <c r="H4" s="247" t="str">
        <f ca="1">TEXT(E4,"dddd")</f>
        <v>Friday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170</v>
      </c>
      <c r="C5" s="30">
        <f t="shared" si="0"/>
        <v>175</v>
      </c>
      <c r="D5" s="30">
        <f t="shared" si="0"/>
        <v>112</v>
      </c>
      <c r="E5" s="30">
        <f t="shared" si="0"/>
        <v>127.6</v>
      </c>
      <c r="F5" s="30">
        <f t="shared" si="0"/>
        <v>202</v>
      </c>
      <c r="G5" s="30">
        <f t="shared" si="0"/>
        <v>205</v>
      </c>
      <c r="H5" s="30">
        <f t="shared" si="0"/>
        <v>318.89999999999998</v>
      </c>
      <c r="I5" s="30">
        <f t="shared" si="0"/>
        <v>298.39999999999998</v>
      </c>
      <c r="J5" s="30">
        <f t="shared" si="0"/>
        <v>255.1</v>
      </c>
      <c r="K5" s="30">
        <f t="shared" si="0"/>
        <v>96.3</v>
      </c>
      <c r="L5" s="30">
        <f t="shared" si="0"/>
        <v>41.7</v>
      </c>
      <c r="M5" s="30">
        <f t="shared" si="0"/>
        <v>29.2</v>
      </c>
      <c r="N5" s="30">
        <f t="shared" si="0"/>
        <v>24.2</v>
      </c>
      <c r="O5" s="30">
        <f t="shared" si="0"/>
        <v>150</v>
      </c>
      <c r="P5" s="30">
        <f t="shared" si="0"/>
        <v>279.5</v>
      </c>
      <c r="Q5" s="30">
        <f t="shared" si="0"/>
        <v>351.9</v>
      </c>
      <c r="R5" s="30">
        <f t="shared" si="0"/>
        <v>390.59999999999997</v>
      </c>
      <c r="S5" s="30">
        <f t="shared" si="0"/>
        <v>396</v>
      </c>
      <c r="T5" s="30">
        <f t="shared" si="0"/>
        <v>368.40000000000003</v>
      </c>
      <c r="U5" s="30">
        <f t="shared" si="0"/>
        <v>112.3</v>
      </c>
      <c r="V5" s="30">
        <f t="shared" si="0"/>
        <v>45.4</v>
      </c>
      <c r="W5" s="30">
        <f t="shared" si="0"/>
        <v>77.099999999999994</v>
      </c>
      <c r="X5" s="30">
        <f t="shared" si="0"/>
        <v>61.6</v>
      </c>
      <c r="Y5" s="30">
        <f t="shared" si="0"/>
        <v>76.8</v>
      </c>
      <c r="Z5" s="30">
        <f t="shared" si="0"/>
        <v>95.199999999999989</v>
      </c>
      <c r="AA5" s="30">
        <f t="shared" si="0"/>
        <v>128</v>
      </c>
      <c r="AB5" s="30">
        <f t="shared" si="0"/>
        <v>221.3</v>
      </c>
      <c r="AC5" s="30">
        <f t="shared" si="0"/>
        <v>238.5</v>
      </c>
      <c r="AD5" s="30">
        <f t="shared" si="0"/>
        <v>246</v>
      </c>
      <c r="AE5" s="30">
        <f t="shared" si="0"/>
        <v>183</v>
      </c>
      <c r="AF5" s="30">
        <f>B92</f>
        <v>208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9.5" hidden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1684MW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Load=976</v>
      </c>
      <c r="B7" s="35">
        <f>B100</f>
        <v>1038.54</v>
      </c>
      <c r="C7" s="35">
        <f t="shared" ref="C7:AF7" si="1">C100</f>
        <v>989.54000000000008</v>
      </c>
      <c r="D7" s="35">
        <f t="shared" si="1"/>
        <v>1005.5400000000001</v>
      </c>
      <c r="E7" s="35">
        <f t="shared" si="1"/>
        <v>976.34</v>
      </c>
      <c r="F7" s="35">
        <f t="shared" si="1"/>
        <v>1005.0400000000001</v>
      </c>
      <c r="G7" s="35">
        <f t="shared" si="1"/>
        <v>1079.44</v>
      </c>
      <c r="H7" s="35">
        <f t="shared" si="1"/>
        <v>1189.54</v>
      </c>
      <c r="I7" s="35">
        <f>I100</f>
        <v>1329.7400000000002</v>
      </c>
      <c r="J7" s="35">
        <f>J100</f>
        <v>1421.7400000000002</v>
      </c>
      <c r="K7" s="35">
        <f t="shared" si="1"/>
        <v>1545.94</v>
      </c>
      <c r="L7" s="35">
        <f t="shared" si="1"/>
        <v>1683.8400000000004</v>
      </c>
      <c r="M7" s="35">
        <f t="shared" si="1"/>
        <v>1645.6400000000003</v>
      </c>
      <c r="N7" s="35">
        <f t="shared" si="1"/>
        <v>1569.2400000000002</v>
      </c>
      <c r="O7" s="35">
        <f t="shared" si="1"/>
        <v>1513.94</v>
      </c>
      <c r="P7" s="35">
        <f t="shared" si="1"/>
        <v>1395.44</v>
      </c>
      <c r="Q7" s="35">
        <f t="shared" si="1"/>
        <v>1319.54</v>
      </c>
      <c r="R7" s="35">
        <f t="shared" si="1"/>
        <v>1275.8400000000001</v>
      </c>
      <c r="S7" s="35">
        <f t="shared" si="1"/>
        <v>1324.14</v>
      </c>
      <c r="T7" s="35">
        <f t="shared" si="1"/>
        <v>1324.14</v>
      </c>
      <c r="U7" s="35">
        <f t="shared" si="1"/>
        <v>1461.1400000000003</v>
      </c>
      <c r="V7" s="35">
        <f t="shared" si="1"/>
        <v>1413.74</v>
      </c>
      <c r="W7" s="35">
        <f t="shared" si="1"/>
        <v>1537.1400000000003</v>
      </c>
      <c r="X7" s="35">
        <f t="shared" si="1"/>
        <v>1743.3400000000001</v>
      </c>
      <c r="Y7" s="35">
        <f t="shared" si="1"/>
        <v>1707.64</v>
      </c>
      <c r="Z7" s="35">
        <f t="shared" si="1"/>
        <v>1588.2400000000002</v>
      </c>
      <c r="AA7" s="35">
        <f t="shared" si="1"/>
        <v>1543.5400000000002</v>
      </c>
      <c r="AB7" s="35">
        <f t="shared" si="1"/>
        <v>1511.3400000000001</v>
      </c>
      <c r="AC7" s="35">
        <f t="shared" si="1"/>
        <v>1416.04</v>
      </c>
      <c r="AD7" s="35">
        <f t="shared" si="1"/>
        <v>1261.6400000000001</v>
      </c>
      <c r="AE7" s="35">
        <f t="shared" si="1"/>
        <v>1098.1400000000001</v>
      </c>
      <c r="AF7" s="35">
        <f t="shared" si="1"/>
        <v>1003.5400000000001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37.4</v>
      </c>
      <c r="C11" s="45">
        <v>37.4</v>
      </c>
      <c r="D11" s="45">
        <v>37.4</v>
      </c>
      <c r="E11" s="45">
        <v>41.8</v>
      </c>
      <c r="F11" s="45">
        <v>41.8</v>
      </c>
      <c r="G11" s="45">
        <v>41.8</v>
      </c>
      <c r="H11" s="45">
        <v>39.799999999999997</v>
      </c>
      <c r="I11" s="45">
        <v>38</v>
      </c>
      <c r="J11" s="45">
        <v>38.1</v>
      </c>
      <c r="K11" s="45">
        <v>38</v>
      </c>
      <c r="L11" s="45">
        <v>38</v>
      </c>
      <c r="M11" s="45">
        <v>38</v>
      </c>
      <c r="N11" s="45">
        <v>38.700000000000003</v>
      </c>
      <c r="O11" s="45">
        <v>39.299999999999997</v>
      </c>
      <c r="P11" s="45">
        <v>36</v>
      </c>
      <c r="Q11" s="45">
        <v>38</v>
      </c>
      <c r="R11" s="45">
        <v>38.700000000000003</v>
      </c>
      <c r="S11" s="45">
        <v>38.700000000000003</v>
      </c>
      <c r="T11" s="45">
        <v>38.700000000000003</v>
      </c>
      <c r="U11" s="45">
        <v>38.700000000000003</v>
      </c>
      <c r="V11" s="45">
        <v>38.700000000000003</v>
      </c>
      <c r="W11" s="45">
        <v>38.700000000000003</v>
      </c>
      <c r="X11" s="45">
        <v>38.700000000000003</v>
      </c>
      <c r="Y11" s="45">
        <v>38.700000000000003</v>
      </c>
      <c r="Z11" s="45">
        <v>38.700000000000003</v>
      </c>
      <c r="AA11" s="45">
        <v>38.700000000000003</v>
      </c>
      <c r="AB11" s="45">
        <v>38.700000000000003</v>
      </c>
      <c r="AC11" s="45">
        <v>36.700000000000003</v>
      </c>
      <c r="AD11" s="45">
        <v>36.700000000000003</v>
      </c>
      <c r="AE11" s="45">
        <v>36.700000000000003</v>
      </c>
      <c r="AF11" s="45">
        <v>36.700000000000003</v>
      </c>
      <c r="AG11" s="46">
        <v>86</v>
      </c>
      <c r="AH11" s="47">
        <f t="shared" ref="AH11:AH84" si="2">MAX(B11:AF11)</f>
        <v>41.8</v>
      </c>
      <c r="AI11" s="48">
        <f t="shared" ref="AI11:AI84" si="3">MIN(B11:AF11)</f>
        <v>36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</v>
      </c>
      <c r="C12" s="45">
        <v>13</v>
      </c>
      <c r="D12" s="45">
        <v>13</v>
      </c>
      <c r="E12" s="45">
        <v>13</v>
      </c>
      <c r="F12" s="45">
        <v>13</v>
      </c>
      <c r="G12" s="45">
        <v>13</v>
      </c>
      <c r="H12" s="45">
        <v>13</v>
      </c>
      <c r="I12" s="45">
        <v>13</v>
      </c>
      <c r="J12" s="45">
        <v>13</v>
      </c>
      <c r="K12" s="45">
        <v>13</v>
      </c>
      <c r="L12" s="45">
        <v>13</v>
      </c>
      <c r="M12" s="45">
        <v>13</v>
      </c>
      <c r="N12" s="45">
        <v>13</v>
      </c>
      <c r="O12" s="45">
        <v>13</v>
      </c>
      <c r="P12" s="45">
        <v>13</v>
      </c>
      <c r="Q12" s="45">
        <v>13</v>
      </c>
      <c r="R12" s="45">
        <v>13</v>
      </c>
      <c r="S12" s="45">
        <v>13</v>
      </c>
      <c r="T12" s="45">
        <v>13</v>
      </c>
      <c r="U12" s="45">
        <v>13</v>
      </c>
      <c r="V12" s="45">
        <v>13</v>
      </c>
      <c r="W12" s="45">
        <v>13</v>
      </c>
      <c r="X12" s="45">
        <v>13</v>
      </c>
      <c r="Y12" s="45">
        <v>13</v>
      </c>
      <c r="Z12" s="45">
        <v>13</v>
      </c>
      <c r="AA12" s="45">
        <v>13</v>
      </c>
      <c r="AB12" s="45">
        <v>13</v>
      </c>
      <c r="AC12" s="45">
        <v>13</v>
      </c>
      <c r="AD12" s="45">
        <v>13</v>
      </c>
      <c r="AE12" s="45">
        <v>13</v>
      </c>
      <c r="AF12" s="45">
        <v>13</v>
      </c>
      <c r="AG12" s="49">
        <v>54</v>
      </c>
      <c r="AH12" s="47">
        <f t="shared" si="2"/>
        <v>13</v>
      </c>
      <c r="AI12" s="48">
        <f t="shared" si="3"/>
        <v>13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16.5</v>
      </c>
      <c r="C13" s="45">
        <v>16.5</v>
      </c>
      <c r="D13" s="45">
        <v>16.5</v>
      </c>
      <c r="E13" s="45">
        <v>16.5</v>
      </c>
      <c r="F13" s="45">
        <v>16.5</v>
      </c>
      <c r="G13" s="45">
        <v>16.5</v>
      </c>
      <c r="H13" s="45">
        <v>16.5</v>
      </c>
      <c r="I13" s="45">
        <v>16.5</v>
      </c>
      <c r="J13" s="45">
        <v>16.5</v>
      </c>
      <c r="K13" s="45">
        <v>16.5</v>
      </c>
      <c r="L13" s="45">
        <v>16.5</v>
      </c>
      <c r="M13" s="45">
        <v>16.5</v>
      </c>
      <c r="N13" s="45">
        <v>16.5</v>
      </c>
      <c r="O13" s="45">
        <v>16.5</v>
      </c>
      <c r="P13" s="45">
        <v>16.5</v>
      </c>
      <c r="Q13" s="45">
        <v>16.5</v>
      </c>
      <c r="R13" s="45">
        <v>16.5</v>
      </c>
      <c r="S13" s="45">
        <v>16.5</v>
      </c>
      <c r="T13" s="45">
        <v>16.5</v>
      </c>
      <c r="U13" s="45">
        <v>16.5</v>
      </c>
      <c r="V13" s="45">
        <v>16.5</v>
      </c>
      <c r="W13" s="45">
        <v>16.5</v>
      </c>
      <c r="X13" s="45">
        <v>16.5</v>
      </c>
      <c r="Y13" s="45">
        <v>16.5</v>
      </c>
      <c r="Z13" s="45">
        <v>16.5</v>
      </c>
      <c r="AA13" s="45">
        <v>16.5</v>
      </c>
      <c r="AB13" s="45">
        <v>16.5</v>
      </c>
      <c r="AC13" s="45">
        <v>16.5</v>
      </c>
      <c r="AD13" s="45">
        <v>16.5</v>
      </c>
      <c r="AE13" s="45">
        <v>16.5</v>
      </c>
      <c r="AF13" s="45">
        <v>16.5</v>
      </c>
      <c r="AG13" s="49">
        <v>54</v>
      </c>
      <c r="AH13" s="47">
        <f t="shared" si="2"/>
        <v>16.5</v>
      </c>
      <c r="AI13" s="48">
        <f t="shared" si="3"/>
        <v>16.5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22</v>
      </c>
      <c r="C14" s="45">
        <v>22</v>
      </c>
      <c r="D14" s="45">
        <v>22</v>
      </c>
      <c r="E14" s="45">
        <v>21.1</v>
      </c>
      <c r="F14" s="45">
        <v>21.1</v>
      </c>
      <c r="G14" s="45">
        <v>21.1</v>
      </c>
      <c r="H14" s="45">
        <v>21</v>
      </c>
      <c r="I14" s="45">
        <v>21</v>
      </c>
      <c r="J14" s="45">
        <v>21.5</v>
      </c>
      <c r="K14" s="45">
        <v>20.2</v>
      </c>
      <c r="L14" s="45">
        <v>20.2</v>
      </c>
      <c r="M14" s="45">
        <v>20.3</v>
      </c>
      <c r="N14" s="45">
        <v>20.2</v>
      </c>
      <c r="O14" s="45">
        <v>20.2</v>
      </c>
      <c r="P14" s="45">
        <v>20.2</v>
      </c>
      <c r="Q14" s="45">
        <v>20.2</v>
      </c>
      <c r="R14" s="45">
        <v>19.2</v>
      </c>
      <c r="S14" s="45">
        <v>19.2</v>
      </c>
      <c r="T14" s="45">
        <v>19.2</v>
      </c>
      <c r="U14" s="45">
        <v>19.2</v>
      </c>
      <c r="V14" s="45">
        <v>19.2</v>
      </c>
      <c r="W14" s="45">
        <v>19.2</v>
      </c>
      <c r="X14" s="45">
        <v>19.2</v>
      </c>
      <c r="Y14" s="45">
        <v>19.2</v>
      </c>
      <c r="Z14" s="45">
        <v>19.2</v>
      </c>
      <c r="AA14" s="45">
        <v>19.2</v>
      </c>
      <c r="AB14" s="45">
        <v>19.2</v>
      </c>
      <c r="AC14" s="45">
        <v>21.5</v>
      </c>
      <c r="AD14" s="45">
        <v>21.5</v>
      </c>
      <c r="AE14" s="45">
        <v>21.5</v>
      </c>
      <c r="AF14" s="45">
        <v>21.5</v>
      </c>
      <c r="AG14" s="46">
        <v>52.4</v>
      </c>
      <c r="AH14" s="47">
        <f t="shared" si="2"/>
        <v>22</v>
      </c>
      <c r="AI14" s="48">
        <f t="shared" si="3"/>
        <v>19.2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42.6</v>
      </c>
      <c r="C15" s="45">
        <v>42.6</v>
      </c>
      <c r="D15" s="45">
        <v>42.6</v>
      </c>
      <c r="E15" s="45">
        <v>42.8</v>
      </c>
      <c r="F15" s="45">
        <v>42.8</v>
      </c>
      <c r="G15" s="45">
        <v>42.8</v>
      </c>
      <c r="H15" s="45">
        <v>42.7</v>
      </c>
      <c r="I15" s="45">
        <v>42.7</v>
      </c>
      <c r="J15" s="45">
        <v>42.7</v>
      </c>
      <c r="K15" s="45">
        <v>42.7</v>
      </c>
      <c r="L15" s="45">
        <v>42.7</v>
      </c>
      <c r="M15" s="51">
        <v>43</v>
      </c>
      <c r="N15" s="51">
        <v>43</v>
      </c>
      <c r="O15" s="51">
        <v>43</v>
      </c>
      <c r="P15" s="51">
        <v>43</v>
      </c>
      <c r="Q15" s="51">
        <v>43</v>
      </c>
      <c r="R15" s="51">
        <v>42.5</v>
      </c>
      <c r="S15" s="51">
        <v>42.5</v>
      </c>
      <c r="T15" s="51">
        <v>42.5</v>
      </c>
      <c r="U15" s="51">
        <v>42.5</v>
      </c>
      <c r="V15" s="51">
        <v>42.5</v>
      </c>
      <c r="W15" s="51">
        <v>42.5</v>
      </c>
      <c r="X15" s="51">
        <v>42.5</v>
      </c>
      <c r="Y15" s="51">
        <v>42.5</v>
      </c>
      <c r="Z15" s="51">
        <v>42.5</v>
      </c>
      <c r="AA15" s="51">
        <v>42.5</v>
      </c>
      <c r="AB15" s="51">
        <v>42.5</v>
      </c>
      <c r="AC15" s="45">
        <v>42</v>
      </c>
      <c r="AD15" s="45">
        <v>42</v>
      </c>
      <c r="AE15" s="45">
        <v>42</v>
      </c>
      <c r="AF15" s="45">
        <v>42</v>
      </c>
      <c r="AG15" s="49">
        <v>50</v>
      </c>
      <c r="AH15" s="47">
        <f t="shared" si="2"/>
        <v>43</v>
      </c>
      <c r="AI15" s="48">
        <f t="shared" si="3"/>
        <v>42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21.8</v>
      </c>
      <c r="C16" s="45">
        <v>21.8</v>
      </c>
      <c r="D16" s="45">
        <v>21.8</v>
      </c>
      <c r="E16" s="45">
        <v>23.2</v>
      </c>
      <c r="F16" s="45">
        <v>23.2</v>
      </c>
      <c r="G16" s="45">
        <v>23.2</v>
      </c>
      <c r="H16" s="45">
        <v>20.8</v>
      </c>
      <c r="I16" s="45">
        <v>21</v>
      </c>
      <c r="J16" s="45">
        <v>21.2</v>
      </c>
      <c r="K16" s="45">
        <v>20.9</v>
      </c>
      <c r="L16" s="45">
        <v>19.899999999999999</v>
      </c>
      <c r="M16" s="45">
        <v>19.899999999999999</v>
      </c>
      <c r="N16" s="45">
        <v>19.899999999999999</v>
      </c>
      <c r="O16" s="45">
        <v>19.899999999999999</v>
      </c>
      <c r="P16" s="45">
        <v>19.899999999999999</v>
      </c>
      <c r="Q16" s="45">
        <v>19.899999999999999</v>
      </c>
      <c r="R16" s="45">
        <v>19.5</v>
      </c>
      <c r="S16" s="45">
        <v>19.5</v>
      </c>
      <c r="T16" s="45">
        <v>19.5</v>
      </c>
      <c r="U16" s="45">
        <v>19.5</v>
      </c>
      <c r="V16" s="45">
        <v>19.5</v>
      </c>
      <c r="W16" s="45">
        <v>19.5</v>
      </c>
      <c r="X16" s="45">
        <v>19.5</v>
      </c>
      <c r="Y16" s="45">
        <v>19.5</v>
      </c>
      <c r="Z16" s="45">
        <v>19.5</v>
      </c>
      <c r="AA16" s="45">
        <v>19.5</v>
      </c>
      <c r="AB16" s="45">
        <v>19.5</v>
      </c>
      <c r="AC16" s="45">
        <v>24</v>
      </c>
      <c r="AD16" s="45">
        <v>24</v>
      </c>
      <c r="AE16" s="45">
        <v>24</v>
      </c>
      <c r="AF16" s="45">
        <v>24</v>
      </c>
      <c r="AG16" s="49">
        <v>45</v>
      </c>
      <c r="AH16" s="47">
        <f t="shared" si="2"/>
        <v>24</v>
      </c>
      <c r="AI16" s="48">
        <f t="shared" si="3"/>
        <v>19.5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12</v>
      </c>
      <c r="C18" s="45">
        <v>12</v>
      </c>
      <c r="D18" s="45">
        <v>12</v>
      </c>
      <c r="E18" s="45">
        <v>12.5</v>
      </c>
      <c r="F18" s="45">
        <v>12.5</v>
      </c>
      <c r="G18" s="45">
        <v>12.5</v>
      </c>
      <c r="H18" s="45">
        <v>12.5</v>
      </c>
      <c r="I18" s="45">
        <v>12.5</v>
      </c>
      <c r="J18" s="45">
        <v>12.5</v>
      </c>
      <c r="K18" s="45">
        <v>12.8</v>
      </c>
      <c r="L18" s="45">
        <v>12</v>
      </c>
      <c r="M18" s="45">
        <v>12</v>
      </c>
      <c r="N18" s="45">
        <v>12</v>
      </c>
      <c r="O18" s="45">
        <v>12</v>
      </c>
      <c r="P18" s="45">
        <v>12</v>
      </c>
      <c r="Q18" s="45">
        <v>12</v>
      </c>
      <c r="R18" s="45">
        <v>12</v>
      </c>
      <c r="S18" s="45">
        <v>12</v>
      </c>
      <c r="T18" s="45">
        <v>12</v>
      </c>
      <c r="U18" s="45">
        <v>12</v>
      </c>
      <c r="V18" s="45">
        <v>12</v>
      </c>
      <c r="W18" s="45">
        <v>12</v>
      </c>
      <c r="X18" s="45">
        <v>12</v>
      </c>
      <c r="Y18" s="45">
        <v>12</v>
      </c>
      <c r="Z18" s="45">
        <v>12</v>
      </c>
      <c r="AA18" s="45">
        <v>12</v>
      </c>
      <c r="AB18" s="45">
        <v>12</v>
      </c>
      <c r="AC18" s="45">
        <v>13</v>
      </c>
      <c r="AD18" s="45">
        <v>13</v>
      </c>
      <c r="AE18" s="45">
        <v>13</v>
      </c>
      <c r="AF18" s="45">
        <v>13</v>
      </c>
      <c r="AG18" s="49">
        <v>42</v>
      </c>
      <c r="AH18" s="47">
        <f t="shared" si="2"/>
        <v>13</v>
      </c>
      <c r="AI18" s="48">
        <f t="shared" si="3"/>
        <v>12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16.5</v>
      </c>
      <c r="C19" s="45">
        <v>16.5</v>
      </c>
      <c r="D19" s="45">
        <v>16.5</v>
      </c>
      <c r="E19" s="45">
        <v>16.5</v>
      </c>
      <c r="F19" s="45">
        <v>16.5</v>
      </c>
      <c r="G19" s="45">
        <v>16.5</v>
      </c>
      <c r="H19" s="45">
        <v>16.5</v>
      </c>
      <c r="I19" s="45">
        <v>16.5</v>
      </c>
      <c r="J19" s="45">
        <v>16.5</v>
      </c>
      <c r="K19" s="45">
        <v>16.5</v>
      </c>
      <c r="L19" s="45">
        <v>16.5</v>
      </c>
      <c r="M19" s="45">
        <v>16.5</v>
      </c>
      <c r="N19" s="45">
        <v>16.5</v>
      </c>
      <c r="O19" s="45">
        <v>16.5</v>
      </c>
      <c r="P19" s="45">
        <v>16.5</v>
      </c>
      <c r="Q19" s="45">
        <v>16.5</v>
      </c>
      <c r="R19" s="45">
        <v>16.5</v>
      </c>
      <c r="S19" s="45">
        <v>16.5</v>
      </c>
      <c r="T19" s="45">
        <v>16.5</v>
      </c>
      <c r="U19" s="45">
        <v>16.5</v>
      </c>
      <c r="V19" s="45">
        <v>16.5</v>
      </c>
      <c r="W19" s="45">
        <v>16.5</v>
      </c>
      <c r="X19" s="45">
        <v>16.5</v>
      </c>
      <c r="Y19" s="45">
        <v>16.5</v>
      </c>
      <c r="Z19" s="45">
        <v>16.5</v>
      </c>
      <c r="AA19" s="45">
        <v>16.5</v>
      </c>
      <c r="AB19" s="45">
        <v>16.5</v>
      </c>
      <c r="AC19" s="45">
        <v>16.5</v>
      </c>
      <c r="AD19" s="45">
        <v>16.5</v>
      </c>
      <c r="AE19" s="45">
        <v>16.5</v>
      </c>
      <c r="AF19" s="45">
        <v>16.5</v>
      </c>
      <c r="AG19" s="49">
        <v>38.46</v>
      </c>
      <c r="AH19" s="47">
        <f t="shared" si="2"/>
        <v>16.5</v>
      </c>
      <c r="AI19" s="48">
        <f t="shared" si="3"/>
        <v>16.5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12.8</v>
      </c>
      <c r="C20" s="45">
        <v>12.8</v>
      </c>
      <c r="D20" s="45">
        <v>12.8</v>
      </c>
      <c r="E20" s="45">
        <v>12.8</v>
      </c>
      <c r="F20" s="45">
        <v>12.8</v>
      </c>
      <c r="G20" s="45">
        <v>12.8</v>
      </c>
      <c r="H20" s="45">
        <v>12.8</v>
      </c>
      <c r="I20" s="45">
        <v>12.8</v>
      </c>
      <c r="J20" s="45">
        <v>12.8</v>
      </c>
      <c r="K20" s="45">
        <v>12.8</v>
      </c>
      <c r="L20" s="45">
        <v>12.8</v>
      </c>
      <c r="M20" s="45">
        <v>12.8</v>
      </c>
      <c r="N20" s="45">
        <v>12.8</v>
      </c>
      <c r="O20" s="45">
        <v>12.8</v>
      </c>
      <c r="P20" s="45">
        <v>12.8</v>
      </c>
      <c r="Q20" s="45">
        <v>12.8</v>
      </c>
      <c r="R20" s="45">
        <v>12.8</v>
      </c>
      <c r="S20" s="45">
        <v>12.8</v>
      </c>
      <c r="T20" s="45">
        <v>12.8</v>
      </c>
      <c r="U20" s="45">
        <v>12.8</v>
      </c>
      <c r="V20" s="45">
        <v>12.8</v>
      </c>
      <c r="W20" s="45">
        <v>12.8</v>
      </c>
      <c r="X20" s="45">
        <v>12.8</v>
      </c>
      <c r="Y20" s="45">
        <v>12.8</v>
      </c>
      <c r="Z20" s="45">
        <v>12.8</v>
      </c>
      <c r="AA20" s="45">
        <v>12.8</v>
      </c>
      <c r="AB20" s="45">
        <v>12.8</v>
      </c>
      <c r="AC20" s="45">
        <v>12.8</v>
      </c>
      <c r="AD20" s="45">
        <v>12.8</v>
      </c>
      <c r="AE20" s="45">
        <v>12.8</v>
      </c>
      <c r="AF20" s="45">
        <v>12.8</v>
      </c>
      <c r="AG20" s="49">
        <v>38.46</v>
      </c>
      <c r="AH20" s="47">
        <f t="shared" si="2"/>
        <v>12.8</v>
      </c>
      <c r="AI20" s="48">
        <f t="shared" si="3"/>
        <v>12.8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11.8</v>
      </c>
      <c r="F22" s="45">
        <v>11.8</v>
      </c>
      <c r="G22" s="45">
        <v>11.8</v>
      </c>
      <c r="H22" s="45">
        <v>11.8</v>
      </c>
      <c r="I22" s="45">
        <v>11.8</v>
      </c>
      <c r="J22" s="45">
        <v>11.9</v>
      </c>
      <c r="K22" s="45">
        <v>11.8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2">
        <v>30</v>
      </c>
      <c r="AH22" s="47">
        <f t="shared" si="2"/>
        <v>12</v>
      </c>
      <c r="AI22" s="48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49">
        <v>24.2</v>
      </c>
      <c r="AH23" s="47">
        <f t="shared" si="2"/>
        <v>10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12.9</v>
      </c>
      <c r="C24" s="45">
        <v>12.9</v>
      </c>
      <c r="D24" s="45">
        <v>12.9</v>
      </c>
      <c r="E24" s="45">
        <v>12.4</v>
      </c>
      <c r="F24" s="45">
        <v>12.4</v>
      </c>
      <c r="G24" s="45">
        <v>12.4</v>
      </c>
      <c r="H24" s="45">
        <v>12.4</v>
      </c>
      <c r="I24" s="45">
        <v>12.4</v>
      </c>
      <c r="J24" s="45">
        <v>12.4</v>
      </c>
      <c r="K24" s="45">
        <v>12.4</v>
      </c>
      <c r="L24" s="45">
        <v>12.4</v>
      </c>
      <c r="M24" s="45">
        <v>12.4</v>
      </c>
      <c r="N24" s="45">
        <v>12.4</v>
      </c>
      <c r="O24" s="45">
        <v>12.4</v>
      </c>
      <c r="P24" s="45">
        <v>12.4</v>
      </c>
      <c r="Q24" s="45">
        <v>12.4</v>
      </c>
      <c r="R24" s="45">
        <v>12.4</v>
      </c>
      <c r="S24" s="45">
        <v>12.4</v>
      </c>
      <c r="T24" s="45">
        <v>12.4</v>
      </c>
      <c r="U24" s="45">
        <v>12.4</v>
      </c>
      <c r="V24" s="45">
        <v>12.4</v>
      </c>
      <c r="W24" s="45">
        <v>12.4</v>
      </c>
      <c r="X24" s="45">
        <v>12.4</v>
      </c>
      <c r="Y24" s="45">
        <v>12.4</v>
      </c>
      <c r="Z24" s="45">
        <v>12.4</v>
      </c>
      <c r="AA24" s="45">
        <v>12.4</v>
      </c>
      <c r="AB24" s="45">
        <v>12.4</v>
      </c>
      <c r="AC24" s="45">
        <v>12.4</v>
      </c>
      <c r="AD24" s="45">
        <v>12.4</v>
      </c>
      <c r="AE24" s="45">
        <v>12.4</v>
      </c>
      <c r="AF24" s="45">
        <v>12.4</v>
      </c>
      <c r="AG24" s="49">
        <v>28</v>
      </c>
      <c r="AH24" s="47">
        <f t="shared" si="2"/>
        <v>12.9</v>
      </c>
      <c r="AI24" s="48">
        <f t="shared" si="3"/>
        <v>12.4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9.5</v>
      </c>
      <c r="C25" s="45">
        <v>9.5</v>
      </c>
      <c r="D25" s="45">
        <v>9.5</v>
      </c>
      <c r="E25" s="45">
        <v>10.3</v>
      </c>
      <c r="F25" s="45">
        <v>10.3</v>
      </c>
      <c r="G25" s="45">
        <v>10.3</v>
      </c>
      <c r="H25" s="45">
        <v>10.3</v>
      </c>
      <c r="I25" s="45">
        <v>10.3</v>
      </c>
      <c r="J25" s="45">
        <v>10.3</v>
      </c>
      <c r="K25" s="45">
        <v>10.3</v>
      </c>
      <c r="L25" s="45">
        <v>10.3</v>
      </c>
      <c r="M25" s="45">
        <v>10.3</v>
      </c>
      <c r="N25" s="45">
        <v>10.3</v>
      </c>
      <c r="O25" s="45">
        <v>10.3</v>
      </c>
      <c r="P25" s="45">
        <v>10.3</v>
      </c>
      <c r="Q25" s="45">
        <v>10.3</v>
      </c>
      <c r="R25" s="45">
        <v>10.3</v>
      </c>
      <c r="S25" s="45">
        <v>10.3</v>
      </c>
      <c r="T25" s="45">
        <v>10.3</v>
      </c>
      <c r="U25" s="45">
        <v>10.3</v>
      </c>
      <c r="V25" s="45">
        <v>10.3</v>
      </c>
      <c r="W25" s="45">
        <v>10.3</v>
      </c>
      <c r="X25" s="45">
        <v>10.3</v>
      </c>
      <c r="Y25" s="45">
        <v>10.3</v>
      </c>
      <c r="Z25" s="45">
        <v>10.3</v>
      </c>
      <c r="AA25" s="45">
        <v>10.3</v>
      </c>
      <c r="AB25" s="45">
        <v>10.3</v>
      </c>
      <c r="AC25" s="45">
        <v>10.3</v>
      </c>
      <c r="AD25" s="45">
        <v>10.3</v>
      </c>
      <c r="AE25" s="45">
        <v>10.3</v>
      </c>
      <c r="AF25" s="45">
        <v>10.3</v>
      </c>
      <c r="AG25" s="52">
        <v>30</v>
      </c>
      <c r="AH25" s="47">
        <f t="shared" si="2"/>
        <v>10.3</v>
      </c>
      <c r="AI25" s="48">
        <f t="shared" si="3"/>
        <v>9.5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12.1</v>
      </c>
      <c r="C26" s="45">
        <v>12.1</v>
      </c>
      <c r="D26" s="45">
        <v>12.1</v>
      </c>
      <c r="E26" s="45">
        <v>11.8</v>
      </c>
      <c r="F26" s="45">
        <v>11.8</v>
      </c>
      <c r="G26" s="45">
        <v>11.8</v>
      </c>
      <c r="H26" s="45">
        <v>11.8</v>
      </c>
      <c r="I26" s="45">
        <v>11.8</v>
      </c>
      <c r="J26" s="45">
        <v>11.8</v>
      </c>
      <c r="K26" s="45">
        <v>11.8</v>
      </c>
      <c r="L26" s="45">
        <v>11.8</v>
      </c>
      <c r="M26" s="45">
        <v>11.8</v>
      </c>
      <c r="N26" s="45">
        <v>11.8</v>
      </c>
      <c r="O26" s="45">
        <v>11.8</v>
      </c>
      <c r="P26" s="45">
        <v>11.8</v>
      </c>
      <c r="Q26" s="45">
        <v>11.8</v>
      </c>
      <c r="R26" s="45">
        <v>11.8</v>
      </c>
      <c r="S26" s="45">
        <v>11.8</v>
      </c>
      <c r="T26" s="45">
        <v>11.8</v>
      </c>
      <c r="U26" s="45">
        <v>11.8</v>
      </c>
      <c r="V26" s="45">
        <v>11.8</v>
      </c>
      <c r="W26" s="45">
        <v>11.8</v>
      </c>
      <c r="X26" s="45">
        <v>11.8</v>
      </c>
      <c r="Y26" s="45">
        <v>11.8</v>
      </c>
      <c r="Z26" s="45">
        <v>11.8</v>
      </c>
      <c r="AA26" s="45">
        <v>11.8</v>
      </c>
      <c r="AB26" s="45">
        <v>11.8</v>
      </c>
      <c r="AC26" s="45">
        <v>11.8</v>
      </c>
      <c r="AD26" s="45">
        <v>11.8</v>
      </c>
      <c r="AE26" s="45">
        <v>11.8</v>
      </c>
      <c r="AF26" s="45">
        <v>11.8</v>
      </c>
      <c r="AG26" s="49">
        <v>25</v>
      </c>
      <c r="AH26" s="47">
        <f t="shared" si="2"/>
        <v>12.1</v>
      </c>
      <c r="AI26" s="48">
        <f t="shared" si="3"/>
        <v>11.8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12.2</v>
      </c>
      <c r="C29" s="45">
        <v>12.2</v>
      </c>
      <c r="D29" s="45">
        <v>12.2</v>
      </c>
      <c r="E29" s="45">
        <v>12.2</v>
      </c>
      <c r="F29" s="45">
        <v>12.2</v>
      </c>
      <c r="G29" s="45">
        <v>12.2</v>
      </c>
      <c r="H29" s="45">
        <v>12.2</v>
      </c>
      <c r="I29" s="45">
        <v>12.2</v>
      </c>
      <c r="J29" s="45">
        <v>12.2</v>
      </c>
      <c r="K29" s="45">
        <v>12.2</v>
      </c>
      <c r="L29" s="45">
        <v>12.2</v>
      </c>
      <c r="M29" s="45">
        <v>12.2</v>
      </c>
      <c r="N29" s="45">
        <v>12.2</v>
      </c>
      <c r="O29" s="45">
        <v>12.2</v>
      </c>
      <c r="P29" s="45">
        <v>12.2</v>
      </c>
      <c r="Q29" s="45">
        <v>12.2</v>
      </c>
      <c r="R29" s="45">
        <v>12.2</v>
      </c>
      <c r="S29" s="45">
        <v>12.2</v>
      </c>
      <c r="T29" s="45">
        <v>12.2</v>
      </c>
      <c r="U29" s="45">
        <v>12.2</v>
      </c>
      <c r="V29" s="45">
        <v>12.2</v>
      </c>
      <c r="W29" s="45">
        <v>12.2</v>
      </c>
      <c r="X29" s="45">
        <v>12.2</v>
      </c>
      <c r="Y29" s="45">
        <v>12.2</v>
      </c>
      <c r="Z29" s="45">
        <v>12.2</v>
      </c>
      <c r="AA29" s="45">
        <v>12.2</v>
      </c>
      <c r="AB29" s="45">
        <v>12.2</v>
      </c>
      <c r="AC29" s="45">
        <v>12.2</v>
      </c>
      <c r="AD29" s="45">
        <v>12.2</v>
      </c>
      <c r="AE29" s="45">
        <v>12.2</v>
      </c>
      <c r="AF29" s="45">
        <v>12.2</v>
      </c>
      <c r="AG29" s="49">
        <v>25</v>
      </c>
      <c r="AH29" s="47">
        <f t="shared" si="2"/>
        <v>12.2</v>
      </c>
      <c r="AI29" s="48">
        <f t="shared" si="3"/>
        <v>12.2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11.2</v>
      </c>
      <c r="C30" s="45">
        <v>11.2</v>
      </c>
      <c r="D30" s="45">
        <v>11.2</v>
      </c>
      <c r="E30" s="45">
        <v>11.2</v>
      </c>
      <c r="F30" s="45">
        <v>11.2</v>
      </c>
      <c r="G30" s="45">
        <v>11.2</v>
      </c>
      <c r="H30" s="45">
        <v>11.2</v>
      </c>
      <c r="I30" s="45">
        <v>11.2</v>
      </c>
      <c r="J30" s="45">
        <v>11.2</v>
      </c>
      <c r="K30" s="45">
        <v>11.2</v>
      </c>
      <c r="L30" s="45">
        <v>11.2</v>
      </c>
      <c r="M30" s="45">
        <v>11.2</v>
      </c>
      <c r="N30" s="45">
        <v>11.2</v>
      </c>
      <c r="O30" s="45">
        <v>11.2</v>
      </c>
      <c r="P30" s="45">
        <v>11.2</v>
      </c>
      <c r="Q30" s="45">
        <v>11.2</v>
      </c>
      <c r="R30" s="45">
        <v>11.2</v>
      </c>
      <c r="S30" s="45">
        <v>11.2</v>
      </c>
      <c r="T30" s="45">
        <v>11.2</v>
      </c>
      <c r="U30" s="45">
        <v>11.2</v>
      </c>
      <c r="V30" s="45">
        <v>11.2</v>
      </c>
      <c r="W30" s="45">
        <v>11.2</v>
      </c>
      <c r="X30" s="45">
        <v>11.2</v>
      </c>
      <c r="Y30" s="45">
        <v>11.2</v>
      </c>
      <c r="Z30" s="45">
        <v>11.2</v>
      </c>
      <c r="AA30" s="45">
        <v>11.2</v>
      </c>
      <c r="AB30" s="45">
        <v>11.2</v>
      </c>
      <c r="AC30" s="45">
        <v>11.2</v>
      </c>
      <c r="AD30" s="45">
        <v>11.2</v>
      </c>
      <c r="AE30" s="45">
        <v>11.2</v>
      </c>
      <c r="AF30" s="45">
        <v>11.2</v>
      </c>
      <c r="AG30" s="49">
        <v>23.5</v>
      </c>
      <c r="AH30" s="47">
        <f t="shared" si="2"/>
        <v>11.2</v>
      </c>
      <c r="AI30" s="48">
        <f t="shared" si="3"/>
        <v>11.2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49">
        <v>22</v>
      </c>
      <c r="AH33" s="47">
        <f t="shared" si="2"/>
        <v>7</v>
      </c>
      <c r="AI33" s="48">
        <f t="shared" si="3"/>
        <v>7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12.1</v>
      </c>
      <c r="C34" s="45">
        <v>12.1</v>
      </c>
      <c r="D34" s="45">
        <v>12.1</v>
      </c>
      <c r="E34" s="45">
        <v>12.1</v>
      </c>
      <c r="F34" s="45">
        <v>12.1</v>
      </c>
      <c r="G34" s="45">
        <v>12.1</v>
      </c>
      <c r="H34" s="45">
        <v>12.1</v>
      </c>
      <c r="I34" s="45">
        <v>12.1</v>
      </c>
      <c r="J34" s="45">
        <v>12.1</v>
      </c>
      <c r="K34" s="45">
        <v>12.1</v>
      </c>
      <c r="L34" s="45">
        <v>12.1</v>
      </c>
      <c r="M34" s="45">
        <v>12.1</v>
      </c>
      <c r="N34" s="45">
        <v>12.1</v>
      </c>
      <c r="O34" s="45">
        <v>12.1</v>
      </c>
      <c r="P34" s="45">
        <v>12.1</v>
      </c>
      <c r="Q34" s="45">
        <v>12.1</v>
      </c>
      <c r="R34" s="45">
        <v>12.1</v>
      </c>
      <c r="S34" s="45">
        <v>12.1</v>
      </c>
      <c r="T34" s="45">
        <v>12.1</v>
      </c>
      <c r="U34" s="45">
        <v>12.1</v>
      </c>
      <c r="V34" s="45">
        <v>12.1</v>
      </c>
      <c r="W34" s="45">
        <v>12.1</v>
      </c>
      <c r="X34" s="45">
        <v>12.1</v>
      </c>
      <c r="Y34" s="45">
        <v>12.1</v>
      </c>
      <c r="Z34" s="45">
        <v>12.1</v>
      </c>
      <c r="AA34" s="45">
        <v>12.1</v>
      </c>
      <c r="AB34" s="45">
        <v>12.1</v>
      </c>
      <c r="AC34" s="45">
        <v>12.1</v>
      </c>
      <c r="AD34" s="45">
        <v>12.1</v>
      </c>
      <c r="AE34" s="45">
        <v>12.1</v>
      </c>
      <c r="AF34" s="45">
        <v>12.1</v>
      </c>
      <c r="AG34" s="49">
        <v>22</v>
      </c>
      <c r="AH34" s="47">
        <f t="shared" si="2"/>
        <v>12.1</v>
      </c>
      <c r="AI34" s="48">
        <f t="shared" si="3"/>
        <v>12.1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3.7</v>
      </c>
      <c r="C50" s="45">
        <v>3.7</v>
      </c>
      <c r="D50" s="45">
        <v>3.7</v>
      </c>
      <c r="E50" s="45">
        <v>3.7</v>
      </c>
      <c r="F50" s="45">
        <v>3.7</v>
      </c>
      <c r="G50" s="45">
        <v>3.7</v>
      </c>
      <c r="H50" s="45">
        <v>3.7</v>
      </c>
      <c r="I50" s="45">
        <v>3.7</v>
      </c>
      <c r="J50" s="45">
        <v>3.7</v>
      </c>
      <c r="K50" s="45">
        <v>3.7</v>
      </c>
      <c r="L50" s="45">
        <v>3.7</v>
      </c>
      <c r="M50" s="45">
        <v>3.7</v>
      </c>
      <c r="N50" s="45">
        <v>3.7</v>
      </c>
      <c r="O50" s="45">
        <v>3.7</v>
      </c>
      <c r="P50" s="45">
        <v>3.7</v>
      </c>
      <c r="Q50" s="45">
        <v>3.7</v>
      </c>
      <c r="R50" s="45">
        <v>3.7</v>
      </c>
      <c r="S50" s="45">
        <v>3.7</v>
      </c>
      <c r="T50" s="45">
        <v>3.7</v>
      </c>
      <c r="U50" s="45">
        <v>3.7</v>
      </c>
      <c r="V50" s="45">
        <v>3.7</v>
      </c>
      <c r="W50" s="45">
        <v>3.7</v>
      </c>
      <c r="X50" s="45">
        <v>3.7</v>
      </c>
      <c r="Y50" s="45">
        <v>3.7</v>
      </c>
      <c r="Z50" s="45">
        <v>3.7</v>
      </c>
      <c r="AA50" s="45">
        <v>3.7</v>
      </c>
      <c r="AB50" s="45">
        <v>3.7</v>
      </c>
      <c r="AC50" s="45">
        <v>3.7</v>
      </c>
      <c r="AD50" s="45">
        <v>3.7</v>
      </c>
      <c r="AE50" s="45">
        <v>3.7</v>
      </c>
      <c r="AF50" s="45">
        <v>3.7</v>
      </c>
      <c r="AG50" s="55">
        <v>11</v>
      </c>
      <c r="AH50" s="47">
        <f t="shared" si="2"/>
        <v>3.7</v>
      </c>
      <c r="AI50" s="48">
        <f t="shared" si="3"/>
        <v>3.7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v>33.5</v>
      </c>
      <c r="C57" s="57">
        <v>33.5</v>
      </c>
      <c r="D57" s="57">
        <v>33.5</v>
      </c>
      <c r="E57" s="57">
        <v>38.5</v>
      </c>
      <c r="F57" s="57">
        <v>38.299999999999997</v>
      </c>
      <c r="G57" s="57">
        <v>38.299999999999997</v>
      </c>
      <c r="H57" s="57">
        <v>38.299999999999997</v>
      </c>
      <c r="I57" s="57">
        <v>38.299999999999997</v>
      </c>
      <c r="J57" s="57">
        <v>36</v>
      </c>
      <c r="K57" s="57">
        <v>38.299999999999997</v>
      </c>
      <c r="L57" s="57">
        <v>38.299999999999997</v>
      </c>
      <c r="M57" s="57">
        <v>38.299999999999997</v>
      </c>
      <c r="N57" s="57">
        <v>38.299999999999997</v>
      </c>
      <c r="O57" s="57">
        <v>38.299999999999997</v>
      </c>
      <c r="P57" s="51">
        <f>27.3+9.1</f>
        <v>36.4</v>
      </c>
      <c r="Q57" s="51">
        <f>28.2+10.2</f>
        <v>38.4</v>
      </c>
      <c r="R57" s="51">
        <f t="shared" ref="R57:AA57" si="4">27.3+9.7</f>
        <v>37</v>
      </c>
      <c r="S57" s="51">
        <f t="shared" si="4"/>
        <v>37</v>
      </c>
      <c r="T57" s="51">
        <f t="shared" si="4"/>
        <v>37</v>
      </c>
      <c r="U57" s="51">
        <f t="shared" si="4"/>
        <v>37</v>
      </c>
      <c r="V57" s="51">
        <f t="shared" si="4"/>
        <v>37</v>
      </c>
      <c r="W57" s="51">
        <f t="shared" si="4"/>
        <v>37</v>
      </c>
      <c r="X57" s="57">
        <f t="shared" si="4"/>
        <v>37</v>
      </c>
      <c r="Y57" s="57">
        <f t="shared" si="4"/>
        <v>37</v>
      </c>
      <c r="Z57" s="57">
        <f t="shared" si="4"/>
        <v>37</v>
      </c>
      <c r="AA57" s="57">
        <f t="shared" si="4"/>
        <v>37</v>
      </c>
      <c r="AB57" s="57">
        <v>34</v>
      </c>
      <c r="AC57" s="57">
        <v>34</v>
      </c>
      <c r="AD57" s="57">
        <v>34</v>
      </c>
      <c r="AE57" s="57">
        <v>34</v>
      </c>
      <c r="AF57" s="57">
        <v>34</v>
      </c>
      <c r="AG57" s="55">
        <v>240</v>
      </c>
      <c r="AH57" s="47">
        <f t="shared" si="2"/>
        <v>38.5</v>
      </c>
      <c r="AI57" s="48">
        <f t="shared" si="3"/>
        <v>33.5</v>
      </c>
      <c r="AK57" s="50"/>
    </row>
    <row r="58" spans="1:88" ht="15.75" thickBot="1" x14ac:dyDescent="0.3">
      <c r="A58" s="59" t="s">
        <v>58</v>
      </c>
      <c r="B58" s="60">
        <f t="shared" ref="B58:AE58" si="5">SUM(B11:B56)</f>
        <v>639.70000000000005</v>
      </c>
      <c r="C58" s="60">
        <f t="shared" si="5"/>
        <v>639.70000000000005</v>
      </c>
      <c r="D58" s="60">
        <f t="shared" si="5"/>
        <v>639.70000000000005</v>
      </c>
      <c r="E58" s="60">
        <f t="shared" si="5"/>
        <v>645.1</v>
      </c>
      <c r="F58" s="60">
        <f t="shared" si="5"/>
        <v>645.1</v>
      </c>
      <c r="G58" s="60">
        <f t="shared" ref="G58" si="6">SUM(G11:G56)</f>
        <v>645.1</v>
      </c>
      <c r="H58" s="60">
        <f t="shared" si="5"/>
        <v>640.5</v>
      </c>
      <c r="I58" s="60">
        <f t="shared" si="5"/>
        <v>638.90000000000009</v>
      </c>
      <c r="J58" s="60">
        <f t="shared" si="5"/>
        <v>639.80000000000007</v>
      </c>
      <c r="K58" s="60">
        <f t="shared" si="5"/>
        <v>638.30000000000007</v>
      </c>
      <c r="L58" s="60">
        <f t="shared" si="5"/>
        <v>635.70000000000005</v>
      </c>
      <c r="M58" s="60">
        <f t="shared" si="5"/>
        <v>636.10000000000014</v>
      </c>
      <c r="N58" s="60">
        <f t="shared" si="5"/>
        <v>636.70000000000005</v>
      </c>
      <c r="O58" s="60">
        <f t="shared" si="5"/>
        <v>637.30000000000007</v>
      </c>
      <c r="P58" s="60">
        <f t="shared" si="5"/>
        <v>634</v>
      </c>
      <c r="Q58" s="60">
        <f t="shared" si="5"/>
        <v>636</v>
      </c>
      <c r="R58" s="60">
        <f t="shared" si="5"/>
        <v>634.80000000000007</v>
      </c>
      <c r="S58" s="60">
        <f t="shared" ref="S58:T58" si="7">SUM(S11:S56)</f>
        <v>634.80000000000007</v>
      </c>
      <c r="T58" s="60">
        <f t="shared" si="7"/>
        <v>634.80000000000007</v>
      </c>
      <c r="U58" s="60">
        <f t="shared" ref="U58:V58" si="8">SUM(U11:U56)</f>
        <v>634.80000000000007</v>
      </c>
      <c r="V58" s="60">
        <f t="shared" si="8"/>
        <v>634.80000000000007</v>
      </c>
      <c r="W58" s="60">
        <f t="shared" ref="W58:X58" si="9">SUM(W11:W56)</f>
        <v>634.80000000000007</v>
      </c>
      <c r="X58" s="60">
        <f t="shared" si="9"/>
        <v>634.80000000000007</v>
      </c>
      <c r="Y58" s="60">
        <f t="shared" ref="Y58:Z58" si="10">SUM(Y11:Y56)</f>
        <v>634.80000000000007</v>
      </c>
      <c r="Z58" s="60">
        <f t="shared" si="10"/>
        <v>634.80000000000007</v>
      </c>
      <c r="AA58" s="60">
        <f t="shared" ref="AA58" si="11">SUM(AA11:AA56)</f>
        <v>634.80000000000007</v>
      </c>
      <c r="AB58" s="60">
        <f t="shared" si="5"/>
        <v>634.80000000000007</v>
      </c>
      <c r="AC58" s="60">
        <f t="shared" si="5"/>
        <v>640.1</v>
      </c>
      <c r="AD58" s="60">
        <f t="shared" si="5"/>
        <v>640.1</v>
      </c>
      <c r="AE58" s="60">
        <f t="shared" si="5"/>
        <v>640.1</v>
      </c>
      <c r="AF58" s="60">
        <f t="shared" ref="AF58" si="12">SUM(AF11:AF56)</f>
        <v>640.1</v>
      </c>
      <c r="AG58" s="61">
        <f>SUM(AG14:AG56)</f>
        <v>1042.4000000000001</v>
      </c>
      <c r="AH58" s="47">
        <f t="shared" si="2"/>
        <v>645.1</v>
      </c>
      <c r="AI58" s="48">
        <f t="shared" si="3"/>
        <v>634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30</v>
      </c>
      <c r="I59" s="45">
        <v>30</v>
      </c>
      <c r="J59" s="45">
        <v>60</v>
      </c>
      <c r="K59" s="45">
        <v>160</v>
      </c>
      <c r="L59" s="45">
        <v>380</v>
      </c>
      <c r="M59" s="45">
        <v>380</v>
      </c>
      <c r="N59" s="63">
        <v>355</v>
      </c>
      <c r="O59" s="63">
        <v>295</v>
      </c>
      <c r="P59" s="63">
        <v>140</v>
      </c>
      <c r="Q59" s="63">
        <v>15</v>
      </c>
      <c r="R59" s="63">
        <v>0</v>
      </c>
      <c r="S59" s="63">
        <v>0</v>
      </c>
      <c r="T59" s="63">
        <v>0</v>
      </c>
      <c r="U59" s="63">
        <v>130</v>
      </c>
      <c r="V59" s="63">
        <v>180</v>
      </c>
      <c r="W59" s="63">
        <v>330</v>
      </c>
      <c r="X59" s="45">
        <v>380</v>
      </c>
      <c r="Y59" s="45">
        <v>360</v>
      </c>
      <c r="Z59" s="45">
        <v>260</v>
      </c>
      <c r="AA59" s="45">
        <v>260</v>
      </c>
      <c r="AB59" s="45">
        <v>225</v>
      </c>
      <c r="AC59" s="45">
        <v>170</v>
      </c>
      <c r="AD59" s="45">
        <v>55</v>
      </c>
      <c r="AE59" s="45">
        <v>0</v>
      </c>
      <c r="AF59" s="45">
        <v>0</v>
      </c>
      <c r="AG59" s="52">
        <v>456</v>
      </c>
      <c r="AH59" s="47">
        <f t="shared" si="2"/>
        <v>380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42</v>
      </c>
      <c r="C60" s="65">
        <v>42</v>
      </c>
      <c r="D60" s="65">
        <v>42</v>
      </c>
      <c r="E60" s="65">
        <v>42</v>
      </c>
      <c r="F60" s="65">
        <v>42</v>
      </c>
      <c r="G60" s="65">
        <v>42</v>
      </c>
      <c r="H60" s="65">
        <v>42</v>
      </c>
      <c r="I60" s="65">
        <v>42</v>
      </c>
      <c r="J60" s="65">
        <v>42</v>
      </c>
      <c r="K60" s="65">
        <v>42</v>
      </c>
      <c r="L60" s="65">
        <v>42</v>
      </c>
      <c r="M60" s="65">
        <v>42</v>
      </c>
      <c r="N60" s="65">
        <v>42</v>
      </c>
      <c r="O60" s="65">
        <v>42</v>
      </c>
      <c r="P60" s="65">
        <v>42</v>
      </c>
      <c r="Q60" s="65">
        <v>42</v>
      </c>
      <c r="R60" s="65">
        <v>42</v>
      </c>
      <c r="S60" s="65">
        <v>42</v>
      </c>
      <c r="T60" s="65">
        <v>42</v>
      </c>
      <c r="U60" s="65">
        <v>42</v>
      </c>
      <c r="V60" s="65">
        <v>42</v>
      </c>
      <c r="W60" s="65">
        <v>42</v>
      </c>
      <c r="X60" s="65">
        <v>42</v>
      </c>
      <c r="Y60" s="65">
        <v>42</v>
      </c>
      <c r="Z60" s="65">
        <v>42</v>
      </c>
      <c r="AA60" s="65">
        <v>42</v>
      </c>
      <c r="AB60" s="65">
        <v>42</v>
      </c>
      <c r="AC60" s="65">
        <v>42</v>
      </c>
      <c r="AD60" s="65">
        <v>42</v>
      </c>
      <c r="AE60" s="65">
        <v>42</v>
      </c>
      <c r="AF60" s="65">
        <v>42</v>
      </c>
      <c r="AG60" s="55">
        <v>60</v>
      </c>
      <c r="AH60" s="47">
        <f t="shared" si="2"/>
        <v>42</v>
      </c>
      <c r="AI60" s="48">
        <f t="shared" si="3"/>
        <v>42</v>
      </c>
      <c r="AK60" s="50"/>
    </row>
    <row r="61" spans="1:88" ht="15.75" thickBot="1" x14ac:dyDescent="0.3">
      <c r="A61" s="66" t="s">
        <v>61</v>
      </c>
      <c r="B61" s="67">
        <v>13</v>
      </c>
      <c r="C61" s="67">
        <v>13</v>
      </c>
      <c r="D61" s="67">
        <v>13</v>
      </c>
      <c r="E61" s="67">
        <v>13.1</v>
      </c>
      <c r="F61" s="67">
        <v>13.1</v>
      </c>
      <c r="G61" s="67">
        <v>13.1</v>
      </c>
      <c r="H61" s="67">
        <v>13.1</v>
      </c>
      <c r="I61" s="67">
        <v>20.100000000000001</v>
      </c>
      <c r="J61" s="67">
        <v>20.100000000000001</v>
      </c>
      <c r="K61" s="67">
        <v>20.100000000000001</v>
      </c>
      <c r="L61" s="67">
        <v>20.100000000000001</v>
      </c>
      <c r="M61" s="67">
        <v>20.100000000000001</v>
      </c>
      <c r="N61" s="67">
        <v>14.1</v>
      </c>
      <c r="O61" s="67">
        <v>14.2</v>
      </c>
      <c r="P61" s="67">
        <v>14.2</v>
      </c>
      <c r="Q61" s="67">
        <v>14.1</v>
      </c>
      <c r="R61" s="67">
        <v>14.1</v>
      </c>
      <c r="S61" s="67">
        <v>14.1</v>
      </c>
      <c r="T61" s="67">
        <v>14.1</v>
      </c>
      <c r="U61" s="67">
        <v>14.1</v>
      </c>
      <c r="V61" s="67">
        <v>14.1</v>
      </c>
      <c r="W61" s="67">
        <v>14.1</v>
      </c>
      <c r="X61" s="67">
        <v>14.1</v>
      </c>
      <c r="Y61" s="67">
        <v>14.1</v>
      </c>
      <c r="Z61" s="67">
        <v>14.1</v>
      </c>
      <c r="AA61" s="67">
        <v>14.1</v>
      </c>
      <c r="AB61" s="67">
        <v>20</v>
      </c>
      <c r="AC61" s="67">
        <v>20.100000000000001</v>
      </c>
      <c r="AD61" s="67">
        <v>20.100000000000001</v>
      </c>
      <c r="AE61" s="67">
        <v>14.1</v>
      </c>
      <c r="AF61" s="67">
        <v>14.1</v>
      </c>
      <c r="AG61" s="68">
        <v>22.1</v>
      </c>
      <c r="AH61" s="47">
        <f t="shared" si="2"/>
        <v>20.100000000000001</v>
      </c>
      <c r="AI61" s="48">
        <f t="shared" si="3"/>
        <v>13</v>
      </c>
      <c r="AK61" s="50"/>
    </row>
    <row r="62" spans="1:88" ht="15.75" thickBot="1" x14ac:dyDescent="0.3">
      <c r="A62" s="69" t="s">
        <v>62</v>
      </c>
      <c r="B62" s="60">
        <f t="shared" ref="B62:AG62" si="13">SUM(B59:B61)</f>
        <v>55</v>
      </c>
      <c r="C62" s="60">
        <f t="shared" si="13"/>
        <v>55</v>
      </c>
      <c r="D62" s="60">
        <f t="shared" si="13"/>
        <v>55</v>
      </c>
      <c r="E62" s="60">
        <f t="shared" si="13"/>
        <v>55.1</v>
      </c>
      <c r="F62" s="60">
        <f t="shared" si="13"/>
        <v>55.1</v>
      </c>
      <c r="G62" s="60">
        <f t="shared" ref="G62" si="14">SUM(G59:G61)</f>
        <v>55.1</v>
      </c>
      <c r="H62" s="60">
        <f t="shared" si="13"/>
        <v>85.1</v>
      </c>
      <c r="I62" s="60">
        <f t="shared" si="13"/>
        <v>92.1</v>
      </c>
      <c r="J62" s="60">
        <f t="shared" si="13"/>
        <v>122.1</v>
      </c>
      <c r="K62" s="60">
        <f t="shared" si="13"/>
        <v>222.1</v>
      </c>
      <c r="L62" s="60">
        <f t="shared" si="13"/>
        <v>442.1</v>
      </c>
      <c r="M62" s="60">
        <f t="shared" si="13"/>
        <v>442.1</v>
      </c>
      <c r="N62" s="60">
        <f t="shared" si="13"/>
        <v>411.1</v>
      </c>
      <c r="O62" s="60">
        <f t="shared" si="13"/>
        <v>351.2</v>
      </c>
      <c r="P62" s="60">
        <f t="shared" si="13"/>
        <v>196.2</v>
      </c>
      <c r="Q62" s="60">
        <f t="shared" si="13"/>
        <v>71.099999999999994</v>
      </c>
      <c r="R62" s="60">
        <f t="shared" si="13"/>
        <v>56.1</v>
      </c>
      <c r="S62" s="60">
        <f t="shared" ref="S62:T62" si="15">SUM(S59:S61)</f>
        <v>56.1</v>
      </c>
      <c r="T62" s="60">
        <f t="shared" si="15"/>
        <v>56.1</v>
      </c>
      <c r="U62" s="60">
        <f t="shared" ref="U62:V62" si="16">SUM(U59:U61)</f>
        <v>186.1</v>
      </c>
      <c r="V62" s="60">
        <f t="shared" si="16"/>
        <v>236.1</v>
      </c>
      <c r="W62" s="60">
        <f t="shared" ref="W62:X62" si="17">SUM(W59:W61)</f>
        <v>386.1</v>
      </c>
      <c r="X62" s="60">
        <f t="shared" si="17"/>
        <v>436.1</v>
      </c>
      <c r="Y62" s="60">
        <f t="shared" ref="Y62:Z62" si="18">SUM(Y59:Y61)</f>
        <v>416.1</v>
      </c>
      <c r="Z62" s="60">
        <f t="shared" si="18"/>
        <v>316.10000000000002</v>
      </c>
      <c r="AA62" s="60">
        <f t="shared" ref="AA62" si="19">SUM(AA59:AA61)</f>
        <v>316.10000000000002</v>
      </c>
      <c r="AB62" s="60">
        <f t="shared" si="13"/>
        <v>287</v>
      </c>
      <c r="AC62" s="60">
        <f t="shared" si="13"/>
        <v>232.1</v>
      </c>
      <c r="AD62" s="60">
        <f t="shared" si="13"/>
        <v>117.1</v>
      </c>
      <c r="AE62" s="60">
        <f t="shared" si="13"/>
        <v>56.1</v>
      </c>
      <c r="AF62" s="60">
        <f t="shared" ref="AF62" si="20">SUM(AF59:AF61)</f>
        <v>56.1</v>
      </c>
      <c r="AG62" s="61">
        <f t="shared" si="13"/>
        <v>538.1</v>
      </c>
      <c r="AH62" s="47">
        <f t="shared" si="2"/>
        <v>442.1</v>
      </c>
      <c r="AI62" s="48">
        <f t="shared" si="3"/>
        <v>55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48</v>
      </c>
      <c r="I63" s="45">
        <v>61</v>
      </c>
      <c r="J63" s="45">
        <v>85</v>
      </c>
      <c r="K63" s="45">
        <v>110.9</v>
      </c>
      <c r="L63" s="45">
        <v>145.1</v>
      </c>
      <c r="M63" s="45">
        <v>145.80000000000001</v>
      </c>
      <c r="N63" s="45">
        <v>145.80000000000001</v>
      </c>
      <c r="O63" s="45">
        <v>145.80000000000001</v>
      </c>
      <c r="P63" s="45">
        <v>145.80000000000001</v>
      </c>
      <c r="Q63" s="45">
        <v>106.2</v>
      </c>
      <c r="R63" s="45">
        <v>57.5</v>
      </c>
      <c r="S63" s="45">
        <v>48.6</v>
      </c>
      <c r="T63" s="45">
        <v>48.8</v>
      </c>
      <c r="U63" s="45">
        <v>81.3</v>
      </c>
      <c r="V63" s="45">
        <v>144.9</v>
      </c>
      <c r="W63" s="45">
        <v>144.9</v>
      </c>
      <c r="X63" s="45">
        <v>144.9</v>
      </c>
      <c r="Y63" s="45">
        <v>144.9</v>
      </c>
      <c r="Z63" s="45">
        <v>142.9</v>
      </c>
      <c r="AA63" s="45">
        <v>142.9</v>
      </c>
      <c r="AB63" s="45">
        <v>142</v>
      </c>
      <c r="AC63" s="45">
        <v>110</v>
      </c>
      <c r="AD63" s="45">
        <v>97.1</v>
      </c>
      <c r="AE63" s="45">
        <v>30.6</v>
      </c>
      <c r="AF63" s="45">
        <v>0</v>
      </c>
      <c r="AG63" s="52">
        <v>144</v>
      </c>
      <c r="AH63" s="47">
        <f t="shared" ref="AH63:AH74" si="21">MAX(B63:AF63)</f>
        <v>145.80000000000001</v>
      </c>
      <c r="AI63" s="48">
        <f t="shared" ref="AI63:AI74" si="22">MIN(B63:AF63)</f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25</v>
      </c>
      <c r="F64" s="65">
        <v>25</v>
      </c>
      <c r="G64" s="65">
        <v>25</v>
      </c>
      <c r="H64" s="65">
        <v>47</v>
      </c>
      <c r="I64" s="65">
        <v>58.7</v>
      </c>
      <c r="J64" s="65">
        <v>62.7</v>
      </c>
      <c r="K64" s="65">
        <v>60.8</v>
      </c>
      <c r="L64" s="65">
        <v>70.5</v>
      </c>
      <c r="M64" s="65">
        <v>70.599999999999994</v>
      </c>
      <c r="N64" s="65">
        <v>70.8</v>
      </c>
      <c r="O64" s="65">
        <v>70.8</v>
      </c>
      <c r="P64" s="65">
        <v>71</v>
      </c>
      <c r="Q64" s="65">
        <v>60</v>
      </c>
      <c r="R64" s="65">
        <v>23</v>
      </c>
      <c r="S64" s="65">
        <v>34.1</v>
      </c>
      <c r="T64" s="65">
        <v>34.4</v>
      </c>
      <c r="U64" s="65">
        <v>35.299999999999997</v>
      </c>
      <c r="V64" s="65">
        <v>45.6</v>
      </c>
      <c r="W64" s="65">
        <v>60.7</v>
      </c>
      <c r="X64" s="45">
        <v>69.2</v>
      </c>
      <c r="Y64" s="45">
        <v>69.2</v>
      </c>
      <c r="Z64" s="45">
        <v>69.2</v>
      </c>
      <c r="AA64" s="45">
        <v>64.599999999999994</v>
      </c>
      <c r="AB64" s="45">
        <v>64.3</v>
      </c>
      <c r="AC64" s="45">
        <v>35</v>
      </c>
      <c r="AD64" s="65">
        <v>24.5</v>
      </c>
      <c r="AE64" s="45">
        <v>0</v>
      </c>
      <c r="AF64" s="45">
        <v>0</v>
      </c>
      <c r="AG64" s="55">
        <v>70</v>
      </c>
      <c r="AH64" s="47">
        <f t="shared" si="21"/>
        <v>71</v>
      </c>
      <c r="AI64" s="48">
        <f t="shared" si="22"/>
        <v>0</v>
      </c>
      <c r="AK64" s="50"/>
    </row>
    <row r="65" spans="1:41" x14ac:dyDescent="0.25">
      <c r="A65" s="54" t="s">
        <v>65</v>
      </c>
      <c r="B65" s="65">
        <v>34</v>
      </c>
      <c r="C65" s="65">
        <v>23</v>
      </c>
      <c r="D65" s="65">
        <v>34</v>
      </c>
      <c r="E65" s="65">
        <v>34</v>
      </c>
      <c r="F65" s="65">
        <v>32</v>
      </c>
      <c r="G65" s="65">
        <v>32</v>
      </c>
      <c r="H65" s="65">
        <v>44</v>
      </c>
      <c r="I65" s="65">
        <v>44.3</v>
      </c>
      <c r="J65" s="65">
        <v>47.9</v>
      </c>
      <c r="K65" s="65">
        <v>58</v>
      </c>
      <c r="L65" s="65">
        <v>66</v>
      </c>
      <c r="M65" s="65">
        <v>68.3</v>
      </c>
      <c r="N65" s="65">
        <v>55.8</v>
      </c>
      <c r="O65" s="65">
        <v>67.3</v>
      </c>
      <c r="P65" s="65">
        <v>65.7</v>
      </c>
      <c r="Q65" s="65">
        <v>32.200000000000003</v>
      </c>
      <c r="R65" s="65">
        <v>34.1</v>
      </c>
      <c r="S65" s="65">
        <v>46.3</v>
      </c>
      <c r="T65" s="65">
        <v>46.3</v>
      </c>
      <c r="U65" s="65">
        <v>51.5</v>
      </c>
      <c r="V65" s="65">
        <v>68.900000000000006</v>
      </c>
      <c r="W65" s="65">
        <v>68.900000000000006</v>
      </c>
      <c r="X65" s="45">
        <v>68.900000000000006</v>
      </c>
      <c r="Y65" s="45">
        <v>68.900000000000006</v>
      </c>
      <c r="Z65" s="45">
        <v>68.900000000000006</v>
      </c>
      <c r="AA65" s="45">
        <v>68.900000000000006</v>
      </c>
      <c r="AB65" s="45">
        <v>67.599999999999994</v>
      </c>
      <c r="AC65" s="45">
        <v>57</v>
      </c>
      <c r="AD65" s="65">
        <v>34.6</v>
      </c>
      <c r="AE65" s="45">
        <v>15.6</v>
      </c>
      <c r="AF65" s="45">
        <v>15.6</v>
      </c>
      <c r="AG65" s="55">
        <v>69</v>
      </c>
      <c r="AH65" s="47">
        <f t="shared" si="21"/>
        <v>68.900000000000006</v>
      </c>
      <c r="AI65" s="48">
        <f t="shared" si="22"/>
        <v>15.6</v>
      </c>
      <c r="AK65" s="50"/>
    </row>
    <row r="66" spans="1:41" x14ac:dyDescent="0.25">
      <c r="A66" s="54" t="s">
        <v>66</v>
      </c>
      <c r="B66" s="65">
        <v>54.2</v>
      </c>
      <c r="C66" s="65">
        <v>54.2</v>
      </c>
      <c r="D66" s="65">
        <v>54.2</v>
      </c>
      <c r="E66" s="65">
        <v>55.2</v>
      </c>
      <c r="F66" s="65">
        <v>55.3</v>
      </c>
      <c r="G66" s="65">
        <v>55.3</v>
      </c>
      <c r="H66" s="65">
        <v>55</v>
      </c>
      <c r="I66" s="65">
        <v>55.9</v>
      </c>
      <c r="J66" s="65">
        <v>55.9</v>
      </c>
      <c r="K66" s="57">
        <v>55.8</v>
      </c>
      <c r="L66" s="57">
        <v>55.8</v>
      </c>
      <c r="M66" s="65">
        <v>55.9</v>
      </c>
      <c r="N66" s="65">
        <v>57</v>
      </c>
      <c r="O66" s="65">
        <v>57</v>
      </c>
      <c r="P66" s="65">
        <v>57.2</v>
      </c>
      <c r="Q66" s="65">
        <v>53.2</v>
      </c>
      <c r="R66" s="65">
        <v>53.2</v>
      </c>
      <c r="S66" s="65">
        <v>53.2</v>
      </c>
      <c r="T66" s="65">
        <v>53.2</v>
      </c>
      <c r="U66" s="65">
        <v>53.2</v>
      </c>
      <c r="V66" s="65">
        <v>51.1</v>
      </c>
      <c r="W66" s="65">
        <v>51.1</v>
      </c>
      <c r="X66" s="45">
        <v>51.1</v>
      </c>
      <c r="Y66" s="45">
        <v>51.1</v>
      </c>
      <c r="Z66" s="45">
        <v>51.1</v>
      </c>
      <c r="AA66" s="45">
        <v>51.1</v>
      </c>
      <c r="AB66" s="45">
        <v>51.1</v>
      </c>
      <c r="AC66" s="45">
        <v>54</v>
      </c>
      <c r="AD66" s="65">
        <v>58.2</v>
      </c>
      <c r="AE66" s="45">
        <v>58.2</v>
      </c>
      <c r="AF66" s="45">
        <v>58.2</v>
      </c>
      <c r="AG66" s="55">
        <v>60</v>
      </c>
      <c r="AH66" s="47">
        <f t="shared" si="21"/>
        <v>58.2</v>
      </c>
      <c r="AI66" s="48">
        <f t="shared" si="22"/>
        <v>51.1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15</v>
      </c>
      <c r="G67" s="65">
        <v>15</v>
      </c>
      <c r="H67" s="65">
        <v>15</v>
      </c>
      <c r="I67" s="65">
        <v>10</v>
      </c>
      <c r="J67" s="65">
        <v>10</v>
      </c>
      <c r="K67" s="57">
        <v>15</v>
      </c>
      <c r="L67" s="57">
        <v>28</v>
      </c>
      <c r="M67" s="65">
        <v>29</v>
      </c>
      <c r="N67" s="65">
        <v>29</v>
      </c>
      <c r="O67" s="65">
        <v>29</v>
      </c>
      <c r="P67" s="65">
        <v>10</v>
      </c>
      <c r="Q67" s="65">
        <v>15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45">
        <v>29</v>
      </c>
      <c r="Y67" s="45">
        <v>29</v>
      </c>
      <c r="Z67" s="45">
        <v>29</v>
      </c>
      <c r="AA67" s="45">
        <v>29</v>
      </c>
      <c r="AB67" s="45">
        <v>15</v>
      </c>
      <c r="AC67" s="45">
        <v>15</v>
      </c>
      <c r="AD67" s="65">
        <v>0</v>
      </c>
      <c r="AE67" s="45">
        <v>0</v>
      </c>
      <c r="AF67" s="45">
        <v>0</v>
      </c>
      <c r="AG67" s="55">
        <v>30</v>
      </c>
      <c r="AH67" s="47">
        <f t="shared" si="21"/>
        <v>29</v>
      </c>
      <c r="AI67" s="48">
        <f t="shared" si="22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1.1000000000000001</v>
      </c>
      <c r="N68" s="65">
        <v>2.2999999999999998</v>
      </c>
      <c r="O68" s="65">
        <v>3.8</v>
      </c>
      <c r="P68" s="65">
        <v>14</v>
      </c>
      <c r="Q68" s="65">
        <v>14.8</v>
      </c>
      <c r="R68" s="65">
        <v>13.7</v>
      </c>
      <c r="S68" s="65">
        <v>9.9</v>
      </c>
      <c r="T68" s="65">
        <v>5</v>
      </c>
      <c r="U68" s="65">
        <v>2</v>
      </c>
      <c r="V68" s="65">
        <v>0.3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65">
        <v>0</v>
      </c>
      <c r="AE68" s="45">
        <v>0</v>
      </c>
      <c r="AF68" s="45">
        <v>0</v>
      </c>
      <c r="AG68" s="55">
        <v>25</v>
      </c>
      <c r="AH68" s="47">
        <f t="shared" si="21"/>
        <v>14.8</v>
      </c>
      <c r="AI68" s="48">
        <f t="shared" si="22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1"/>
        <v>16</v>
      </c>
      <c r="AI69" s="48">
        <f t="shared" si="22"/>
        <v>16</v>
      </c>
      <c r="AK69" s="50"/>
    </row>
    <row r="70" spans="1:41" x14ac:dyDescent="0.25">
      <c r="A70" s="54" t="s">
        <v>70</v>
      </c>
      <c r="B70" s="65">
        <v>2.4</v>
      </c>
      <c r="C70" s="65">
        <v>2.4</v>
      </c>
      <c r="D70" s="65">
        <v>2.4</v>
      </c>
      <c r="E70" s="65">
        <v>2.4</v>
      </c>
      <c r="F70" s="65">
        <v>2.4</v>
      </c>
      <c r="G70" s="65">
        <v>2.4</v>
      </c>
      <c r="H70" s="65">
        <v>2.4</v>
      </c>
      <c r="I70" s="65">
        <v>2.4</v>
      </c>
      <c r="J70" s="65">
        <v>2.4</v>
      </c>
      <c r="K70" s="65">
        <v>2.4</v>
      </c>
      <c r="L70" s="65">
        <v>2.4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1"/>
        <v>4</v>
      </c>
      <c r="AI70" s="48">
        <f t="shared" si="22"/>
        <v>2.4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11.1</v>
      </c>
      <c r="C71" s="65">
        <v>11.1</v>
      </c>
      <c r="D71" s="65">
        <v>11.1</v>
      </c>
      <c r="E71" s="65">
        <v>13.4</v>
      </c>
      <c r="F71" s="65">
        <v>13.4</v>
      </c>
      <c r="G71" s="65">
        <v>13.4</v>
      </c>
      <c r="H71" s="65">
        <v>13.4</v>
      </c>
      <c r="I71" s="65">
        <v>13.4</v>
      </c>
      <c r="J71" s="65">
        <v>13.4</v>
      </c>
      <c r="K71" s="65">
        <v>13.4</v>
      </c>
      <c r="L71" s="65">
        <v>13.4</v>
      </c>
      <c r="M71" s="65">
        <v>13.4</v>
      </c>
      <c r="N71" s="65">
        <v>13.4</v>
      </c>
      <c r="O71" s="65">
        <v>13.4</v>
      </c>
      <c r="P71" s="65">
        <v>13.4</v>
      </c>
      <c r="Q71" s="65">
        <v>13.4</v>
      </c>
      <c r="R71" s="65">
        <v>13.4</v>
      </c>
      <c r="S71" s="65">
        <v>13.4</v>
      </c>
      <c r="T71" s="65">
        <v>13.4</v>
      </c>
      <c r="U71" s="65">
        <v>13.4</v>
      </c>
      <c r="V71" s="65">
        <v>13.4</v>
      </c>
      <c r="W71" s="65">
        <v>13.4</v>
      </c>
      <c r="X71" s="65">
        <v>13.4</v>
      </c>
      <c r="Y71" s="65">
        <v>13.4</v>
      </c>
      <c r="Z71" s="65">
        <v>13.4</v>
      </c>
      <c r="AA71" s="65">
        <v>13.4</v>
      </c>
      <c r="AB71" s="65">
        <v>13.4</v>
      </c>
      <c r="AC71" s="65">
        <v>13.4</v>
      </c>
      <c r="AD71" s="65">
        <v>13.4</v>
      </c>
      <c r="AE71" s="65">
        <v>13.4</v>
      </c>
      <c r="AF71" s="65">
        <v>13.4</v>
      </c>
      <c r="AG71" s="55">
        <v>14.1</v>
      </c>
      <c r="AH71" s="47">
        <f t="shared" si="21"/>
        <v>13.4</v>
      </c>
      <c r="AI71" s="48">
        <f t="shared" si="22"/>
        <v>11.1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5.6</v>
      </c>
      <c r="C72" s="65">
        <v>5.6</v>
      </c>
      <c r="D72" s="65">
        <v>5.6</v>
      </c>
      <c r="E72" s="65">
        <v>5.6</v>
      </c>
      <c r="F72" s="65">
        <v>5.6</v>
      </c>
      <c r="G72" s="65">
        <v>5.6</v>
      </c>
      <c r="H72" s="65">
        <v>5.6</v>
      </c>
      <c r="I72" s="65">
        <v>5.6</v>
      </c>
      <c r="J72" s="65">
        <v>5.6</v>
      </c>
      <c r="K72" s="65">
        <v>5.6</v>
      </c>
      <c r="L72" s="65">
        <v>5.6</v>
      </c>
      <c r="M72" s="65">
        <v>5.6</v>
      </c>
      <c r="N72" s="65">
        <v>5.6</v>
      </c>
      <c r="O72" s="65">
        <v>5.6</v>
      </c>
      <c r="P72" s="65">
        <v>5.6</v>
      </c>
      <c r="Q72" s="65">
        <v>5.6</v>
      </c>
      <c r="R72" s="65">
        <v>5.6</v>
      </c>
      <c r="S72" s="65">
        <v>5.6</v>
      </c>
      <c r="T72" s="65">
        <v>5.6</v>
      </c>
      <c r="U72" s="65">
        <v>5.6</v>
      </c>
      <c r="V72" s="65">
        <v>5.6</v>
      </c>
      <c r="W72" s="65">
        <v>5.6</v>
      </c>
      <c r="X72" s="65">
        <v>5.6</v>
      </c>
      <c r="Y72" s="65">
        <v>5.6</v>
      </c>
      <c r="Z72" s="65">
        <v>5.6</v>
      </c>
      <c r="AA72" s="65">
        <v>5.6</v>
      </c>
      <c r="AB72" s="65">
        <v>5.6</v>
      </c>
      <c r="AC72" s="65">
        <v>5.6</v>
      </c>
      <c r="AD72" s="65">
        <v>5.6</v>
      </c>
      <c r="AE72" s="65">
        <v>5.6</v>
      </c>
      <c r="AF72" s="65">
        <v>5.6</v>
      </c>
      <c r="AG72" s="55">
        <v>14</v>
      </c>
      <c r="AH72" s="47">
        <f t="shared" si="21"/>
        <v>5.6</v>
      </c>
      <c r="AI72" s="48">
        <f t="shared" si="22"/>
        <v>5.6</v>
      </c>
      <c r="AK72" s="50"/>
    </row>
    <row r="73" spans="1:41" x14ac:dyDescent="0.25">
      <c r="A73" s="54" t="s">
        <v>73</v>
      </c>
      <c r="B73" s="65">
        <v>6</v>
      </c>
      <c r="C73" s="65">
        <v>6</v>
      </c>
      <c r="D73" s="65">
        <v>6</v>
      </c>
      <c r="E73" s="65">
        <v>6</v>
      </c>
      <c r="F73" s="65">
        <v>6</v>
      </c>
      <c r="G73" s="65">
        <v>6</v>
      </c>
      <c r="H73" s="65">
        <v>6</v>
      </c>
      <c r="I73" s="65">
        <v>6</v>
      </c>
      <c r="J73" s="65">
        <v>6</v>
      </c>
      <c r="K73" s="65">
        <v>6</v>
      </c>
      <c r="L73" s="65">
        <v>6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6</v>
      </c>
      <c r="V73" s="65">
        <v>6</v>
      </c>
      <c r="W73" s="65">
        <v>6</v>
      </c>
      <c r="X73" s="65">
        <v>6</v>
      </c>
      <c r="Y73" s="65">
        <v>6</v>
      </c>
      <c r="Z73" s="65">
        <v>6</v>
      </c>
      <c r="AA73" s="65">
        <v>6</v>
      </c>
      <c r="AB73" s="65">
        <v>6</v>
      </c>
      <c r="AC73" s="65">
        <v>6</v>
      </c>
      <c r="AD73" s="65">
        <v>6</v>
      </c>
      <c r="AE73" s="65">
        <v>6</v>
      </c>
      <c r="AF73" s="65">
        <v>6</v>
      </c>
      <c r="AG73" s="55">
        <v>10.050000000000001</v>
      </c>
      <c r="AH73" s="47">
        <f t="shared" si="21"/>
        <v>6</v>
      </c>
      <c r="AI73" s="48">
        <f t="shared" si="22"/>
        <v>6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1"/>
        <v>3</v>
      </c>
      <c r="AI74" s="48">
        <f t="shared" si="22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AG245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23">SUM(B63:B75)</f>
        <v>135.84</v>
      </c>
      <c r="C76" s="60">
        <f t="shared" si="23"/>
        <v>124.84</v>
      </c>
      <c r="D76" s="60">
        <f>SUM(D63:D75)</f>
        <v>135.84</v>
      </c>
      <c r="E76" s="60">
        <f t="shared" si="23"/>
        <v>164.14</v>
      </c>
      <c r="F76" s="60">
        <f t="shared" si="23"/>
        <v>177.24</v>
      </c>
      <c r="G76" s="60">
        <f t="shared" si="23"/>
        <v>177.24</v>
      </c>
      <c r="H76" s="60">
        <f t="shared" si="23"/>
        <v>258.94</v>
      </c>
      <c r="I76" s="60">
        <f t="shared" si="23"/>
        <v>279.84000000000003</v>
      </c>
      <c r="J76" s="60">
        <f t="shared" si="23"/>
        <v>311.44</v>
      </c>
      <c r="K76" s="60">
        <f t="shared" si="23"/>
        <v>350.44</v>
      </c>
      <c r="L76" s="60">
        <f t="shared" si="23"/>
        <v>415.34000000000003</v>
      </c>
      <c r="M76" s="60">
        <f t="shared" si="23"/>
        <v>422.24</v>
      </c>
      <c r="N76" s="60">
        <f t="shared" si="23"/>
        <v>412.24000000000007</v>
      </c>
      <c r="O76" s="60">
        <f t="shared" si="23"/>
        <v>425.24000000000007</v>
      </c>
      <c r="P76" s="60">
        <f t="shared" si="23"/>
        <v>415.24</v>
      </c>
      <c r="Q76" s="60">
        <f t="shared" si="23"/>
        <v>332.94</v>
      </c>
      <c r="R76" s="60">
        <f t="shared" si="23"/>
        <v>233.04</v>
      </c>
      <c r="S76" s="60">
        <f t="shared" ref="S76:T76" si="24">SUM(S63:S75)</f>
        <v>243.64</v>
      </c>
      <c r="T76" s="60">
        <f t="shared" si="24"/>
        <v>239.23999999999998</v>
      </c>
      <c r="U76" s="60">
        <f t="shared" ref="U76:V76" si="25">SUM(U63:U75)</f>
        <v>274.84000000000003</v>
      </c>
      <c r="V76" s="60">
        <f t="shared" si="25"/>
        <v>362.34000000000003</v>
      </c>
      <c r="W76" s="60">
        <f t="shared" ref="W76:X76" si="26">SUM(W63:W75)</f>
        <v>377.14000000000004</v>
      </c>
      <c r="X76" s="60">
        <f t="shared" si="26"/>
        <v>414.64000000000004</v>
      </c>
      <c r="Y76" s="60">
        <f t="shared" ref="Y76:Z76" si="27">SUM(Y63:Y75)</f>
        <v>414.64000000000004</v>
      </c>
      <c r="Z76" s="60">
        <f t="shared" si="27"/>
        <v>412.64000000000004</v>
      </c>
      <c r="AA76" s="60">
        <f t="shared" ref="AA76" si="28">SUM(AA63:AA75)</f>
        <v>408.04</v>
      </c>
      <c r="AB76" s="60">
        <f t="shared" si="23"/>
        <v>391.54</v>
      </c>
      <c r="AC76" s="60">
        <f t="shared" si="23"/>
        <v>322.54000000000002</v>
      </c>
      <c r="AD76" s="60">
        <f t="shared" si="23"/>
        <v>265.94</v>
      </c>
      <c r="AE76" s="60">
        <f t="shared" si="23"/>
        <v>155.94</v>
      </c>
      <c r="AF76" s="60">
        <f t="shared" ref="AF76" si="29">SUM(AF63:AF75)</f>
        <v>125.34</v>
      </c>
      <c r="AG76" s="61">
        <f t="shared" si="23"/>
        <v>489.91</v>
      </c>
      <c r="AH76" s="47">
        <f t="shared" si="2"/>
        <v>425.24000000000007</v>
      </c>
      <c r="AI76" s="48">
        <f t="shared" si="3"/>
        <v>124.84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>
        <v>14.4</v>
      </c>
      <c r="M77" s="45">
        <v>10.8</v>
      </c>
      <c r="N77" s="45"/>
      <c r="O77" s="45"/>
      <c r="P77" s="45"/>
      <c r="Q77" s="45"/>
      <c r="R77" s="45"/>
      <c r="S77" s="45"/>
      <c r="T77" s="45"/>
      <c r="U77" s="45"/>
      <c r="V77" s="45">
        <v>61</v>
      </c>
      <c r="W77" s="45">
        <v>61</v>
      </c>
      <c r="X77" s="45">
        <v>61</v>
      </c>
      <c r="Y77" s="45">
        <v>61</v>
      </c>
      <c r="Z77" s="45">
        <v>49.3</v>
      </c>
      <c r="AA77" s="45">
        <v>9.9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61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>
        <v>0</v>
      </c>
      <c r="M78" s="65">
        <v>9.3000000000000007</v>
      </c>
      <c r="N78" s="65"/>
      <c r="O78" s="65"/>
      <c r="P78" s="65"/>
      <c r="Q78" s="65"/>
      <c r="R78" s="65"/>
      <c r="S78" s="65"/>
      <c r="T78" s="65"/>
      <c r="U78" s="65"/>
      <c r="V78" s="65">
        <v>8.1999999999999993</v>
      </c>
      <c r="W78" s="65">
        <v>27.6</v>
      </c>
      <c r="X78" s="65">
        <v>27.6</v>
      </c>
      <c r="Y78" s="65">
        <v>28.4</v>
      </c>
      <c r="Z78" s="65">
        <v>28.3</v>
      </c>
      <c r="AA78" s="65">
        <v>15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28.4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>
        <v>0</v>
      </c>
      <c r="M79" s="67">
        <v>3.4</v>
      </c>
      <c r="N79" s="67"/>
      <c r="O79" s="67"/>
      <c r="P79" s="67"/>
      <c r="Q79" s="67"/>
      <c r="R79" s="67"/>
      <c r="S79" s="67"/>
      <c r="T79" s="67"/>
      <c r="U79" s="67"/>
      <c r="V79" s="67">
        <v>3</v>
      </c>
      <c r="W79" s="67">
        <v>10.1</v>
      </c>
      <c r="X79" s="67">
        <v>10.1</v>
      </c>
      <c r="Y79" s="67">
        <v>10.1</v>
      </c>
      <c r="Z79" s="67">
        <v>10.3</v>
      </c>
      <c r="AA79" s="67">
        <v>5.5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10.3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E80" si="30">B77+B78+B79</f>
        <v>0</v>
      </c>
      <c r="C80" s="60">
        <f t="shared" si="30"/>
        <v>0</v>
      </c>
      <c r="D80" s="60">
        <f t="shared" si="30"/>
        <v>0</v>
      </c>
      <c r="E80" s="60">
        <f t="shared" si="30"/>
        <v>0</v>
      </c>
      <c r="F80" s="60">
        <f t="shared" si="30"/>
        <v>0</v>
      </c>
      <c r="G80" s="60">
        <f t="shared" si="30"/>
        <v>0</v>
      </c>
      <c r="H80" s="60">
        <f t="shared" si="30"/>
        <v>0</v>
      </c>
      <c r="I80" s="60">
        <f t="shared" si="30"/>
        <v>0</v>
      </c>
      <c r="J80" s="60">
        <f t="shared" si="30"/>
        <v>0</v>
      </c>
      <c r="K80" s="60">
        <f t="shared" si="30"/>
        <v>0</v>
      </c>
      <c r="L80" s="60">
        <f t="shared" si="30"/>
        <v>14.4</v>
      </c>
      <c r="M80" s="60">
        <f t="shared" si="30"/>
        <v>23.5</v>
      </c>
      <c r="N80" s="60">
        <f t="shared" si="30"/>
        <v>0</v>
      </c>
      <c r="O80" s="60">
        <f t="shared" si="30"/>
        <v>0</v>
      </c>
      <c r="P80" s="60">
        <f t="shared" si="30"/>
        <v>0</v>
      </c>
      <c r="Q80" s="60">
        <f t="shared" si="30"/>
        <v>0</v>
      </c>
      <c r="R80" s="60">
        <f t="shared" si="30"/>
        <v>0</v>
      </c>
      <c r="S80" s="60">
        <f t="shared" ref="S80:T80" si="31">S77+S78+S79</f>
        <v>0</v>
      </c>
      <c r="T80" s="60">
        <f t="shared" si="31"/>
        <v>0</v>
      </c>
      <c r="U80" s="60">
        <f t="shared" ref="U80:V80" si="32">U77+U78+U79</f>
        <v>0</v>
      </c>
      <c r="V80" s="60">
        <f t="shared" si="32"/>
        <v>72.2</v>
      </c>
      <c r="W80" s="60">
        <f t="shared" ref="W80:X80" si="33">W77+W78+W79</f>
        <v>98.699999999999989</v>
      </c>
      <c r="X80" s="60">
        <f t="shared" si="33"/>
        <v>98.699999999999989</v>
      </c>
      <c r="Y80" s="60">
        <f t="shared" ref="Y80:Z80" si="34">Y77+Y78+Y79</f>
        <v>99.5</v>
      </c>
      <c r="Z80" s="60">
        <f t="shared" si="34"/>
        <v>87.899999999999991</v>
      </c>
      <c r="AA80" s="60">
        <f t="shared" ref="AA80" si="35">AA77+AA78+AA79</f>
        <v>30.4</v>
      </c>
      <c r="AB80" s="60">
        <f t="shared" si="30"/>
        <v>0</v>
      </c>
      <c r="AC80" s="60">
        <f t="shared" si="30"/>
        <v>0</v>
      </c>
      <c r="AD80" s="60">
        <f t="shared" si="30"/>
        <v>0</v>
      </c>
      <c r="AE80" s="60">
        <f t="shared" si="30"/>
        <v>0</v>
      </c>
      <c r="AF80" s="60">
        <f t="shared" ref="AF80" si="36">AF77+AF78+AF79</f>
        <v>0</v>
      </c>
      <c r="AG80" s="61">
        <f>SUM(AG77:AG79)</f>
        <v>106</v>
      </c>
      <c r="AH80" s="47">
        <f t="shared" si="2"/>
        <v>99.5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54</v>
      </c>
      <c r="C81" s="45">
        <v>58</v>
      </c>
      <c r="D81" s="45">
        <v>50</v>
      </c>
      <c r="E81" s="45">
        <v>36</v>
      </c>
      <c r="F81" s="45">
        <v>52</v>
      </c>
      <c r="G81" s="45">
        <v>48</v>
      </c>
      <c r="H81" s="45">
        <v>43</v>
      </c>
      <c r="I81" s="45">
        <v>49.9</v>
      </c>
      <c r="J81" s="45">
        <v>50.4</v>
      </c>
      <c r="K81" s="45">
        <v>54.1</v>
      </c>
      <c r="L81" s="45">
        <v>53.9</v>
      </c>
      <c r="M81" s="45">
        <v>39.700000000000003</v>
      </c>
      <c r="N81" s="45">
        <v>28.2</v>
      </c>
      <c r="O81" s="45">
        <v>24.2</v>
      </c>
      <c r="P81" s="45">
        <v>48</v>
      </c>
      <c r="Q81" s="45">
        <v>39</v>
      </c>
      <c r="R81" s="45">
        <v>66</v>
      </c>
      <c r="S81" s="45">
        <v>62.2</v>
      </c>
      <c r="T81" s="45">
        <v>59.3</v>
      </c>
      <c r="U81" s="45">
        <v>69.3</v>
      </c>
      <c r="V81" s="45">
        <v>39.700000000000003</v>
      </c>
      <c r="W81" s="45">
        <v>32</v>
      </c>
      <c r="X81" s="45">
        <v>49.1</v>
      </c>
      <c r="Y81" s="45">
        <v>33</v>
      </c>
      <c r="Z81" s="45">
        <v>27.7</v>
      </c>
      <c r="AA81" s="45">
        <v>22.9</v>
      </c>
      <c r="AB81" s="45">
        <v>31</v>
      </c>
      <c r="AC81" s="45">
        <v>38.299999999999997</v>
      </c>
      <c r="AD81" s="45">
        <v>42.5</v>
      </c>
      <c r="AE81" s="45">
        <v>46</v>
      </c>
      <c r="AF81" s="45">
        <v>49</v>
      </c>
      <c r="AG81" s="52"/>
      <c r="AH81" s="47">
        <f t="shared" si="2"/>
        <v>69.3</v>
      </c>
      <c r="AI81" s="48">
        <f t="shared" si="3"/>
        <v>22.9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154</v>
      </c>
      <c r="C83" s="65">
        <v>112</v>
      </c>
      <c r="D83" s="65">
        <v>125</v>
      </c>
      <c r="E83" s="65">
        <v>76</v>
      </c>
      <c r="F83" s="65">
        <v>75.599999999999994</v>
      </c>
      <c r="G83" s="65">
        <v>154</v>
      </c>
      <c r="H83" s="65">
        <v>162</v>
      </c>
      <c r="I83" s="65">
        <v>269</v>
      </c>
      <c r="J83" s="65">
        <v>248</v>
      </c>
      <c r="K83" s="65">
        <v>201</v>
      </c>
      <c r="L83" s="65">
        <v>42.4</v>
      </c>
      <c r="M83" s="65">
        <v>2</v>
      </c>
      <c r="N83" s="65">
        <v>1</v>
      </c>
      <c r="O83" s="65">
        <v>-4</v>
      </c>
      <c r="P83" s="65">
        <v>102</v>
      </c>
      <c r="Q83" s="65">
        <v>240.5</v>
      </c>
      <c r="R83" s="65">
        <v>285.89999999999998</v>
      </c>
      <c r="S83" s="65">
        <v>328.4</v>
      </c>
      <c r="T83" s="65">
        <v>336.7</v>
      </c>
      <c r="U83" s="65">
        <v>299.10000000000002</v>
      </c>
      <c r="V83" s="65">
        <v>72.599999999999994</v>
      </c>
      <c r="W83" s="65">
        <v>13.4</v>
      </c>
      <c r="X83" s="65">
        <v>28</v>
      </c>
      <c r="Y83" s="65">
        <v>28.6</v>
      </c>
      <c r="Z83" s="65">
        <v>49.1</v>
      </c>
      <c r="AA83" s="65">
        <v>72.3</v>
      </c>
      <c r="AB83" s="65">
        <v>97</v>
      </c>
      <c r="AC83" s="65">
        <v>183</v>
      </c>
      <c r="AD83" s="65">
        <v>196</v>
      </c>
      <c r="AE83" s="65">
        <v>200</v>
      </c>
      <c r="AF83" s="65">
        <v>134</v>
      </c>
      <c r="AG83" s="75"/>
      <c r="AH83" s="47">
        <f t="shared" si="2"/>
        <v>336.7</v>
      </c>
      <c r="AI83" s="48">
        <f t="shared" si="3"/>
        <v>-4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7">MAX(B85:AF85)</f>
        <v>0</v>
      </c>
      <c r="AI85" s="48">
        <f t="shared" ref="AI85:AI130" si="38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7"/>
        <v>0</v>
      </c>
      <c r="AI86" s="48">
        <f t="shared" si="38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7"/>
        <v>0</v>
      </c>
      <c r="AI87" s="48">
        <f t="shared" si="38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7"/>
        <v>0</v>
      </c>
      <c r="AI88" s="48">
        <f t="shared" si="38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7"/>
        <v>0</v>
      </c>
      <c r="AI89" s="48">
        <f t="shared" si="38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7"/>
        <v>0</v>
      </c>
      <c r="AI90" s="48">
        <f t="shared" si="38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7"/>
        <v>0</v>
      </c>
      <c r="AI91" s="48">
        <f t="shared" si="38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E92" si="39">SUMIF(B81:B91,"&gt;0")</f>
        <v>208</v>
      </c>
      <c r="C92" s="60">
        <f t="shared" si="39"/>
        <v>170</v>
      </c>
      <c r="D92" s="60">
        <f t="shared" si="39"/>
        <v>175</v>
      </c>
      <c r="E92" s="60">
        <f t="shared" si="39"/>
        <v>112</v>
      </c>
      <c r="F92" s="60">
        <f t="shared" si="39"/>
        <v>127.6</v>
      </c>
      <c r="G92" s="60">
        <f t="shared" si="39"/>
        <v>202</v>
      </c>
      <c r="H92" s="60">
        <f t="shared" si="39"/>
        <v>205</v>
      </c>
      <c r="I92" s="60">
        <f t="shared" si="39"/>
        <v>318.89999999999998</v>
      </c>
      <c r="J92" s="60">
        <f t="shared" si="39"/>
        <v>298.39999999999998</v>
      </c>
      <c r="K92" s="60">
        <f t="shared" si="39"/>
        <v>255.1</v>
      </c>
      <c r="L92" s="60">
        <f t="shared" si="39"/>
        <v>96.3</v>
      </c>
      <c r="M92" s="60">
        <f t="shared" si="39"/>
        <v>41.7</v>
      </c>
      <c r="N92" s="60">
        <f t="shared" si="39"/>
        <v>29.2</v>
      </c>
      <c r="O92" s="60">
        <f t="shared" si="39"/>
        <v>24.2</v>
      </c>
      <c r="P92" s="60">
        <f t="shared" si="39"/>
        <v>150</v>
      </c>
      <c r="Q92" s="60">
        <f t="shared" si="39"/>
        <v>279.5</v>
      </c>
      <c r="R92" s="60">
        <f t="shared" si="39"/>
        <v>351.9</v>
      </c>
      <c r="S92" s="60">
        <f t="shared" ref="S92:T92" si="40">SUMIF(S81:S91,"&gt;0")</f>
        <v>390.59999999999997</v>
      </c>
      <c r="T92" s="60">
        <f t="shared" si="40"/>
        <v>396</v>
      </c>
      <c r="U92" s="60">
        <f t="shared" ref="U92:V92" si="41">SUMIF(U81:U91,"&gt;0")</f>
        <v>368.40000000000003</v>
      </c>
      <c r="V92" s="60">
        <f t="shared" si="41"/>
        <v>112.3</v>
      </c>
      <c r="W92" s="60">
        <f t="shared" ref="W92:X92" si="42">SUMIF(W81:W91,"&gt;0")</f>
        <v>45.4</v>
      </c>
      <c r="X92" s="60">
        <f t="shared" si="42"/>
        <v>77.099999999999994</v>
      </c>
      <c r="Y92" s="60">
        <f t="shared" ref="Y92:Z92" si="43">SUMIF(Y81:Y91,"&gt;0")</f>
        <v>61.6</v>
      </c>
      <c r="Z92" s="60">
        <f t="shared" si="43"/>
        <v>76.8</v>
      </c>
      <c r="AA92" s="60">
        <f t="shared" ref="AA92" si="44">SUMIF(AA81:AA91,"&gt;0")</f>
        <v>95.199999999999989</v>
      </c>
      <c r="AB92" s="60">
        <f t="shared" si="39"/>
        <v>128</v>
      </c>
      <c r="AC92" s="60">
        <f t="shared" si="39"/>
        <v>221.3</v>
      </c>
      <c r="AD92" s="60">
        <f t="shared" si="39"/>
        <v>238.5</v>
      </c>
      <c r="AE92" s="60">
        <f t="shared" si="39"/>
        <v>246</v>
      </c>
      <c r="AF92" s="60">
        <f t="shared" ref="AF92" si="45">SUMIF(AF81:AF91,"&gt;0")</f>
        <v>183</v>
      </c>
      <c r="AG92" s="88">
        <f>SUM(AG81:AG91)</f>
        <v>0</v>
      </c>
      <c r="AH92" s="47">
        <f t="shared" si="37"/>
        <v>396</v>
      </c>
      <c r="AI92" s="48">
        <f t="shared" si="38"/>
        <v>24.2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7"/>
        <v>0</v>
      </c>
      <c r="AI93" s="48">
        <f t="shared" si="38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7"/>
        <v>0</v>
      </c>
      <c r="AI94" s="48">
        <f t="shared" si="38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7"/>
        <v>0</v>
      </c>
      <c r="AI95" s="48">
        <f t="shared" si="38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7"/>
        <v>0</v>
      </c>
      <c r="AI96" s="48">
        <f t="shared" si="38"/>
        <v>0</v>
      </c>
    </row>
    <row r="97" spans="1:37" ht="15.75" thickBot="1" x14ac:dyDescent="0.3">
      <c r="A97" s="74" t="s">
        <v>100</v>
      </c>
      <c r="B97" s="95">
        <f t="shared" ref="B97:AG97" si="46">B58+B62+B80+B76+B92+B96</f>
        <v>1038.54</v>
      </c>
      <c r="C97" s="95">
        <f t="shared" si="46"/>
        <v>989.54000000000008</v>
      </c>
      <c r="D97" s="95">
        <f t="shared" si="46"/>
        <v>1005.5400000000001</v>
      </c>
      <c r="E97" s="95">
        <f t="shared" si="46"/>
        <v>976.34</v>
      </c>
      <c r="F97" s="95">
        <f t="shared" si="46"/>
        <v>1005.0400000000001</v>
      </c>
      <c r="G97" s="95">
        <f t="shared" si="46"/>
        <v>1079.44</v>
      </c>
      <c r="H97" s="95">
        <f t="shared" si="46"/>
        <v>1189.54</v>
      </c>
      <c r="I97" s="95">
        <f t="shared" si="46"/>
        <v>1329.7400000000002</v>
      </c>
      <c r="J97" s="95">
        <f t="shared" si="46"/>
        <v>1371.7400000000002</v>
      </c>
      <c r="K97" s="95">
        <f t="shared" si="46"/>
        <v>1465.94</v>
      </c>
      <c r="L97" s="95">
        <f t="shared" si="46"/>
        <v>1603.8400000000004</v>
      </c>
      <c r="M97" s="95">
        <f t="shared" si="46"/>
        <v>1565.6400000000003</v>
      </c>
      <c r="N97" s="95">
        <f t="shared" si="46"/>
        <v>1489.2400000000002</v>
      </c>
      <c r="O97" s="95">
        <f t="shared" si="46"/>
        <v>1437.94</v>
      </c>
      <c r="P97" s="95">
        <f t="shared" si="46"/>
        <v>1395.44</v>
      </c>
      <c r="Q97" s="95">
        <f t="shared" si="46"/>
        <v>1319.54</v>
      </c>
      <c r="R97" s="95">
        <f t="shared" si="46"/>
        <v>1275.8400000000001</v>
      </c>
      <c r="S97" s="95">
        <f t="shared" ref="S97:T97" si="47">S58+S62+S80+S76+S92+S96</f>
        <v>1325.14</v>
      </c>
      <c r="T97" s="95">
        <f t="shared" si="47"/>
        <v>1326.14</v>
      </c>
      <c r="U97" s="95">
        <f t="shared" ref="U97:V97" si="48">U58+U62+U80+U76+U92+U96</f>
        <v>1464.1400000000003</v>
      </c>
      <c r="V97" s="95">
        <f t="shared" si="48"/>
        <v>1417.74</v>
      </c>
      <c r="W97" s="95">
        <f t="shared" ref="W97:X97" si="49">W58+W62+W80+W76+W92+W96</f>
        <v>1542.1400000000003</v>
      </c>
      <c r="X97" s="95">
        <f t="shared" si="49"/>
        <v>1661.3400000000001</v>
      </c>
      <c r="Y97" s="95">
        <f t="shared" ref="Y97:Z97" si="50">Y58+Y62+Y80+Y76+Y92+Y96</f>
        <v>1626.64</v>
      </c>
      <c r="Z97" s="95">
        <f t="shared" si="50"/>
        <v>1528.2400000000002</v>
      </c>
      <c r="AA97" s="95">
        <f t="shared" ref="AA97" si="51">AA58+AA62+AA80+AA76+AA92+AA96</f>
        <v>1484.5400000000002</v>
      </c>
      <c r="AB97" s="95">
        <f t="shared" si="46"/>
        <v>1441.3400000000001</v>
      </c>
      <c r="AC97" s="95">
        <f t="shared" si="46"/>
        <v>1416.04</v>
      </c>
      <c r="AD97" s="95">
        <f t="shared" si="46"/>
        <v>1261.6400000000001</v>
      </c>
      <c r="AE97" s="95">
        <f t="shared" si="46"/>
        <v>1098.1400000000001</v>
      </c>
      <c r="AF97" s="95">
        <f t="shared" ref="AF97" si="52">AF58+AF62+AF80+AF76+AF92+AF96</f>
        <v>1004.5400000000001</v>
      </c>
      <c r="AG97" s="61">
        <f t="shared" si="46"/>
        <v>2231.81</v>
      </c>
      <c r="AH97" s="47">
        <f t="shared" si="37"/>
        <v>1661.3400000000001</v>
      </c>
      <c r="AI97" s="48">
        <f t="shared" si="38"/>
        <v>976.34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>
        <v>50</v>
      </c>
      <c r="K98" s="97">
        <v>80</v>
      </c>
      <c r="L98" s="97">
        <v>80</v>
      </c>
      <c r="M98" s="97">
        <v>80</v>
      </c>
      <c r="N98" s="97">
        <v>80</v>
      </c>
      <c r="O98" s="97">
        <v>80</v>
      </c>
      <c r="P98" s="97"/>
      <c r="Q98" s="97"/>
      <c r="R98" s="97"/>
      <c r="S98" s="97"/>
      <c r="T98" s="97"/>
      <c r="U98" s="97"/>
      <c r="V98" s="97"/>
      <c r="W98" s="97"/>
      <c r="X98" s="97">
        <v>90</v>
      </c>
      <c r="Y98" s="97">
        <v>90</v>
      </c>
      <c r="Z98" s="97">
        <v>70</v>
      </c>
      <c r="AA98" s="97">
        <v>70</v>
      </c>
      <c r="AB98" s="97">
        <v>70</v>
      </c>
      <c r="AC98" s="97"/>
      <c r="AD98" s="97"/>
      <c r="AE98" s="97"/>
      <c r="AF98" s="97"/>
      <c r="AG98" s="88"/>
      <c r="AH98" s="47">
        <f t="shared" si="37"/>
        <v>90</v>
      </c>
      <c r="AI98" s="48">
        <f t="shared" si="38"/>
        <v>50</v>
      </c>
    </row>
    <row r="99" spans="1:37" ht="15.75" thickBot="1" x14ac:dyDescent="0.3">
      <c r="A99" s="74" t="s">
        <v>102</v>
      </c>
      <c r="B99" s="95">
        <f t="shared" ref="B99:AE99" si="53">B97+B98</f>
        <v>1038.54</v>
      </c>
      <c r="C99" s="95">
        <f t="shared" si="53"/>
        <v>989.54000000000008</v>
      </c>
      <c r="D99" s="95">
        <f t="shared" si="53"/>
        <v>1005.5400000000001</v>
      </c>
      <c r="E99" s="95">
        <f t="shared" si="53"/>
        <v>976.34</v>
      </c>
      <c r="F99" s="95">
        <f t="shared" si="53"/>
        <v>1005.0400000000001</v>
      </c>
      <c r="G99" s="95">
        <f t="shared" si="53"/>
        <v>1079.44</v>
      </c>
      <c r="H99" s="95">
        <f t="shared" si="53"/>
        <v>1189.54</v>
      </c>
      <c r="I99" s="95">
        <f t="shared" si="53"/>
        <v>1329.7400000000002</v>
      </c>
      <c r="J99" s="95">
        <f t="shared" si="53"/>
        <v>1421.7400000000002</v>
      </c>
      <c r="K99" s="95">
        <f t="shared" si="53"/>
        <v>1545.94</v>
      </c>
      <c r="L99" s="95">
        <f t="shared" si="53"/>
        <v>1683.8400000000004</v>
      </c>
      <c r="M99" s="95">
        <f t="shared" si="53"/>
        <v>1645.6400000000003</v>
      </c>
      <c r="N99" s="95">
        <f t="shared" si="53"/>
        <v>1569.2400000000002</v>
      </c>
      <c r="O99" s="95">
        <f t="shared" si="53"/>
        <v>1517.94</v>
      </c>
      <c r="P99" s="95">
        <f t="shared" si="53"/>
        <v>1395.44</v>
      </c>
      <c r="Q99" s="95">
        <f t="shared" si="53"/>
        <v>1319.54</v>
      </c>
      <c r="R99" s="95">
        <f t="shared" si="53"/>
        <v>1275.8400000000001</v>
      </c>
      <c r="S99" s="95">
        <f t="shared" ref="S99:T99" si="54">S97+S98</f>
        <v>1325.14</v>
      </c>
      <c r="T99" s="95">
        <f t="shared" si="54"/>
        <v>1326.14</v>
      </c>
      <c r="U99" s="95">
        <f t="shared" ref="U99:V99" si="55">U97+U98</f>
        <v>1464.1400000000003</v>
      </c>
      <c r="V99" s="95">
        <f t="shared" si="55"/>
        <v>1417.74</v>
      </c>
      <c r="W99" s="95">
        <f t="shared" ref="W99:X99" si="56">W97+W98</f>
        <v>1542.1400000000003</v>
      </c>
      <c r="X99" s="95">
        <f t="shared" si="56"/>
        <v>1751.3400000000001</v>
      </c>
      <c r="Y99" s="95">
        <f t="shared" ref="Y99:Z99" si="57">Y97+Y98</f>
        <v>1716.64</v>
      </c>
      <c r="Z99" s="95">
        <f t="shared" si="57"/>
        <v>1598.2400000000002</v>
      </c>
      <c r="AA99" s="95">
        <f t="shared" ref="AA99" si="58">AA97+AA98</f>
        <v>1554.5400000000002</v>
      </c>
      <c r="AB99" s="95">
        <f t="shared" si="53"/>
        <v>1511.3400000000001</v>
      </c>
      <c r="AC99" s="95">
        <f t="shared" si="53"/>
        <v>1416.04</v>
      </c>
      <c r="AD99" s="95">
        <f t="shared" si="53"/>
        <v>1261.6400000000001</v>
      </c>
      <c r="AE99" s="95">
        <f t="shared" si="53"/>
        <v>1098.1400000000001</v>
      </c>
      <c r="AF99" s="95">
        <f t="shared" ref="AF99" si="59">AF97+AF98</f>
        <v>1004.5400000000001</v>
      </c>
      <c r="AG99" s="88">
        <f>AG96+AG92+AG80+AG76+AG58+AG98</f>
        <v>1693.71</v>
      </c>
      <c r="AH99" s="47">
        <f t="shared" si="37"/>
        <v>1751.3400000000001</v>
      </c>
      <c r="AI99" s="48">
        <f t="shared" si="38"/>
        <v>976.34</v>
      </c>
    </row>
    <row r="100" spans="1:37" ht="15.75" thickBot="1" x14ac:dyDescent="0.3">
      <c r="A100" s="74" t="s">
        <v>103</v>
      </c>
      <c r="B100" s="95">
        <f t="shared" ref="B100:M100" si="60">B99-(B107)</f>
        <v>1038.54</v>
      </c>
      <c r="C100" s="95">
        <f t="shared" si="60"/>
        <v>989.54000000000008</v>
      </c>
      <c r="D100" s="95">
        <f t="shared" si="60"/>
        <v>1005.5400000000001</v>
      </c>
      <c r="E100" s="95">
        <f t="shared" si="60"/>
        <v>976.34</v>
      </c>
      <c r="F100" s="95">
        <f t="shared" si="60"/>
        <v>1005.0400000000001</v>
      </c>
      <c r="G100" s="95">
        <f t="shared" si="60"/>
        <v>1079.44</v>
      </c>
      <c r="H100" s="95">
        <f t="shared" si="60"/>
        <v>1189.54</v>
      </c>
      <c r="I100" s="95">
        <f t="shared" si="60"/>
        <v>1329.7400000000002</v>
      </c>
      <c r="J100" s="95">
        <f t="shared" si="60"/>
        <v>1421.7400000000002</v>
      </c>
      <c r="K100" s="95">
        <f t="shared" si="60"/>
        <v>1545.94</v>
      </c>
      <c r="L100" s="95">
        <f t="shared" si="60"/>
        <v>1683.8400000000004</v>
      </c>
      <c r="M100" s="95">
        <f t="shared" si="60"/>
        <v>1645.6400000000003</v>
      </c>
      <c r="N100" s="95">
        <f>N99-(N107)</f>
        <v>1569.2400000000002</v>
      </c>
      <c r="O100" s="95">
        <f t="shared" ref="O100:AE100" si="61">O99-(O107)</f>
        <v>1513.94</v>
      </c>
      <c r="P100" s="95">
        <f t="shared" si="61"/>
        <v>1395.44</v>
      </c>
      <c r="Q100" s="95">
        <f t="shared" si="61"/>
        <v>1319.54</v>
      </c>
      <c r="R100" s="95">
        <f t="shared" si="61"/>
        <v>1275.8400000000001</v>
      </c>
      <c r="S100" s="95">
        <f t="shared" ref="S100:T100" si="62">S99-(S107)</f>
        <v>1324.14</v>
      </c>
      <c r="T100" s="95">
        <f t="shared" si="62"/>
        <v>1324.14</v>
      </c>
      <c r="U100" s="95">
        <f t="shared" ref="U100:V100" si="63">U99-(U107)</f>
        <v>1461.1400000000003</v>
      </c>
      <c r="V100" s="95">
        <f t="shared" si="63"/>
        <v>1413.74</v>
      </c>
      <c r="W100" s="95">
        <f t="shared" ref="W100:X100" si="64">W99-(W107)</f>
        <v>1537.1400000000003</v>
      </c>
      <c r="X100" s="95">
        <f t="shared" si="64"/>
        <v>1743.3400000000001</v>
      </c>
      <c r="Y100" s="95">
        <f t="shared" ref="Y100:Z100" si="65">Y99-(Y107)</f>
        <v>1707.64</v>
      </c>
      <c r="Z100" s="95">
        <f t="shared" si="65"/>
        <v>1588.2400000000002</v>
      </c>
      <c r="AA100" s="95">
        <f t="shared" ref="AA100" si="66">AA99-(AA107)</f>
        <v>1543.5400000000002</v>
      </c>
      <c r="AB100" s="95">
        <f t="shared" si="61"/>
        <v>1511.3400000000001</v>
      </c>
      <c r="AC100" s="95">
        <f t="shared" si="61"/>
        <v>1416.04</v>
      </c>
      <c r="AD100" s="95">
        <f t="shared" si="61"/>
        <v>1261.6400000000001</v>
      </c>
      <c r="AE100" s="95">
        <f t="shared" si="61"/>
        <v>1098.1400000000001</v>
      </c>
      <c r="AF100" s="95">
        <f t="shared" ref="AF100" si="67">AF99-(AF107)</f>
        <v>1003.5400000000001</v>
      </c>
      <c r="AG100" s="88"/>
      <c r="AH100" s="47">
        <f t="shared" si="37"/>
        <v>1743.3400000000001</v>
      </c>
      <c r="AI100" s="48">
        <f t="shared" si="38"/>
        <v>976.34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E101" si="68">IF(C84&lt;0,C84*-1,0)</f>
        <v>0</v>
      </c>
      <c r="D101" s="76">
        <f t="shared" si="68"/>
        <v>0</v>
      </c>
      <c r="E101" s="76">
        <f t="shared" si="68"/>
        <v>0</v>
      </c>
      <c r="F101" s="76">
        <f t="shared" si="68"/>
        <v>0</v>
      </c>
      <c r="G101" s="76">
        <f t="shared" si="68"/>
        <v>0</v>
      </c>
      <c r="H101" s="76">
        <f t="shared" si="68"/>
        <v>0</v>
      </c>
      <c r="I101" s="76">
        <f t="shared" si="68"/>
        <v>0</v>
      </c>
      <c r="J101" s="76">
        <f t="shared" si="68"/>
        <v>0</v>
      </c>
      <c r="K101" s="76">
        <f t="shared" si="68"/>
        <v>0</v>
      </c>
      <c r="L101" s="76">
        <f t="shared" si="68"/>
        <v>0</v>
      </c>
      <c r="M101" s="76">
        <f t="shared" si="68"/>
        <v>0</v>
      </c>
      <c r="N101" s="76">
        <f t="shared" si="68"/>
        <v>0</v>
      </c>
      <c r="O101" s="76">
        <f t="shared" si="68"/>
        <v>0</v>
      </c>
      <c r="P101" s="76">
        <f t="shared" si="68"/>
        <v>0</v>
      </c>
      <c r="Q101" s="76">
        <f t="shared" si="68"/>
        <v>0</v>
      </c>
      <c r="R101" s="76">
        <f t="shared" si="68"/>
        <v>0</v>
      </c>
      <c r="S101" s="76">
        <f t="shared" ref="S101:T101" si="69">IF(S84&lt;0,S84*-1,0)</f>
        <v>0</v>
      </c>
      <c r="T101" s="76">
        <f t="shared" si="69"/>
        <v>0</v>
      </c>
      <c r="U101" s="76">
        <f t="shared" ref="U101:V101" si="70">IF(U84&lt;0,U84*-1,0)</f>
        <v>0</v>
      </c>
      <c r="V101" s="76">
        <f t="shared" si="70"/>
        <v>0</v>
      </c>
      <c r="W101" s="76">
        <f t="shared" ref="W101:X101" si="71">IF(W84&lt;0,W84*-1,0)</f>
        <v>0</v>
      </c>
      <c r="X101" s="76">
        <f t="shared" si="71"/>
        <v>0</v>
      </c>
      <c r="Y101" s="76">
        <f t="shared" ref="Y101:Z101" si="72">IF(Y84&lt;0,Y84*-1,0)</f>
        <v>0</v>
      </c>
      <c r="Z101" s="76">
        <f t="shared" si="72"/>
        <v>0</v>
      </c>
      <c r="AA101" s="76">
        <f t="shared" ref="AA101" si="73">IF(AA84&lt;0,AA84*-1,0)</f>
        <v>0</v>
      </c>
      <c r="AB101" s="76">
        <f t="shared" si="68"/>
        <v>0</v>
      </c>
      <c r="AC101" s="76">
        <f t="shared" si="68"/>
        <v>0</v>
      </c>
      <c r="AD101" s="76">
        <f t="shared" si="68"/>
        <v>0</v>
      </c>
      <c r="AE101" s="76">
        <f t="shared" si="68"/>
        <v>0</v>
      </c>
      <c r="AF101" s="76">
        <f t="shared" ref="AF101" si="74">IF(AF84&lt;0,AF84*-1,0)</f>
        <v>0</v>
      </c>
      <c r="AG101" s="52"/>
      <c r="AH101" s="47">
        <f t="shared" si="37"/>
        <v>0</v>
      </c>
      <c r="AI101" s="48">
        <f t="shared" si="38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E102" si="75">IF(C82&lt;0,C82*-1,0)</f>
        <v>0</v>
      </c>
      <c r="D102" s="76">
        <f t="shared" si="75"/>
        <v>0</v>
      </c>
      <c r="E102" s="76">
        <f t="shared" si="75"/>
        <v>0</v>
      </c>
      <c r="F102" s="76">
        <f t="shared" si="75"/>
        <v>0</v>
      </c>
      <c r="G102" s="76">
        <f t="shared" si="75"/>
        <v>0</v>
      </c>
      <c r="H102" s="76">
        <f t="shared" si="75"/>
        <v>0</v>
      </c>
      <c r="I102" s="76">
        <f t="shared" si="75"/>
        <v>0</v>
      </c>
      <c r="J102" s="76">
        <f t="shared" si="75"/>
        <v>0</v>
      </c>
      <c r="K102" s="76">
        <f t="shared" si="75"/>
        <v>0</v>
      </c>
      <c r="L102" s="76">
        <f t="shared" si="75"/>
        <v>0</v>
      </c>
      <c r="M102" s="76">
        <f t="shared" si="75"/>
        <v>0</v>
      </c>
      <c r="N102" s="76">
        <f t="shared" si="75"/>
        <v>0</v>
      </c>
      <c r="O102" s="76">
        <f t="shared" si="75"/>
        <v>0</v>
      </c>
      <c r="P102" s="76">
        <f t="shared" si="75"/>
        <v>0</v>
      </c>
      <c r="Q102" s="76">
        <f t="shared" si="75"/>
        <v>0</v>
      </c>
      <c r="R102" s="76">
        <f t="shared" si="75"/>
        <v>0</v>
      </c>
      <c r="S102" s="76">
        <f t="shared" ref="S102:T102" si="76">IF(S82&lt;0,S82*-1,0)</f>
        <v>0</v>
      </c>
      <c r="T102" s="76">
        <f t="shared" si="76"/>
        <v>0</v>
      </c>
      <c r="U102" s="76">
        <f t="shared" ref="U102:V102" si="77">IF(U82&lt;0,U82*-1,0)</f>
        <v>0</v>
      </c>
      <c r="V102" s="76">
        <f t="shared" si="77"/>
        <v>0</v>
      </c>
      <c r="W102" s="76">
        <f t="shared" ref="W102:X102" si="78">IF(W82&lt;0,W82*-1,0)</f>
        <v>0</v>
      </c>
      <c r="X102" s="76">
        <f t="shared" si="78"/>
        <v>0</v>
      </c>
      <c r="Y102" s="76">
        <f t="shared" ref="Y102:Z102" si="79">IF(Y82&lt;0,Y82*-1,0)</f>
        <v>0</v>
      </c>
      <c r="Z102" s="76">
        <f t="shared" si="79"/>
        <v>0</v>
      </c>
      <c r="AA102" s="76">
        <f t="shared" ref="AA102" si="80">IF(AA82&lt;0,AA82*-1,0)</f>
        <v>0</v>
      </c>
      <c r="AB102" s="76">
        <f t="shared" si="75"/>
        <v>0</v>
      </c>
      <c r="AC102" s="76">
        <f t="shared" si="75"/>
        <v>0</v>
      </c>
      <c r="AD102" s="76">
        <f t="shared" si="75"/>
        <v>0</v>
      </c>
      <c r="AE102" s="76">
        <f t="shared" si="75"/>
        <v>0</v>
      </c>
      <c r="AF102" s="76">
        <f t="shared" ref="AF102" si="81">IF(AF82&lt;0,AF82*-1,0)</f>
        <v>0</v>
      </c>
      <c r="AG102" s="55"/>
      <c r="AH102" s="47">
        <f t="shared" si="37"/>
        <v>0</v>
      </c>
      <c r="AI102" s="48">
        <f t="shared" si="38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E103" si="82">IF(C85&lt;0,C85*-1,0)</f>
        <v>0</v>
      </c>
      <c r="D103" s="76">
        <f t="shared" si="82"/>
        <v>0</v>
      </c>
      <c r="E103" s="76">
        <f t="shared" si="82"/>
        <v>0</v>
      </c>
      <c r="F103" s="76">
        <f t="shared" si="82"/>
        <v>0</v>
      </c>
      <c r="G103" s="76">
        <f t="shared" si="82"/>
        <v>0</v>
      </c>
      <c r="H103" s="76">
        <f t="shared" si="82"/>
        <v>0</v>
      </c>
      <c r="I103" s="76">
        <f t="shared" si="82"/>
        <v>0</v>
      </c>
      <c r="J103" s="76">
        <f t="shared" si="82"/>
        <v>0</v>
      </c>
      <c r="K103" s="76">
        <f t="shared" si="82"/>
        <v>0</v>
      </c>
      <c r="L103" s="76">
        <f t="shared" si="82"/>
        <v>0</v>
      </c>
      <c r="M103" s="76">
        <f t="shared" si="82"/>
        <v>0</v>
      </c>
      <c r="N103" s="76">
        <f t="shared" si="82"/>
        <v>0</v>
      </c>
      <c r="O103" s="76">
        <f t="shared" si="82"/>
        <v>0</v>
      </c>
      <c r="P103" s="76">
        <f t="shared" si="82"/>
        <v>0</v>
      </c>
      <c r="Q103" s="76">
        <f t="shared" si="82"/>
        <v>0</v>
      </c>
      <c r="R103" s="76">
        <f t="shared" si="82"/>
        <v>0</v>
      </c>
      <c r="S103" s="76">
        <f t="shared" ref="S103:T103" si="83">IF(S85&lt;0,S85*-1,0)</f>
        <v>0</v>
      </c>
      <c r="T103" s="76">
        <f t="shared" si="83"/>
        <v>0</v>
      </c>
      <c r="U103" s="76">
        <f t="shared" ref="U103:V103" si="84">IF(U85&lt;0,U85*-1,0)</f>
        <v>0</v>
      </c>
      <c r="V103" s="76">
        <f t="shared" si="84"/>
        <v>0</v>
      </c>
      <c r="W103" s="76">
        <f t="shared" ref="W103:X103" si="85">IF(W85&lt;0,W85*-1,0)</f>
        <v>0</v>
      </c>
      <c r="X103" s="76">
        <f t="shared" si="85"/>
        <v>0</v>
      </c>
      <c r="Y103" s="76">
        <f t="shared" ref="Y103:Z103" si="86">IF(Y85&lt;0,Y85*-1,0)</f>
        <v>0</v>
      </c>
      <c r="Z103" s="76">
        <f t="shared" si="86"/>
        <v>0</v>
      </c>
      <c r="AA103" s="76">
        <f t="shared" ref="AA103" si="87">IF(AA85&lt;0,AA85*-1,0)</f>
        <v>0</v>
      </c>
      <c r="AB103" s="76">
        <f t="shared" si="82"/>
        <v>0</v>
      </c>
      <c r="AC103" s="76">
        <f t="shared" si="82"/>
        <v>0</v>
      </c>
      <c r="AD103" s="76">
        <f t="shared" si="82"/>
        <v>0</v>
      </c>
      <c r="AE103" s="76">
        <f t="shared" si="82"/>
        <v>0</v>
      </c>
      <c r="AF103" s="76">
        <f t="shared" ref="AF103" si="88">IF(AF85&lt;0,AF85*-1,0)</f>
        <v>0</v>
      </c>
      <c r="AG103" s="98"/>
      <c r="AH103" s="47">
        <f t="shared" si="37"/>
        <v>0</v>
      </c>
      <c r="AI103" s="48">
        <f t="shared" si="38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E104" si="89">IF(C83&lt;0,C83*-1,0)</f>
        <v>0</v>
      </c>
      <c r="D104" s="76">
        <f t="shared" si="89"/>
        <v>0</v>
      </c>
      <c r="E104" s="76">
        <f t="shared" si="89"/>
        <v>0</v>
      </c>
      <c r="F104" s="76">
        <f t="shared" si="89"/>
        <v>0</v>
      </c>
      <c r="G104" s="76">
        <f t="shared" si="89"/>
        <v>0</v>
      </c>
      <c r="H104" s="76">
        <f t="shared" si="89"/>
        <v>0</v>
      </c>
      <c r="I104" s="76">
        <f t="shared" si="89"/>
        <v>0</v>
      </c>
      <c r="J104" s="76">
        <f t="shared" si="89"/>
        <v>0</v>
      </c>
      <c r="K104" s="76">
        <f t="shared" si="89"/>
        <v>0</v>
      </c>
      <c r="L104" s="76">
        <f t="shared" si="89"/>
        <v>0</v>
      </c>
      <c r="M104" s="76">
        <f t="shared" si="89"/>
        <v>0</v>
      </c>
      <c r="N104" s="76">
        <f t="shared" si="89"/>
        <v>0</v>
      </c>
      <c r="O104" s="76">
        <f t="shared" si="89"/>
        <v>4</v>
      </c>
      <c r="P104" s="76">
        <f t="shared" si="89"/>
        <v>0</v>
      </c>
      <c r="Q104" s="76">
        <f t="shared" si="89"/>
        <v>0</v>
      </c>
      <c r="R104" s="76">
        <f t="shared" si="89"/>
        <v>0</v>
      </c>
      <c r="S104" s="76">
        <f t="shared" ref="S104:T104" si="90">IF(S83&lt;0,S83*-1,0)</f>
        <v>0</v>
      </c>
      <c r="T104" s="76">
        <f t="shared" si="90"/>
        <v>0</v>
      </c>
      <c r="U104" s="76">
        <f t="shared" ref="U104:V104" si="91">IF(U83&lt;0,U83*-1,0)</f>
        <v>0</v>
      </c>
      <c r="V104" s="76">
        <f t="shared" si="91"/>
        <v>0</v>
      </c>
      <c r="W104" s="76">
        <f t="shared" ref="W104:X104" si="92">IF(W83&lt;0,W83*-1,0)</f>
        <v>0</v>
      </c>
      <c r="X104" s="76">
        <f t="shared" si="92"/>
        <v>0</v>
      </c>
      <c r="Y104" s="76">
        <f t="shared" ref="Y104:Z104" si="93">IF(Y83&lt;0,Y83*-1,0)</f>
        <v>0</v>
      </c>
      <c r="Z104" s="76">
        <f t="shared" si="93"/>
        <v>0</v>
      </c>
      <c r="AA104" s="76">
        <f t="shared" ref="AA104" si="94">IF(AA83&lt;0,AA83*-1,0)</f>
        <v>0</v>
      </c>
      <c r="AB104" s="76">
        <f t="shared" si="89"/>
        <v>0</v>
      </c>
      <c r="AC104" s="76">
        <f t="shared" si="89"/>
        <v>0</v>
      </c>
      <c r="AD104" s="76">
        <f t="shared" si="89"/>
        <v>0</v>
      </c>
      <c r="AE104" s="76">
        <f t="shared" si="89"/>
        <v>0</v>
      </c>
      <c r="AF104" s="76">
        <f t="shared" ref="AF104" si="95">IF(AF83&lt;0,AF83*-1,0)</f>
        <v>0</v>
      </c>
      <c r="AG104" s="98"/>
      <c r="AH104" s="47">
        <f t="shared" si="37"/>
        <v>4</v>
      </c>
      <c r="AI104" s="48">
        <f t="shared" si="38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E105" si="96">IF(C81&lt;0,C81*-1,0)</f>
        <v>0</v>
      </c>
      <c r="D105" s="76">
        <f t="shared" si="96"/>
        <v>0</v>
      </c>
      <c r="E105" s="76">
        <f t="shared" si="96"/>
        <v>0</v>
      </c>
      <c r="F105" s="76">
        <f t="shared" si="96"/>
        <v>0</v>
      </c>
      <c r="G105" s="76">
        <f t="shared" si="96"/>
        <v>0</v>
      </c>
      <c r="H105" s="76">
        <f t="shared" si="96"/>
        <v>0</v>
      </c>
      <c r="I105" s="76">
        <f t="shared" si="96"/>
        <v>0</v>
      </c>
      <c r="J105" s="76">
        <f t="shared" si="96"/>
        <v>0</v>
      </c>
      <c r="K105" s="76">
        <f t="shared" si="96"/>
        <v>0</v>
      </c>
      <c r="L105" s="76">
        <f t="shared" si="96"/>
        <v>0</v>
      </c>
      <c r="M105" s="76">
        <f t="shared" si="96"/>
        <v>0</v>
      </c>
      <c r="N105" s="76">
        <f t="shared" si="96"/>
        <v>0</v>
      </c>
      <c r="O105" s="76">
        <f t="shared" si="96"/>
        <v>0</v>
      </c>
      <c r="P105" s="76">
        <f t="shared" si="96"/>
        <v>0</v>
      </c>
      <c r="Q105" s="76">
        <f t="shared" si="96"/>
        <v>0</v>
      </c>
      <c r="R105" s="76">
        <f t="shared" si="96"/>
        <v>0</v>
      </c>
      <c r="S105" s="76">
        <f t="shared" ref="S105:T105" si="97">IF(S81&lt;0,S81*-1,0)</f>
        <v>0</v>
      </c>
      <c r="T105" s="76">
        <f t="shared" si="97"/>
        <v>0</v>
      </c>
      <c r="U105" s="76">
        <f t="shared" ref="U105:V105" si="98">IF(U81&lt;0,U81*-1,0)</f>
        <v>0</v>
      </c>
      <c r="V105" s="76">
        <f t="shared" si="98"/>
        <v>0</v>
      </c>
      <c r="W105" s="76">
        <f t="shared" ref="W105:X105" si="99">IF(W81&lt;0,W81*-1,0)</f>
        <v>0</v>
      </c>
      <c r="X105" s="76">
        <f t="shared" si="99"/>
        <v>0</v>
      </c>
      <c r="Y105" s="76">
        <f t="shared" ref="Y105:Z105" si="100">IF(Y81&lt;0,Y81*-1,0)</f>
        <v>0</v>
      </c>
      <c r="Z105" s="76">
        <f t="shared" si="100"/>
        <v>0</v>
      </c>
      <c r="AA105" s="76">
        <f t="shared" ref="AA105" si="101">IF(AA81&lt;0,AA81*-1,0)</f>
        <v>0</v>
      </c>
      <c r="AB105" s="76">
        <f t="shared" si="96"/>
        <v>0</v>
      </c>
      <c r="AC105" s="76">
        <f t="shared" si="96"/>
        <v>0</v>
      </c>
      <c r="AD105" s="76">
        <f t="shared" si="96"/>
        <v>0</v>
      </c>
      <c r="AE105" s="76">
        <f t="shared" si="96"/>
        <v>0</v>
      </c>
      <c r="AF105" s="76">
        <f t="shared" ref="AF105" si="102">IF(AF81&lt;0,AF81*-1,0)</f>
        <v>0</v>
      </c>
      <c r="AG105" s="98"/>
      <c r="AH105" s="47">
        <f t="shared" si="37"/>
        <v>0</v>
      </c>
      <c r="AI105" s="48">
        <f t="shared" si="38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3</v>
      </c>
      <c r="V106" s="94">
        <v>4</v>
      </c>
      <c r="W106" s="94">
        <v>5</v>
      </c>
      <c r="X106" s="94">
        <v>8</v>
      </c>
      <c r="Y106" s="94">
        <v>9</v>
      </c>
      <c r="Z106" s="94">
        <v>10</v>
      </c>
      <c r="AA106" s="94">
        <v>11</v>
      </c>
      <c r="AB106" s="94">
        <v>0</v>
      </c>
      <c r="AC106" s="94">
        <v>0</v>
      </c>
      <c r="AD106" s="94">
        <v>0</v>
      </c>
      <c r="AE106" s="94">
        <v>0</v>
      </c>
      <c r="AF106" s="94">
        <v>1</v>
      </c>
      <c r="AG106" s="85"/>
      <c r="AH106" s="47">
        <f t="shared" si="37"/>
        <v>11</v>
      </c>
      <c r="AI106" s="48">
        <f t="shared" si="38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E107" si="103">SUM(C101:C106)</f>
        <v>0</v>
      </c>
      <c r="D107" s="60">
        <f t="shared" si="103"/>
        <v>0</v>
      </c>
      <c r="E107" s="60">
        <f t="shared" si="103"/>
        <v>0</v>
      </c>
      <c r="F107" s="60">
        <f t="shared" si="103"/>
        <v>0</v>
      </c>
      <c r="G107" s="60">
        <f t="shared" si="103"/>
        <v>0</v>
      </c>
      <c r="H107" s="60">
        <f t="shared" si="103"/>
        <v>0</v>
      </c>
      <c r="I107" s="60">
        <f t="shared" si="103"/>
        <v>0</v>
      </c>
      <c r="J107" s="60">
        <f t="shared" si="103"/>
        <v>0</v>
      </c>
      <c r="K107" s="60">
        <f t="shared" si="103"/>
        <v>0</v>
      </c>
      <c r="L107" s="60">
        <f t="shared" si="103"/>
        <v>0</v>
      </c>
      <c r="M107" s="60">
        <f t="shared" si="103"/>
        <v>0</v>
      </c>
      <c r="N107" s="60">
        <f t="shared" si="103"/>
        <v>0</v>
      </c>
      <c r="O107" s="60">
        <f t="shared" si="103"/>
        <v>4</v>
      </c>
      <c r="P107" s="60">
        <f t="shared" si="103"/>
        <v>0</v>
      </c>
      <c r="Q107" s="60">
        <f t="shared" si="103"/>
        <v>0</v>
      </c>
      <c r="R107" s="60">
        <f t="shared" si="103"/>
        <v>0</v>
      </c>
      <c r="S107" s="60">
        <f t="shared" ref="S107:T107" si="104">SUM(S101:S106)</f>
        <v>1</v>
      </c>
      <c r="T107" s="60">
        <f t="shared" si="104"/>
        <v>2</v>
      </c>
      <c r="U107" s="60">
        <f t="shared" ref="U107:V107" si="105">SUM(U101:U106)</f>
        <v>3</v>
      </c>
      <c r="V107" s="60">
        <f t="shared" si="105"/>
        <v>4</v>
      </c>
      <c r="W107" s="60">
        <f t="shared" ref="W107:X107" si="106">SUM(W101:W106)</f>
        <v>5</v>
      </c>
      <c r="X107" s="60">
        <f t="shared" si="106"/>
        <v>8</v>
      </c>
      <c r="Y107" s="60">
        <f t="shared" ref="Y107:Z107" si="107">SUM(Y101:Y106)</f>
        <v>9</v>
      </c>
      <c r="Z107" s="60">
        <f t="shared" si="107"/>
        <v>10</v>
      </c>
      <c r="AA107" s="60">
        <f t="shared" ref="AA107" si="108">SUM(AA101:AA106)</f>
        <v>11</v>
      </c>
      <c r="AB107" s="60">
        <f t="shared" si="103"/>
        <v>0</v>
      </c>
      <c r="AC107" s="60">
        <f t="shared" si="103"/>
        <v>0</v>
      </c>
      <c r="AD107" s="60">
        <f t="shared" si="103"/>
        <v>0</v>
      </c>
      <c r="AE107" s="60">
        <f t="shared" si="103"/>
        <v>0</v>
      </c>
      <c r="AF107" s="60">
        <f t="shared" ref="AF107" si="109">SUM(AF101:AF106)</f>
        <v>1</v>
      </c>
      <c r="AG107" s="88"/>
      <c r="AH107" s="47">
        <f t="shared" si="37"/>
        <v>11</v>
      </c>
      <c r="AI107" s="48">
        <f t="shared" si="38"/>
        <v>0</v>
      </c>
      <c r="AK107" s="50"/>
    </row>
    <row r="108" spans="1:37" ht="15.75" thickBot="1" x14ac:dyDescent="0.3">
      <c r="A108" s="74" t="s">
        <v>108</v>
      </c>
      <c r="B108" s="60">
        <f t="shared" ref="B108:AE108" si="110">B92-B107</f>
        <v>208</v>
      </c>
      <c r="C108" s="60">
        <f t="shared" si="110"/>
        <v>170</v>
      </c>
      <c r="D108" s="60">
        <f t="shared" si="110"/>
        <v>175</v>
      </c>
      <c r="E108" s="60">
        <f t="shared" si="110"/>
        <v>112</v>
      </c>
      <c r="F108" s="60">
        <f t="shared" si="110"/>
        <v>127.6</v>
      </c>
      <c r="G108" s="60">
        <f t="shared" si="110"/>
        <v>202</v>
      </c>
      <c r="H108" s="60">
        <f t="shared" si="110"/>
        <v>205</v>
      </c>
      <c r="I108" s="60">
        <f t="shared" si="110"/>
        <v>318.89999999999998</v>
      </c>
      <c r="J108" s="60">
        <f t="shared" si="110"/>
        <v>298.39999999999998</v>
      </c>
      <c r="K108" s="60">
        <f t="shared" si="110"/>
        <v>255.1</v>
      </c>
      <c r="L108" s="60">
        <f t="shared" si="110"/>
        <v>96.3</v>
      </c>
      <c r="M108" s="60">
        <f t="shared" si="110"/>
        <v>41.7</v>
      </c>
      <c r="N108" s="60">
        <f t="shared" si="110"/>
        <v>29.2</v>
      </c>
      <c r="O108" s="60">
        <f t="shared" si="110"/>
        <v>20.2</v>
      </c>
      <c r="P108" s="60">
        <f t="shared" si="110"/>
        <v>150</v>
      </c>
      <c r="Q108" s="60">
        <f t="shared" si="110"/>
        <v>279.5</v>
      </c>
      <c r="R108" s="60">
        <f t="shared" si="110"/>
        <v>351.9</v>
      </c>
      <c r="S108" s="60">
        <f t="shared" ref="S108:T108" si="111">S92-S107</f>
        <v>389.59999999999997</v>
      </c>
      <c r="T108" s="60">
        <f t="shared" si="111"/>
        <v>394</v>
      </c>
      <c r="U108" s="60">
        <f t="shared" ref="U108:V108" si="112">U92-U107</f>
        <v>365.40000000000003</v>
      </c>
      <c r="V108" s="60">
        <f t="shared" si="112"/>
        <v>108.3</v>
      </c>
      <c r="W108" s="60">
        <f t="shared" ref="W108:X108" si="113">W92-W107</f>
        <v>40.4</v>
      </c>
      <c r="X108" s="60">
        <f t="shared" si="113"/>
        <v>69.099999999999994</v>
      </c>
      <c r="Y108" s="60">
        <f t="shared" ref="Y108:Z108" si="114">Y92-Y107</f>
        <v>52.6</v>
      </c>
      <c r="Z108" s="60">
        <f t="shared" si="114"/>
        <v>66.8</v>
      </c>
      <c r="AA108" s="60">
        <f t="shared" ref="AA108" si="115">AA92-AA107</f>
        <v>84.199999999999989</v>
      </c>
      <c r="AB108" s="60">
        <f t="shared" si="110"/>
        <v>128</v>
      </c>
      <c r="AC108" s="60">
        <f t="shared" si="110"/>
        <v>221.3</v>
      </c>
      <c r="AD108" s="60">
        <f t="shared" si="110"/>
        <v>238.5</v>
      </c>
      <c r="AE108" s="60">
        <f t="shared" si="110"/>
        <v>246</v>
      </c>
      <c r="AF108" s="60">
        <f t="shared" ref="AF108" si="116">AF92-AF107</f>
        <v>182</v>
      </c>
      <c r="AG108" s="88"/>
      <c r="AH108" s="47">
        <f t="shared" si="37"/>
        <v>394</v>
      </c>
      <c r="AI108" s="48">
        <f t="shared" si="38"/>
        <v>20.2</v>
      </c>
    </row>
    <row r="109" spans="1:37" x14ac:dyDescent="0.25">
      <c r="A109" s="100" t="s">
        <v>109</v>
      </c>
      <c r="B109" s="101">
        <v>50.005000000000003</v>
      </c>
      <c r="C109" s="101">
        <v>49.966000000000001</v>
      </c>
      <c r="D109" s="101">
        <v>49.966000000000001</v>
      </c>
      <c r="E109" s="101">
        <v>50.006</v>
      </c>
      <c r="F109" s="101">
        <v>49.954000000000001</v>
      </c>
      <c r="G109" s="101">
        <v>49.984999999999999</v>
      </c>
      <c r="H109" s="101">
        <v>50.003999999999998</v>
      </c>
      <c r="I109" s="101">
        <v>50.027000000000001</v>
      </c>
      <c r="J109" s="101">
        <v>49.92</v>
      </c>
      <c r="K109" s="101">
        <v>50.067</v>
      </c>
      <c r="L109" s="101">
        <v>50.027000000000001</v>
      </c>
      <c r="M109" s="101">
        <v>50.014000000000003</v>
      </c>
      <c r="N109" s="101">
        <v>50.02</v>
      </c>
      <c r="O109" s="101">
        <v>49.917999999999999</v>
      </c>
      <c r="P109" s="101">
        <v>50.002000000000002</v>
      </c>
      <c r="Q109" s="101">
        <v>50.006999999999998</v>
      </c>
      <c r="R109" s="101">
        <v>49.948999999999998</v>
      </c>
      <c r="S109" s="101">
        <v>50.09</v>
      </c>
      <c r="T109" s="101">
        <v>49.99</v>
      </c>
      <c r="U109" s="101">
        <v>49.98</v>
      </c>
      <c r="V109" s="101">
        <v>50</v>
      </c>
      <c r="W109" s="101">
        <v>49.91</v>
      </c>
      <c r="X109" s="101">
        <v>49.92</v>
      </c>
      <c r="Y109" s="101">
        <v>50.02</v>
      </c>
      <c r="Z109" s="101">
        <v>49.93</v>
      </c>
      <c r="AA109" s="101">
        <v>49.88</v>
      </c>
      <c r="AB109" s="101">
        <v>49.99</v>
      </c>
      <c r="AC109" s="101">
        <v>49.99</v>
      </c>
      <c r="AD109" s="101">
        <v>50.039000000000001</v>
      </c>
      <c r="AE109" s="101">
        <v>50.078000000000003</v>
      </c>
      <c r="AF109" s="101">
        <v>50.02</v>
      </c>
      <c r="AG109" s="102"/>
      <c r="AH109" s="47">
        <f t="shared" si="37"/>
        <v>50.09</v>
      </c>
      <c r="AI109" s="48">
        <f t="shared" si="38"/>
        <v>49.88</v>
      </c>
    </row>
    <row r="110" spans="1:37" x14ac:dyDescent="0.25">
      <c r="A110" s="103" t="s">
        <v>110</v>
      </c>
      <c r="B110" s="65">
        <v>129.19999999999999</v>
      </c>
      <c r="C110" s="65">
        <v>129.9</v>
      </c>
      <c r="D110" s="65">
        <v>130.19999999999999</v>
      </c>
      <c r="E110" s="65">
        <v>130.80000000000001</v>
      </c>
      <c r="F110" s="65">
        <v>130.4</v>
      </c>
      <c r="G110" s="65">
        <v>129.19999999999999</v>
      </c>
      <c r="H110" s="65">
        <v>127.1</v>
      </c>
      <c r="I110" s="65">
        <v>126.2</v>
      </c>
      <c r="J110" s="65">
        <v>126.5</v>
      </c>
      <c r="K110" s="65">
        <v>124.1</v>
      </c>
      <c r="L110" s="65">
        <v>125.5</v>
      </c>
      <c r="M110" s="65">
        <v>127.3</v>
      </c>
      <c r="N110" s="65">
        <v>126.3</v>
      </c>
      <c r="O110" s="65">
        <v>125.2</v>
      </c>
      <c r="P110" s="65">
        <v>126</v>
      </c>
      <c r="Q110" s="65">
        <v>127.2</v>
      </c>
      <c r="R110" s="65">
        <v>126.7</v>
      </c>
      <c r="S110" s="65">
        <v>124.8</v>
      </c>
      <c r="T110" s="65">
        <v>124.5</v>
      </c>
      <c r="U110" s="65">
        <v>125.6</v>
      </c>
      <c r="V110" s="65">
        <v>127.5</v>
      </c>
      <c r="W110" s="65">
        <v>127.5</v>
      </c>
      <c r="X110" s="65">
        <v>125.7</v>
      </c>
      <c r="Y110" s="65">
        <v>127.9</v>
      </c>
      <c r="Z110" s="65">
        <v>128.80000000000001</v>
      </c>
      <c r="AA110" s="65">
        <v>128.19999999999999</v>
      </c>
      <c r="AB110" s="65">
        <v>128</v>
      </c>
      <c r="AC110" s="65">
        <v>128</v>
      </c>
      <c r="AD110" s="65">
        <v>128.1</v>
      </c>
      <c r="AE110" s="65">
        <v>128.80000000000001</v>
      </c>
      <c r="AF110" s="65">
        <v>130.80000000000001</v>
      </c>
      <c r="AG110" s="104"/>
      <c r="AH110" s="47">
        <f t="shared" si="37"/>
        <v>130.80000000000001</v>
      </c>
      <c r="AI110" s="48">
        <f t="shared" si="38"/>
        <v>124.1</v>
      </c>
    </row>
    <row r="111" spans="1:37" x14ac:dyDescent="0.25">
      <c r="A111" s="103" t="s">
        <v>111</v>
      </c>
      <c r="B111" s="65">
        <v>132.9</v>
      </c>
      <c r="C111" s="65">
        <v>133.6</v>
      </c>
      <c r="D111" s="65">
        <v>134</v>
      </c>
      <c r="E111" s="65">
        <v>134.19999999999999</v>
      </c>
      <c r="F111" s="65">
        <v>133.6</v>
      </c>
      <c r="G111" s="65">
        <v>132.5</v>
      </c>
      <c r="H111" s="65">
        <v>130.4</v>
      </c>
      <c r="I111" s="65">
        <v>129.80000000000001</v>
      </c>
      <c r="J111" s="65">
        <v>129.80000000000001</v>
      </c>
      <c r="K111" s="65">
        <v>127.3</v>
      </c>
      <c r="L111" s="65">
        <v>127.4</v>
      </c>
      <c r="M111" s="65">
        <v>128.80000000000001</v>
      </c>
      <c r="N111" s="65">
        <v>128</v>
      </c>
      <c r="O111" s="65">
        <v>127.7</v>
      </c>
      <c r="P111" s="65">
        <v>128</v>
      </c>
      <c r="Q111" s="65">
        <v>129.9</v>
      </c>
      <c r="R111" s="65">
        <v>129.5</v>
      </c>
      <c r="S111" s="65">
        <v>128</v>
      </c>
      <c r="T111" s="65">
        <v>127.9</v>
      </c>
      <c r="U111" s="65">
        <v>128.5</v>
      </c>
      <c r="V111" s="65">
        <v>130.1</v>
      </c>
      <c r="W111" s="65">
        <v>130.1</v>
      </c>
      <c r="X111" s="65">
        <v>128</v>
      </c>
      <c r="Y111" s="65">
        <v>129.6</v>
      </c>
      <c r="Z111" s="65">
        <v>130.4</v>
      </c>
      <c r="AA111" s="65">
        <v>130.19999999999999</v>
      </c>
      <c r="AB111" s="65">
        <v>130</v>
      </c>
      <c r="AC111" s="65">
        <v>130</v>
      </c>
      <c r="AD111" s="65">
        <v>131.19999999999999</v>
      </c>
      <c r="AE111" s="65">
        <v>132.19999999999999</v>
      </c>
      <c r="AF111" s="65">
        <v>134.30000000000001</v>
      </c>
      <c r="AG111" s="104"/>
      <c r="AH111" s="47">
        <f t="shared" si="37"/>
        <v>134.30000000000001</v>
      </c>
      <c r="AI111" s="48">
        <f t="shared" si="38"/>
        <v>127.3</v>
      </c>
    </row>
    <row r="112" spans="1:37" x14ac:dyDescent="0.25">
      <c r="A112" s="103" t="s">
        <v>112</v>
      </c>
      <c r="B112" s="65">
        <v>131.4</v>
      </c>
      <c r="C112" s="65">
        <v>132</v>
      </c>
      <c r="D112" s="65">
        <v>133</v>
      </c>
      <c r="E112" s="65">
        <v>131.9</v>
      </c>
      <c r="F112" s="65">
        <v>130.4</v>
      </c>
      <c r="G112" s="65">
        <v>127.8</v>
      </c>
      <c r="H112" s="65">
        <v>128.6</v>
      </c>
      <c r="I112" s="65">
        <v>128.30000000000001</v>
      </c>
      <c r="J112" s="65">
        <v>126.4</v>
      </c>
      <c r="K112" s="65">
        <v>124.5</v>
      </c>
      <c r="L112" s="65">
        <v>124.2</v>
      </c>
      <c r="M112" s="65">
        <v>126.9</v>
      </c>
      <c r="N112" s="65">
        <v>126.9</v>
      </c>
      <c r="O112" s="65">
        <v>126.7</v>
      </c>
      <c r="P112" s="65">
        <v>126.8</v>
      </c>
      <c r="Q112" s="65">
        <v>129.4</v>
      </c>
      <c r="R112" s="65">
        <v>130.69999999999999</v>
      </c>
      <c r="S112" s="65">
        <v>125.8</v>
      </c>
      <c r="T112" s="65">
        <v>126.7</v>
      </c>
      <c r="U112" s="65">
        <v>129.4</v>
      </c>
      <c r="V112" s="65">
        <v>129.9</v>
      </c>
      <c r="W112" s="65">
        <v>129.9</v>
      </c>
      <c r="X112" s="65">
        <v>126.6</v>
      </c>
      <c r="Y112" s="65">
        <v>130.4</v>
      </c>
      <c r="Z112" s="65">
        <v>130.41</v>
      </c>
      <c r="AA112" s="65">
        <v>129.30000000000001</v>
      </c>
      <c r="AB112" s="65">
        <v>132</v>
      </c>
      <c r="AC112" s="65">
        <v>132</v>
      </c>
      <c r="AD112" s="65">
        <v>131.1</v>
      </c>
      <c r="AE112" s="65">
        <v>127.6</v>
      </c>
      <c r="AF112" s="65">
        <v>127.1</v>
      </c>
      <c r="AG112" s="104"/>
      <c r="AH112" s="47">
        <f t="shared" si="37"/>
        <v>133</v>
      </c>
      <c r="AI112" s="48">
        <f t="shared" si="38"/>
        <v>124.2</v>
      </c>
    </row>
    <row r="113" spans="1:35" x14ac:dyDescent="0.25">
      <c r="A113" s="105" t="s">
        <v>113</v>
      </c>
      <c r="B113" s="65">
        <v>133.4</v>
      </c>
      <c r="C113" s="65">
        <v>134</v>
      </c>
      <c r="D113" s="65">
        <v>135</v>
      </c>
      <c r="E113" s="65">
        <v>135</v>
      </c>
      <c r="F113" s="65">
        <v>134</v>
      </c>
      <c r="G113" s="65">
        <v>131</v>
      </c>
      <c r="H113" s="65">
        <v>129.9</v>
      </c>
      <c r="I113" s="65">
        <v>128.9</v>
      </c>
      <c r="J113" s="65">
        <v>128.69999999999999</v>
      </c>
      <c r="K113" s="65">
        <v>126.6</v>
      </c>
      <c r="L113" s="65">
        <v>126.1</v>
      </c>
      <c r="M113" s="65">
        <v>127</v>
      </c>
      <c r="N113" s="65">
        <v>127</v>
      </c>
      <c r="O113" s="65">
        <v>128</v>
      </c>
      <c r="P113" s="65">
        <v>128</v>
      </c>
      <c r="Q113" s="65">
        <v>131.6</v>
      </c>
      <c r="R113" s="65">
        <v>132.6</v>
      </c>
      <c r="S113" s="65">
        <v>127.3</v>
      </c>
      <c r="T113" s="65">
        <v>128.30000000000001</v>
      </c>
      <c r="U113" s="65">
        <v>129.9</v>
      </c>
      <c r="V113" s="65">
        <v>129.9</v>
      </c>
      <c r="W113" s="65">
        <v>129.9</v>
      </c>
      <c r="X113" s="65">
        <v>125.1</v>
      </c>
      <c r="Y113" s="65">
        <v>131.4</v>
      </c>
      <c r="Z113" s="65">
        <v>132</v>
      </c>
      <c r="AA113" s="65">
        <v>131.69999999999999</v>
      </c>
      <c r="AB113" s="65">
        <v>134</v>
      </c>
      <c r="AC113" s="65">
        <v>134</v>
      </c>
      <c r="AD113" s="65">
        <v>133.30000000000001</v>
      </c>
      <c r="AE113" s="65">
        <v>131.19999999999999</v>
      </c>
      <c r="AF113" s="65">
        <v>131.19999999999999</v>
      </c>
      <c r="AG113" s="104"/>
      <c r="AH113" s="47">
        <f t="shared" si="37"/>
        <v>135</v>
      </c>
      <c r="AI113" s="48">
        <f t="shared" si="38"/>
        <v>125.1</v>
      </c>
    </row>
    <row r="114" spans="1:35" x14ac:dyDescent="0.25">
      <c r="A114" s="105" t="s">
        <v>114</v>
      </c>
      <c r="B114" s="106">
        <v>135.30000000000001</v>
      </c>
      <c r="C114" s="106">
        <v>134.80000000000001</v>
      </c>
      <c r="D114" s="106">
        <v>135</v>
      </c>
      <c r="E114" s="106">
        <v>134.30000000000001</v>
      </c>
      <c r="F114" s="106">
        <v>134</v>
      </c>
      <c r="G114" s="106">
        <v>133.19999999999999</v>
      </c>
      <c r="H114" s="106">
        <v>132.9</v>
      </c>
      <c r="I114" s="106">
        <v>131.30000000000001</v>
      </c>
      <c r="J114" s="106">
        <v>131</v>
      </c>
      <c r="K114" s="106">
        <v>131.1</v>
      </c>
      <c r="L114" s="106">
        <v>132.4</v>
      </c>
      <c r="M114" s="106">
        <v>132.6</v>
      </c>
      <c r="N114" s="106">
        <v>132.6</v>
      </c>
      <c r="O114" s="106">
        <v>131.9</v>
      </c>
      <c r="P114" s="106"/>
      <c r="Q114" s="106">
        <v>134</v>
      </c>
      <c r="R114" s="106">
        <v>133.19999999999999</v>
      </c>
      <c r="S114" s="106">
        <v>130.19999999999999</v>
      </c>
      <c r="T114" s="106">
        <v>48.6</v>
      </c>
      <c r="U114" s="106">
        <v>132.30000000000001</v>
      </c>
      <c r="V114" s="106">
        <v>134.69999999999999</v>
      </c>
      <c r="W114" s="106">
        <v>134.69999999999999</v>
      </c>
      <c r="X114" s="106">
        <v>132.5</v>
      </c>
      <c r="Y114" s="106">
        <v>136.69999999999999</v>
      </c>
      <c r="Z114" s="106">
        <v>135.6</v>
      </c>
      <c r="AA114" s="106">
        <v>136.19999999999999</v>
      </c>
      <c r="AB114" s="106">
        <v>135</v>
      </c>
      <c r="AC114" s="106">
        <v>135</v>
      </c>
      <c r="AD114" s="106">
        <v>134.9</v>
      </c>
      <c r="AE114" s="106">
        <v>136.1</v>
      </c>
      <c r="AF114" s="106">
        <v>136.5</v>
      </c>
      <c r="AG114" s="107"/>
      <c r="AH114" s="47">
        <f t="shared" si="37"/>
        <v>136.69999999999999</v>
      </c>
      <c r="AI114" s="48">
        <f t="shared" si="38"/>
        <v>48.6</v>
      </c>
    </row>
    <row r="115" spans="1:35" x14ac:dyDescent="0.25">
      <c r="A115" s="103" t="s">
        <v>115</v>
      </c>
      <c r="B115" s="65">
        <v>130.69999999999999</v>
      </c>
      <c r="C115" s="65">
        <v>127</v>
      </c>
      <c r="D115" s="65">
        <v>132</v>
      </c>
      <c r="E115" s="65">
        <v>132.9</v>
      </c>
      <c r="F115" s="65">
        <v>132.9</v>
      </c>
      <c r="G115" s="65">
        <v>131.5</v>
      </c>
      <c r="H115" s="65">
        <v>129.69999999999999</v>
      </c>
      <c r="I115" s="65">
        <v>134.5</v>
      </c>
      <c r="J115" s="65">
        <v>133.5</v>
      </c>
      <c r="K115" s="65">
        <v>132.69999999999999</v>
      </c>
      <c r="L115" s="65">
        <v>127.4</v>
      </c>
      <c r="M115" s="65">
        <v>127.6</v>
      </c>
      <c r="N115" s="65">
        <v>127.6</v>
      </c>
      <c r="O115" s="65">
        <v>131.80000000000001</v>
      </c>
      <c r="P115" s="65">
        <v>131.80000000000001</v>
      </c>
      <c r="Q115" s="65">
        <v>133.6</v>
      </c>
      <c r="R115" s="65">
        <v>135.19999999999999</v>
      </c>
      <c r="S115" s="65">
        <v>130.9</v>
      </c>
      <c r="T115" s="65">
        <v>132.5</v>
      </c>
      <c r="U115" s="65">
        <v>128.5</v>
      </c>
      <c r="V115" s="65">
        <v>135.6</v>
      </c>
      <c r="W115" s="65">
        <v>135.6</v>
      </c>
      <c r="X115" s="65">
        <v>130.9</v>
      </c>
      <c r="Y115" s="65">
        <v>128.6</v>
      </c>
      <c r="Z115" s="65">
        <v>129.1</v>
      </c>
      <c r="AA115" s="65">
        <v>129.1</v>
      </c>
      <c r="AB115" s="65">
        <v>131</v>
      </c>
      <c r="AC115" s="65">
        <v>131</v>
      </c>
      <c r="AD115" s="65">
        <v>135.4</v>
      </c>
      <c r="AE115" s="65">
        <v>132.5</v>
      </c>
      <c r="AF115" s="65">
        <v>130.6</v>
      </c>
      <c r="AG115" s="104"/>
      <c r="AH115" s="47">
        <f t="shared" si="37"/>
        <v>135.6</v>
      </c>
      <c r="AI115" s="48">
        <f t="shared" si="38"/>
        <v>127</v>
      </c>
    </row>
    <row r="116" spans="1:35" ht="15.75" thickBot="1" x14ac:dyDescent="0.3">
      <c r="A116" s="103" t="s">
        <v>116</v>
      </c>
      <c r="B116" s="92">
        <v>66.8</v>
      </c>
      <c r="C116" s="92">
        <v>67</v>
      </c>
      <c r="D116" s="92">
        <v>67</v>
      </c>
      <c r="E116" s="92">
        <v>67.2</v>
      </c>
      <c r="F116" s="92">
        <v>67</v>
      </c>
      <c r="G116" s="92">
        <v>66.400000000000006</v>
      </c>
      <c r="H116" s="92">
        <v>65.400000000000006</v>
      </c>
      <c r="I116" s="92">
        <v>65.3</v>
      </c>
      <c r="J116" s="92">
        <v>65.2</v>
      </c>
      <c r="K116" s="92">
        <v>63.7</v>
      </c>
      <c r="L116" s="92">
        <v>64.099999999999994</v>
      </c>
      <c r="M116" s="92">
        <v>64.7</v>
      </c>
      <c r="N116" s="92">
        <v>64.7</v>
      </c>
      <c r="O116" s="92">
        <v>63.9</v>
      </c>
      <c r="P116" s="92">
        <v>64.3</v>
      </c>
      <c r="Q116" s="92">
        <v>65</v>
      </c>
      <c r="R116" s="92">
        <v>64.8</v>
      </c>
      <c r="S116" s="92">
        <v>64.099999999999994</v>
      </c>
      <c r="T116" s="92">
        <v>64.099999999999994</v>
      </c>
      <c r="U116" s="92">
        <v>64.400000000000006</v>
      </c>
      <c r="V116" s="92">
        <v>65.3</v>
      </c>
      <c r="W116" s="92">
        <v>65.3</v>
      </c>
      <c r="X116" s="92">
        <v>64.5</v>
      </c>
      <c r="Y116" s="92">
        <v>64.900000000000006</v>
      </c>
      <c r="Z116" s="92">
        <v>65.3</v>
      </c>
      <c r="AA116" s="92">
        <v>65.400000000000006</v>
      </c>
      <c r="AB116" s="92">
        <v>65.400000000000006</v>
      </c>
      <c r="AC116" s="92">
        <v>65.400000000000006</v>
      </c>
      <c r="AD116" s="92">
        <v>65.7</v>
      </c>
      <c r="AE116" s="92">
        <v>66.3</v>
      </c>
      <c r="AF116" s="92">
        <v>67.400000000000006</v>
      </c>
      <c r="AG116" s="108"/>
      <c r="AH116" s="47">
        <f t="shared" si="37"/>
        <v>67.400000000000006</v>
      </c>
      <c r="AI116" s="48">
        <f t="shared" si="38"/>
        <v>63.7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7"/>
        <v>0</v>
      </c>
      <c r="AI117" s="48">
        <f t="shared" si="38"/>
        <v>0</v>
      </c>
    </row>
    <row r="118" spans="1:35" ht="15.75" thickBot="1" x14ac:dyDescent="0.3">
      <c r="A118" s="110" t="s">
        <v>118</v>
      </c>
      <c r="B118" s="111">
        <f>SUM(B22,B28,B31:B32,B66,B68:B69,B71,B73,B119:B123,B148,B154,B160,B169,B171,B183,B190,B193:B194,B201,B203,B205,B209:B211,B213:B215,B220,B226:B227,B229:B231,B239,B244)</f>
        <v>99.94</v>
      </c>
      <c r="C118" s="111">
        <f t="shared" ref="C118:O118" si="117">SUM(C22,C28,C31:C32,C66,C68:C69,C71,C73,C119:C123,C148,C154,C160,C169,C171,C183,C190,C193:C194,C201,C203,C205,C209:C211,C213:C215,C220,C226:C227,C229:C231,C239,C244)</f>
        <v>88.14</v>
      </c>
      <c r="D118" s="111">
        <f>SUM(D22,D28,D31:D32,D66,D68:D69,D71,D73,D119:D123,D148,D154,D160,D169,D171,D183,D190,D193:D194,D201,D203,D205,D209:D211,D213:D215,D220,D226:D227,D229:D231,D239,D244)</f>
        <v>68.140000000000015</v>
      </c>
      <c r="E118" s="111">
        <f t="shared" si="117"/>
        <v>74.34</v>
      </c>
      <c r="F118" s="111">
        <f t="shared" si="117"/>
        <v>92.04</v>
      </c>
      <c r="G118" s="111">
        <f t="shared" si="117"/>
        <v>108.24</v>
      </c>
      <c r="H118" s="111">
        <f t="shared" si="117"/>
        <v>129.94</v>
      </c>
      <c r="I118" s="111">
        <f t="shared" si="117"/>
        <v>194.04000000000002</v>
      </c>
      <c r="J118" s="111">
        <f t="shared" si="117"/>
        <v>227.26</v>
      </c>
      <c r="K118" s="111">
        <f t="shared" si="117"/>
        <v>272.18800000000005</v>
      </c>
      <c r="L118" s="111">
        <f t="shared" si="117"/>
        <v>351.71999999999997</v>
      </c>
      <c r="M118" s="111">
        <f t="shared" si="117"/>
        <v>301.24</v>
      </c>
      <c r="N118" s="111">
        <f t="shared" si="117"/>
        <v>273.54000000000002</v>
      </c>
      <c r="O118" s="111">
        <f t="shared" si="117"/>
        <v>264.04000000000002</v>
      </c>
      <c r="P118" s="111">
        <v>42</v>
      </c>
      <c r="Q118" s="111">
        <f t="shared" ref="Q118:AE118" si="118">SUM(Q22,Q28,Q31:Q32,Q66,Q68:Q69,Q71,Q73,Q119:Q123,Q148,Q154,Q160,Q169,Q171,Q183,Q190,Q193:Q194,Q201,Q203,Q205,Q209:Q211,Q213:Q215,Q220,Q226:Q227,Q229:Q231,Q239,Q244)</f>
        <v>242.74</v>
      </c>
      <c r="R118" s="111">
        <f t="shared" si="118"/>
        <v>233.24</v>
      </c>
      <c r="S118" s="111">
        <f t="shared" ref="S118:T118" si="119">SUM(S22,S28,S31:S32,S66,S68:S69,S71,S73,S119:S123,S148,S154,S160,S169,S171,S183,S190,S193:S194,S201,S203,S205,S209:S211,S213:S215,S220,S226:S227,S229:S231,S239,S244)</f>
        <v>224.29</v>
      </c>
      <c r="T118" s="111">
        <f t="shared" si="119"/>
        <v>211.94000000000003</v>
      </c>
      <c r="U118" s="111">
        <f t="shared" ref="U118:V118" si="120">SUM(U22,U28,U31:U32,U66,U68:U69,U71,U73,U119:U123,U148,U154,U160,U169,U171,U183,U190,U193:U194,U201,U203,U205,U209:U211,U213:U215,U220,U226:U227,U229:U231,U239,U244)</f>
        <v>228.49</v>
      </c>
      <c r="V118" s="111">
        <f t="shared" si="120"/>
        <v>226.99</v>
      </c>
      <c r="W118" s="111">
        <f t="shared" ref="W118:X118" si="121">SUM(W22,W28,W31:W32,W66,W68:W69,W71,W73,W119:W123,W148,W154,W160,W169,W171,W183,W190,W193:W194,W201,W203,W205,W209:W211,W213:W215,W220,W226:W227,W229:W231,W239,W244)</f>
        <v>249.54</v>
      </c>
      <c r="X118" s="111">
        <f t="shared" si="121"/>
        <v>305.58</v>
      </c>
      <c r="Y118" s="111">
        <f t="shared" ref="Y118:Z118" si="122">SUM(Y22,Y28,Y31:Y32,Y66,Y68:Y69,Y71,Y73,Y119:Y123,Y148,Y154,Y160,Y169,Y171,Y183,Y190,Y193:Y194,Y201,Y203,Y205,Y209:Y211,Y213:Y215,Y220,Y226:Y227,Y229:Y231,Y239,Y244)</f>
        <v>315.42</v>
      </c>
      <c r="Z118" s="111">
        <f t="shared" si="122"/>
        <v>289.39</v>
      </c>
      <c r="AA118" s="111">
        <f t="shared" ref="AA118" si="123">SUM(AA22,AA28,AA31:AA32,AA66,AA68:AA69,AA71,AA73,AA119:AA123,AA148,AA154,AA160,AA169,AA171,AA183,AA190,AA193:AA194,AA201,AA203,AA205,AA209:AA211,AA213:AA215,AA220,AA226:AA227,AA229:AA231,AA239,AA244)</f>
        <v>290.11999999999995</v>
      </c>
      <c r="AB118" s="111">
        <f t="shared" si="118"/>
        <v>309.94</v>
      </c>
      <c r="AC118" s="111">
        <f t="shared" si="118"/>
        <v>284.83999999999997</v>
      </c>
      <c r="AD118" s="111"/>
      <c r="AE118" s="111">
        <f t="shared" si="118"/>
        <v>185.76</v>
      </c>
      <c r="AF118" s="111">
        <f t="shared" ref="AF118" si="124">SUM(AF22,AF28,AF31:AF32,AF66,AF68:AF69,AF71,AF73,AF119:AF123,AF148,AF154,AF160,AF169,AF171,AF183,AF190,AF193:AF194,AF201,AF203,AF205,AF209:AF211,AF213:AF215,AF220,AF226:AF227,AF229:AF231,AF239,AF244)</f>
        <v>103.70400000000001</v>
      </c>
      <c r="AG118" s="112"/>
      <c r="AH118" s="47">
        <f t="shared" si="37"/>
        <v>351.71999999999997</v>
      </c>
      <c r="AI118" s="48">
        <f t="shared" si="38"/>
        <v>42</v>
      </c>
    </row>
    <row r="119" spans="1:35" x14ac:dyDescent="0.25">
      <c r="A119" s="181" t="s">
        <v>119</v>
      </c>
      <c r="B119" s="113">
        <v>0</v>
      </c>
      <c r="C119" s="113">
        <v>0</v>
      </c>
      <c r="D119" s="113">
        <v>0</v>
      </c>
      <c r="E119" s="113">
        <v>0</v>
      </c>
      <c r="F119" s="113">
        <v>16</v>
      </c>
      <c r="G119" s="113">
        <v>0</v>
      </c>
      <c r="H119" s="113">
        <v>0</v>
      </c>
      <c r="I119" s="113">
        <v>0</v>
      </c>
      <c r="J119" s="113">
        <f>125/5</f>
        <v>25</v>
      </c>
      <c r="K119" s="113">
        <v>26</v>
      </c>
      <c r="L119" s="113">
        <f>185/5</f>
        <v>37</v>
      </c>
      <c r="M119" s="113">
        <v>0</v>
      </c>
      <c r="N119" s="113">
        <v>0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  <c r="Z119" s="113">
        <v>0</v>
      </c>
      <c r="AA119" s="113">
        <v>0</v>
      </c>
      <c r="AB119" s="113">
        <v>45</v>
      </c>
      <c r="AC119" s="113">
        <v>41</v>
      </c>
      <c r="AD119" s="113">
        <v>40</v>
      </c>
      <c r="AE119" s="113">
        <v>0</v>
      </c>
      <c r="AF119" s="113">
        <v>0</v>
      </c>
      <c r="AG119" s="114">
        <v>75</v>
      </c>
      <c r="AH119" s="47">
        <f t="shared" si="37"/>
        <v>45</v>
      </c>
      <c r="AI119" s="48">
        <f t="shared" si="38"/>
        <v>0</v>
      </c>
    </row>
    <row r="120" spans="1:35" x14ac:dyDescent="0.25">
      <c r="A120" s="182" t="s">
        <v>120</v>
      </c>
      <c r="B120" s="115">
        <v>7.3</v>
      </c>
      <c r="C120" s="115">
        <v>7.6</v>
      </c>
      <c r="D120" s="115">
        <v>20</v>
      </c>
      <c r="E120" s="115">
        <v>17</v>
      </c>
      <c r="F120" s="115">
        <v>21.4</v>
      </c>
      <c r="G120" s="115">
        <v>17.5</v>
      </c>
      <c r="H120" s="115">
        <v>33.700000000000003</v>
      </c>
      <c r="I120" s="115">
        <v>23.9</v>
      </c>
      <c r="J120" s="115">
        <v>33.9</v>
      </c>
      <c r="K120" s="115">
        <v>38.799999999999997</v>
      </c>
      <c r="L120" s="115">
        <v>51.5</v>
      </c>
      <c r="M120" s="115">
        <v>51</v>
      </c>
      <c r="N120" s="115">
        <v>51</v>
      </c>
      <c r="O120" s="115">
        <v>61</v>
      </c>
      <c r="P120" s="115">
        <v>67</v>
      </c>
      <c r="Q120" s="115">
        <v>49.3</v>
      </c>
      <c r="R120" s="115">
        <v>30</v>
      </c>
      <c r="S120" s="115">
        <v>32.5</v>
      </c>
      <c r="T120" s="115">
        <v>32.5</v>
      </c>
      <c r="U120" s="115">
        <v>40.799999999999997</v>
      </c>
      <c r="V120" s="115">
        <v>57.3</v>
      </c>
      <c r="W120" s="115">
        <v>57.1</v>
      </c>
      <c r="X120" s="115">
        <v>51.1</v>
      </c>
      <c r="Y120" s="115">
        <v>47.4</v>
      </c>
      <c r="Z120" s="115">
        <v>55.1</v>
      </c>
      <c r="AA120" s="115">
        <v>63.4</v>
      </c>
      <c r="AB120" s="115">
        <v>66</v>
      </c>
      <c r="AC120" s="115">
        <v>55</v>
      </c>
      <c r="AD120" s="115">
        <v>39.630000000000003</v>
      </c>
      <c r="AE120" s="115">
        <v>14.9</v>
      </c>
      <c r="AF120" s="115">
        <v>6.2</v>
      </c>
      <c r="AG120" s="114">
        <v>240</v>
      </c>
      <c r="AH120" s="47">
        <f t="shared" si="37"/>
        <v>67</v>
      </c>
      <c r="AI120" s="48">
        <f t="shared" si="38"/>
        <v>6.2</v>
      </c>
    </row>
    <row r="121" spans="1:35" x14ac:dyDescent="0.25">
      <c r="A121" s="182" t="s">
        <v>121</v>
      </c>
      <c r="B121" s="115">
        <v>-24</v>
      </c>
      <c r="C121" s="115">
        <v>-30</v>
      </c>
      <c r="D121" s="115">
        <v>-59</v>
      </c>
      <c r="E121" s="115">
        <v>-50.6</v>
      </c>
      <c r="F121" s="115">
        <v>-54.5</v>
      </c>
      <c r="G121" s="115">
        <v>-32.200000000000003</v>
      </c>
      <c r="H121" s="115">
        <v>-36</v>
      </c>
      <c r="I121" s="115">
        <v>-36.299999999999997</v>
      </c>
      <c r="J121" s="115">
        <v>-44</v>
      </c>
      <c r="K121" s="115">
        <v>-33.5</v>
      </c>
      <c r="L121" s="115">
        <v>-9.36</v>
      </c>
      <c r="M121" s="115">
        <v>-3.2</v>
      </c>
      <c r="N121" s="115">
        <v>-3.2</v>
      </c>
      <c r="O121" s="115">
        <f>-11-14</f>
        <v>-25</v>
      </c>
      <c r="P121" s="115">
        <f>-15-18</f>
        <v>-33</v>
      </c>
      <c r="Q121" s="115">
        <f>-11-13.2</f>
        <v>-24.2</v>
      </c>
      <c r="R121" s="115">
        <f>-10.5-11.6</f>
        <v>-22.1</v>
      </c>
      <c r="S121" s="115">
        <v>-30</v>
      </c>
      <c r="T121" s="115">
        <v>-38</v>
      </c>
      <c r="U121" s="115">
        <v>-25.6</v>
      </c>
      <c r="V121" s="115">
        <v>-38</v>
      </c>
      <c r="W121" s="115">
        <v>-46</v>
      </c>
      <c r="X121" s="115">
        <v>-22</v>
      </c>
      <c r="Y121" s="115">
        <v>-15</v>
      </c>
      <c r="Z121" s="115">
        <v>-18</v>
      </c>
      <c r="AA121" s="115">
        <v>-14.3</v>
      </c>
      <c r="AB121" s="115">
        <v>-15</v>
      </c>
      <c r="AC121" s="115">
        <v>-20</v>
      </c>
      <c r="AD121" s="115">
        <v>-26.5</v>
      </c>
      <c r="AE121" s="115">
        <v>-32</v>
      </c>
      <c r="AF121" s="115">
        <v>-56.3</v>
      </c>
      <c r="AG121" s="114">
        <v>240</v>
      </c>
      <c r="AH121" s="47">
        <f t="shared" si="37"/>
        <v>-3.2</v>
      </c>
      <c r="AI121" s="48">
        <f t="shared" si="38"/>
        <v>-59</v>
      </c>
    </row>
    <row r="122" spans="1:35" ht="15.75" thickBot="1" x14ac:dyDescent="0.3">
      <c r="A122" s="182" t="s">
        <v>122</v>
      </c>
      <c r="B122" s="115">
        <v>5.9</v>
      </c>
      <c r="C122" s="115">
        <v>3.8</v>
      </c>
      <c r="D122" s="115">
        <v>1.4</v>
      </c>
      <c r="E122" s="115">
        <v>1.3</v>
      </c>
      <c r="F122" s="115">
        <v>0</v>
      </c>
      <c r="G122" s="115">
        <v>4.5999999999999996</v>
      </c>
      <c r="H122" s="115">
        <v>5.0999999999999996</v>
      </c>
      <c r="I122" s="115">
        <v>5.9</v>
      </c>
      <c r="J122" s="115">
        <v>8</v>
      </c>
      <c r="K122" s="115">
        <v>11.8</v>
      </c>
      <c r="L122" s="115">
        <v>23.3</v>
      </c>
      <c r="M122" s="115">
        <v>22.6</v>
      </c>
      <c r="N122" s="115">
        <v>22.6</v>
      </c>
      <c r="O122" s="115">
        <v>14.4</v>
      </c>
      <c r="P122" s="115">
        <v>13.1</v>
      </c>
      <c r="Q122" s="115">
        <v>13.3</v>
      </c>
      <c r="R122" s="115">
        <v>11.6</v>
      </c>
      <c r="S122" s="115">
        <v>10.199999999999999</v>
      </c>
      <c r="T122" s="115">
        <v>9.4</v>
      </c>
      <c r="U122" s="115">
        <v>11.4</v>
      </c>
      <c r="V122" s="115">
        <v>39.9</v>
      </c>
      <c r="W122" s="115">
        <v>45</v>
      </c>
      <c r="X122" s="115">
        <v>49.5</v>
      </c>
      <c r="Y122" s="115">
        <v>52.2</v>
      </c>
      <c r="Z122" s="115">
        <v>47.9</v>
      </c>
      <c r="AA122" s="115">
        <v>26.2</v>
      </c>
      <c r="AB122" s="115">
        <v>19</v>
      </c>
      <c r="AC122" s="115">
        <v>15</v>
      </c>
      <c r="AD122" s="115">
        <v>12.6</v>
      </c>
      <c r="AE122" s="115">
        <v>9.4</v>
      </c>
      <c r="AF122" s="115">
        <v>2</v>
      </c>
      <c r="AG122" s="114">
        <v>60</v>
      </c>
      <c r="AH122" s="47">
        <f t="shared" si="37"/>
        <v>52.2</v>
      </c>
      <c r="AI122" s="48">
        <f t="shared" si="38"/>
        <v>0</v>
      </c>
    </row>
    <row r="123" spans="1:35" x14ac:dyDescent="0.25">
      <c r="A123" s="181" t="s">
        <v>267</v>
      </c>
      <c r="B123" s="117">
        <v>-11</v>
      </c>
      <c r="C123" s="117">
        <v>-15</v>
      </c>
      <c r="D123" s="117">
        <v>-16</v>
      </c>
      <c r="E123" s="117">
        <v>-18.2</v>
      </c>
      <c r="F123" s="117">
        <v>-15.8</v>
      </c>
      <c r="G123" s="117">
        <v>-6.6</v>
      </c>
      <c r="H123" s="117">
        <v>2.5</v>
      </c>
      <c r="I123" s="117">
        <f>75/45.9*45.9</f>
        <v>75</v>
      </c>
      <c r="J123" s="117">
        <f>1.64*48</f>
        <v>78.72</v>
      </c>
      <c r="K123" s="117">
        <f>1.64*63.2</f>
        <v>103.648</v>
      </c>
      <c r="L123" s="117">
        <f>1.64*76</f>
        <v>124.63999999999999</v>
      </c>
      <c r="M123" s="117">
        <f>70*1.5</f>
        <v>105</v>
      </c>
      <c r="N123" s="117">
        <v>75</v>
      </c>
      <c r="O123" s="117">
        <f>56*1.5</f>
        <v>84</v>
      </c>
      <c r="P123" s="117">
        <f>41*1.5</f>
        <v>61.5</v>
      </c>
      <c r="Q123" s="117">
        <f>45*1.5</f>
        <v>67.5</v>
      </c>
      <c r="R123" s="117">
        <f>52*1.5</f>
        <v>78</v>
      </c>
      <c r="S123" s="117">
        <f>53.1*1.5</f>
        <v>79.650000000000006</v>
      </c>
      <c r="T123" s="117">
        <f>54*1.5</f>
        <v>81</v>
      </c>
      <c r="U123" s="117">
        <f>51.9*1.5</f>
        <v>77.849999999999994</v>
      </c>
      <c r="V123" s="117">
        <f>31.7*1.5</f>
        <v>47.55</v>
      </c>
      <c r="W123" s="117">
        <f>49*1.5</f>
        <v>73.5</v>
      </c>
      <c r="X123" s="117">
        <f>66.9*1.6</f>
        <v>107.04000000000002</v>
      </c>
      <c r="Y123" s="117">
        <f>69.3*1.6</f>
        <v>110.88</v>
      </c>
      <c r="Z123" s="117">
        <f>56.3*1.5</f>
        <v>84.449999999999989</v>
      </c>
      <c r="AA123" s="117">
        <f>59.3*1.6</f>
        <v>94.88</v>
      </c>
      <c r="AB123" s="117">
        <v>75</v>
      </c>
      <c r="AC123" s="117">
        <v>71</v>
      </c>
      <c r="AD123" s="117">
        <f>1.64*41.5</f>
        <v>68.06</v>
      </c>
      <c r="AE123" s="117">
        <f>1.64*40.5</f>
        <v>66.42</v>
      </c>
      <c r="AF123" s="117">
        <f>1.64*15.1</f>
        <v>24.763999999999999</v>
      </c>
      <c r="AG123" s="118">
        <v>120</v>
      </c>
      <c r="AH123" s="47">
        <f t="shared" si="37"/>
        <v>124.63999999999999</v>
      </c>
      <c r="AI123" s="48">
        <f t="shared" si="38"/>
        <v>-18.2</v>
      </c>
    </row>
    <row r="124" spans="1:35" x14ac:dyDescent="0.25">
      <c r="A124" s="182" t="s">
        <v>266</v>
      </c>
      <c r="B124" s="117">
        <v>49</v>
      </c>
      <c r="C124" s="117">
        <v>44</v>
      </c>
      <c r="D124" s="117">
        <v>42</v>
      </c>
      <c r="E124" s="117">
        <v>40.799999999999997</v>
      </c>
      <c r="F124" s="117">
        <v>42.8</v>
      </c>
      <c r="G124" s="117">
        <v>57.7</v>
      </c>
      <c r="H124" s="117">
        <v>71.7</v>
      </c>
      <c r="I124" s="117">
        <v>72.900000000000006</v>
      </c>
      <c r="J124" s="117">
        <v>74.3</v>
      </c>
      <c r="K124" s="117">
        <v>87.9</v>
      </c>
      <c r="L124" s="117">
        <v>96.2</v>
      </c>
      <c r="M124" s="117">
        <v>89.4</v>
      </c>
      <c r="N124" s="117">
        <v>89.4</v>
      </c>
      <c r="O124" s="117">
        <v>79.5</v>
      </c>
      <c r="P124" s="117">
        <v>66</v>
      </c>
      <c r="Q124" s="117">
        <v>69</v>
      </c>
      <c r="R124" s="117">
        <v>76.2</v>
      </c>
      <c r="S124" s="117">
        <v>74.900000000000006</v>
      </c>
      <c r="T124" s="117">
        <v>76.5</v>
      </c>
      <c r="U124" s="117">
        <v>76.599999999999994</v>
      </c>
      <c r="V124" s="117">
        <v>59.1</v>
      </c>
      <c r="W124" s="117">
        <v>73.599999999999994</v>
      </c>
      <c r="X124" s="117">
        <v>88.2</v>
      </c>
      <c r="Y124" s="117">
        <v>90.4</v>
      </c>
      <c r="Z124" s="117">
        <v>79.5</v>
      </c>
      <c r="AA124" s="117">
        <v>82.4</v>
      </c>
      <c r="AB124" s="117">
        <v>78.400000000000006</v>
      </c>
      <c r="AC124" s="117">
        <v>73</v>
      </c>
      <c r="AD124" s="117">
        <v>70</v>
      </c>
      <c r="AE124" s="117">
        <v>68.3</v>
      </c>
      <c r="AF124" s="117">
        <v>48.3</v>
      </c>
      <c r="AG124" s="118"/>
      <c r="AH124" s="47">
        <f t="shared" si="37"/>
        <v>96.2</v>
      </c>
      <c r="AI124" s="48">
        <f t="shared" si="38"/>
        <v>40.799999999999997</v>
      </c>
    </row>
    <row r="125" spans="1:35" x14ac:dyDescent="0.25">
      <c r="A125" s="182" t="s">
        <v>263</v>
      </c>
      <c r="B125" s="117">
        <v>22</v>
      </c>
      <c r="C125" s="117">
        <v>-17</v>
      </c>
      <c r="D125" s="117">
        <v>-16</v>
      </c>
      <c r="E125" s="117">
        <v>-14</v>
      </c>
      <c r="F125" s="117">
        <v>-16</v>
      </c>
      <c r="G125" s="117">
        <v>-24.4</v>
      </c>
      <c r="H125" s="117">
        <v>-33.799999999999997</v>
      </c>
      <c r="I125" s="117">
        <v>-1.5</v>
      </c>
      <c r="J125" s="117">
        <v>-10.6</v>
      </c>
      <c r="K125" s="117">
        <v>-23.2</v>
      </c>
      <c r="L125" s="117">
        <v>-36.700000000000003</v>
      </c>
      <c r="M125" s="117">
        <v>-45.1</v>
      </c>
      <c r="N125" s="117">
        <v>-45.1</v>
      </c>
      <c r="O125" s="117">
        <v>-40.700000000000003</v>
      </c>
      <c r="P125" s="117">
        <v>-38.799999999999997</v>
      </c>
      <c r="Q125" s="117">
        <v>-22.2</v>
      </c>
      <c r="R125" s="117">
        <v>1.9</v>
      </c>
      <c r="S125" s="117">
        <v>1.1000000000000001</v>
      </c>
      <c r="T125" s="117">
        <v>1.5</v>
      </c>
      <c r="U125" s="117">
        <v>-10.199999999999999</v>
      </c>
      <c r="V125" s="117">
        <v>-52.9</v>
      </c>
      <c r="W125" s="117">
        <v>-58.9</v>
      </c>
      <c r="X125" s="117">
        <v>-63.6</v>
      </c>
      <c r="Y125" s="117">
        <v>-65.2</v>
      </c>
      <c r="Z125" s="117">
        <v>-76.8</v>
      </c>
      <c r="AA125" s="117">
        <v>-61.3</v>
      </c>
      <c r="AB125" s="117">
        <v>-61</v>
      </c>
      <c r="AC125" s="117">
        <v>-42.3</v>
      </c>
      <c r="AD125" s="117">
        <v>-21.5</v>
      </c>
      <c r="AE125" s="117">
        <v>3.4</v>
      </c>
      <c r="AF125" s="117">
        <v>18.7</v>
      </c>
      <c r="AG125" s="118"/>
      <c r="AH125" s="47">
        <f t="shared" si="37"/>
        <v>22</v>
      </c>
      <c r="AI125" s="48">
        <f t="shared" si="38"/>
        <v>-76.8</v>
      </c>
    </row>
    <row r="126" spans="1:35" ht="15.75" thickBot="1" x14ac:dyDescent="0.3">
      <c r="A126" s="182" t="s">
        <v>260</v>
      </c>
      <c r="B126" s="117">
        <v>73.8</v>
      </c>
      <c r="C126" s="117">
        <v>75</v>
      </c>
      <c r="D126" s="117">
        <v>41</v>
      </c>
      <c r="E126" s="117">
        <v>52</v>
      </c>
      <c r="F126" s="117">
        <v>43.6</v>
      </c>
      <c r="G126" s="117">
        <v>62.7</v>
      </c>
      <c r="H126" s="117">
        <v>63.6</v>
      </c>
      <c r="I126" s="117">
        <v>69.8</v>
      </c>
      <c r="J126" s="117">
        <v>74.5</v>
      </c>
      <c r="K126" s="117">
        <v>68.900000000000006</v>
      </c>
      <c r="L126" s="117">
        <v>78</v>
      </c>
      <c r="M126" s="117">
        <v>65</v>
      </c>
      <c r="N126" s="117">
        <v>60</v>
      </c>
      <c r="O126" s="117">
        <v>62.7</v>
      </c>
      <c r="P126" s="117">
        <v>57</v>
      </c>
      <c r="Q126" s="117">
        <v>68.5</v>
      </c>
      <c r="R126" s="117">
        <v>78.400000000000006</v>
      </c>
      <c r="S126" s="117">
        <v>78.3</v>
      </c>
      <c r="T126" s="117">
        <v>76.900000000000006</v>
      </c>
      <c r="U126" s="117">
        <v>73.8</v>
      </c>
      <c r="V126" s="117">
        <v>37.799999999999997</v>
      </c>
      <c r="W126" s="117">
        <v>46.1</v>
      </c>
      <c r="X126" s="117">
        <v>58.9</v>
      </c>
      <c r="Y126" s="117">
        <v>56.6</v>
      </c>
      <c r="Z126" s="117">
        <v>49.9</v>
      </c>
      <c r="AA126" s="117">
        <v>60.9</v>
      </c>
      <c r="AB126" s="117">
        <v>59.6</v>
      </c>
      <c r="AC126" s="117">
        <v>56</v>
      </c>
      <c r="AD126" s="117">
        <v>59.3</v>
      </c>
      <c r="AE126" s="117">
        <v>65.3</v>
      </c>
      <c r="AF126" s="117">
        <v>38.4</v>
      </c>
      <c r="AG126" s="114"/>
      <c r="AH126" s="47">
        <f t="shared" si="37"/>
        <v>78.400000000000006</v>
      </c>
      <c r="AI126" s="48">
        <f t="shared" si="38"/>
        <v>37.799999999999997</v>
      </c>
    </row>
    <row r="127" spans="1:35" x14ac:dyDescent="0.25">
      <c r="A127" s="181" t="s">
        <v>264</v>
      </c>
      <c r="B127" s="117">
        <v>8</v>
      </c>
      <c r="C127" s="117">
        <v>12</v>
      </c>
      <c r="D127" s="117">
        <v>10</v>
      </c>
      <c r="E127" s="117">
        <v>14.3</v>
      </c>
      <c r="F127" s="117">
        <v>5.3</v>
      </c>
      <c r="G127" s="117">
        <v>8.74</v>
      </c>
      <c r="H127" s="117">
        <v>0</v>
      </c>
      <c r="I127" s="117">
        <v>13</v>
      </c>
      <c r="J127" s="117">
        <v>1.3</v>
      </c>
      <c r="K127" s="117">
        <v>0</v>
      </c>
      <c r="L127" s="117">
        <v>-6.8</v>
      </c>
      <c r="M127" s="117">
        <v>-4.7</v>
      </c>
      <c r="N127" s="117">
        <v>-4.7</v>
      </c>
      <c r="O127" s="117">
        <v>-7.1</v>
      </c>
      <c r="P127" s="117">
        <v>-13.6</v>
      </c>
      <c r="Q127" s="117">
        <v>-13</v>
      </c>
      <c r="R127" s="117">
        <v>-6.2</v>
      </c>
      <c r="S127" s="117">
        <v>-2.7</v>
      </c>
      <c r="T127" s="117">
        <v>-3.8</v>
      </c>
      <c r="U127" s="117">
        <v>-10.8</v>
      </c>
      <c r="V127" s="117">
        <v>-20.100000000000001</v>
      </c>
      <c r="W127" s="117">
        <v>-17.2</v>
      </c>
      <c r="X127" s="117">
        <v>-10.5</v>
      </c>
      <c r="Y127" s="117">
        <v>3.2</v>
      </c>
      <c r="Z127" s="117">
        <v>-2.7</v>
      </c>
      <c r="AA127" s="117">
        <v>-10.8</v>
      </c>
      <c r="AB127" s="117">
        <v>-11</v>
      </c>
      <c r="AC127" s="117">
        <v>-10</v>
      </c>
      <c r="AD127" s="117">
        <v>-13</v>
      </c>
      <c r="AE127" s="117">
        <v>-1</v>
      </c>
      <c r="AF127" s="117">
        <v>5.0999999999999996</v>
      </c>
      <c r="AG127" s="114"/>
      <c r="AH127" s="47">
        <f t="shared" si="37"/>
        <v>14.3</v>
      </c>
      <c r="AI127" s="48">
        <f t="shared" si="38"/>
        <v>-20.100000000000001</v>
      </c>
    </row>
    <row r="128" spans="1:35" x14ac:dyDescent="0.25">
      <c r="A128" s="182" t="s">
        <v>126</v>
      </c>
      <c r="B128" s="106">
        <v>6</v>
      </c>
      <c r="C128" s="106">
        <v>7</v>
      </c>
      <c r="D128" s="106">
        <v>10</v>
      </c>
      <c r="E128" s="106">
        <v>9.9</v>
      </c>
      <c r="F128" s="106">
        <v>9.6</v>
      </c>
      <c r="G128" s="106">
        <v>5.5</v>
      </c>
      <c r="H128" s="106">
        <v>-3.9</v>
      </c>
      <c r="I128" s="106">
        <v>-10.5</v>
      </c>
      <c r="J128" s="106">
        <v>-13.2</v>
      </c>
      <c r="K128" s="106">
        <v>-21.4</v>
      </c>
      <c r="L128" s="106">
        <v>-25.5</v>
      </c>
      <c r="M128" s="106">
        <v>-25.2</v>
      </c>
      <c r="N128" s="106">
        <v>-25.2</v>
      </c>
      <c r="O128" s="106">
        <v>-7.9</v>
      </c>
      <c r="P128" s="106">
        <v>-9.1999999999999993</v>
      </c>
      <c r="Q128" s="106">
        <v>-4.2</v>
      </c>
      <c r="R128" s="106">
        <v>-1.5</v>
      </c>
      <c r="S128" s="106">
        <v>-9.1999999999999993</v>
      </c>
      <c r="T128" s="106">
        <v>-8.9</v>
      </c>
      <c r="U128" s="106">
        <v>-14.5</v>
      </c>
      <c r="V128" s="106">
        <v>-19.899999999999999</v>
      </c>
      <c r="W128" s="106">
        <v>-39.200000000000003</v>
      </c>
      <c r="X128" s="106">
        <v>-42.6</v>
      </c>
      <c r="Y128" s="106">
        <v>-33.299999999999997</v>
      </c>
      <c r="Z128" s="106">
        <v>-27</v>
      </c>
      <c r="AA128" s="106">
        <v>-21.4</v>
      </c>
      <c r="AB128" s="106">
        <v>-15.3</v>
      </c>
      <c r="AC128" s="106">
        <v>-6</v>
      </c>
      <c r="AD128" s="106">
        <v>-4.9000000000000004</v>
      </c>
      <c r="AE128" s="106">
        <v>0.8</v>
      </c>
      <c r="AF128" s="106">
        <v>5.4</v>
      </c>
      <c r="AG128" s="114"/>
      <c r="AH128" s="47">
        <f t="shared" si="37"/>
        <v>10</v>
      </c>
      <c r="AI128" s="48">
        <f t="shared" si="38"/>
        <v>-42.6</v>
      </c>
    </row>
    <row r="129" spans="1:37" x14ac:dyDescent="0.25">
      <c r="A129" s="182" t="s">
        <v>268</v>
      </c>
      <c r="B129" s="106">
        <v>23</v>
      </c>
      <c r="C129" s="106">
        <v>28</v>
      </c>
      <c r="D129" s="106">
        <v>45</v>
      </c>
      <c r="E129" s="106">
        <v>40.4</v>
      </c>
      <c r="F129" s="106">
        <v>48</v>
      </c>
      <c r="G129" s="106">
        <v>28.9</v>
      </c>
      <c r="H129" s="106">
        <v>39.700000000000003</v>
      </c>
      <c r="I129" s="106">
        <v>32.200000000000003</v>
      </c>
      <c r="J129" s="106">
        <v>40.6</v>
      </c>
      <c r="K129" s="106">
        <v>38.299999999999997</v>
      </c>
      <c r="L129" s="106">
        <v>21.4</v>
      </c>
      <c r="M129" s="106">
        <v>22</v>
      </c>
      <c r="N129" s="106">
        <v>22</v>
      </c>
      <c r="O129" s="106">
        <v>35.299999999999997</v>
      </c>
      <c r="P129" s="106">
        <v>47</v>
      </c>
      <c r="Q129" s="106">
        <v>35.4</v>
      </c>
      <c r="R129" s="106">
        <v>25.6</v>
      </c>
      <c r="S129" s="106">
        <v>29.4</v>
      </c>
      <c r="T129" s="106">
        <v>35.1</v>
      </c>
      <c r="U129" s="106">
        <v>32.200000000000003</v>
      </c>
      <c r="V129" s="106">
        <v>65.5</v>
      </c>
      <c r="W129" s="106">
        <v>59.1</v>
      </c>
      <c r="X129" s="106">
        <v>31.2</v>
      </c>
      <c r="Y129" s="106">
        <v>25.2</v>
      </c>
      <c r="Z129" s="106">
        <v>31.1</v>
      </c>
      <c r="AA129" s="106">
        <v>28.4</v>
      </c>
      <c r="AB129" s="106">
        <v>30.5</v>
      </c>
      <c r="AC129" s="106">
        <v>32</v>
      </c>
      <c r="AD129" s="106">
        <v>37.5</v>
      </c>
      <c r="AE129" s="106">
        <v>31.9</v>
      </c>
      <c r="AF129" s="106">
        <v>43</v>
      </c>
      <c r="AG129" s="114"/>
      <c r="AH129" s="47">
        <f t="shared" si="37"/>
        <v>65.5</v>
      </c>
      <c r="AI129" s="48">
        <f t="shared" si="38"/>
        <v>21.4</v>
      </c>
    </row>
    <row r="130" spans="1:37" x14ac:dyDescent="0.25">
      <c r="A130" s="182" t="s">
        <v>265</v>
      </c>
      <c r="B130" s="106">
        <v>67</v>
      </c>
      <c r="C130" s="106">
        <v>60.9</v>
      </c>
      <c r="D130" s="106">
        <v>65</v>
      </c>
      <c r="E130" s="106">
        <v>40</v>
      </c>
      <c r="F130" s="106">
        <v>45.3</v>
      </c>
      <c r="G130" s="106">
        <v>49.3</v>
      </c>
      <c r="H130" s="106"/>
      <c r="I130" s="106">
        <v>65</v>
      </c>
      <c r="J130" s="106">
        <v>75.3</v>
      </c>
      <c r="K130" s="106">
        <v>85.9</v>
      </c>
      <c r="L130" s="106">
        <v>87.5</v>
      </c>
      <c r="M130" s="106">
        <v>104</v>
      </c>
      <c r="N130" s="106">
        <v>104</v>
      </c>
      <c r="O130" s="106">
        <v>84.8</v>
      </c>
      <c r="P130" s="106">
        <v>90.5</v>
      </c>
      <c r="Q130" s="106">
        <v>77.099999999999994</v>
      </c>
      <c r="R130" s="106">
        <v>80.900000000000006</v>
      </c>
      <c r="S130" s="106">
        <v>-70</v>
      </c>
      <c r="T130" s="106">
        <v>97.9</v>
      </c>
      <c r="U130" s="106">
        <v>96</v>
      </c>
      <c r="V130" s="106">
        <v>94</v>
      </c>
      <c r="W130" s="106">
        <v>112.8</v>
      </c>
      <c r="X130" s="106">
        <v>120.1</v>
      </c>
      <c r="Y130" s="106">
        <v>106.9</v>
      </c>
      <c r="Z130" s="106">
        <v>98.9</v>
      </c>
      <c r="AA130" s="106">
        <v>94.5</v>
      </c>
      <c r="AB130" s="106">
        <v>94.2</v>
      </c>
      <c r="AC130" s="106">
        <v>70</v>
      </c>
      <c r="AD130" s="106">
        <v>60.6</v>
      </c>
      <c r="AE130" s="106">
        <v>48.6</v>
      </c>
      <c r="AF130" s="106">
        <v>49.3</v>
      </c>
      <c r="AG130" s="114"/>
      <c r="AH130" s="47">
        <f t="shared" si="37"/>
        <v>120.1</v>
      </c>
      <c r="AI130" s="48">
        <f t="shared" si="38"/>
        <v>-70</v>
      </c>
    </row>
    <row r="131" spans="1:37" ht="15.75" thickBot="1" x14ac:dyDescent="0.3">
      <c r="A131" s="122" t="s">
        <v>129</v>
      </c>
      <c r="B131" s="123"/>
      <c r="C131" s="123"/>
      <c r="D131" s="123"/>
      <c r="E131" s="123"/>
      <c r="F131" s="176" t="s">
        <v>258</v>
      </c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83"/>
      <c r="AH131" s="47"/>
      <c r="AI131" s="48"/>
      <c r="AK131" s="50"/>
    </row>
    <row r="132" spans="1:37" x14ac:dyDescent="0.25">
      <c r="A132" s="125" t="s">
        <v>130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>
        <v>9.94</v>
      </c>
      <c r="AH132" s="47"/>
      <c r="AI132" s="48"/>
      <c r="AK132" s="50"/>
    </row>
    <row r="133" spans="1:37" x14ac:dyDescent="0.25">
      <c r="A133" s="103" t="s">
        <v>131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132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133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134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135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136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137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138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139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140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141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142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143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144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145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146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1">
        <v>9.9</v>
      </c>
      <c r="AH148" s="47"/>
      <c r="AI148" s="48"/>
      <c r="AK148" s="50"/>
    </row>
    <row r="149" spans="1:37" x14ac:dyDescent="0.25">
      <c r="A149" s="116" t="s">
        <v>147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9.6579999999999995</v>
      </c>
      <c r="AH149" s="47"/>
      <c r="AI149" s="48"/>
      <c r="AK149" s="50"/>
    </row>
    <row r="150" spans="1:37" x14ac:dyDescent="0.25">
      <c r="A150" s="116" t="s">
        <v>148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9.6</v>
      </c>
      <c r="AH150" s="47"/>
      <c r="AI150" s="48"/>
      <c r="AK150" s="50"/>
    </row>
    <row r="151" spans="1:37" x14ac:dyDescent="0.25">
      <c r="A151" s="116" t="s">
        <v>149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9.51</v>
      </c>
      <c r="AH151" s="47"/>
      <c r="AI151" s="48"/>
      <c r="AK151" s="50"/>
    </row>
    <row r="152" spans="1:37" x14ac:dyDescent="0.25">
      <c r="A152" s="116" t="s">
        <v>150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9.4</v>
      </c>
      <c r="AH152" s="47"/>
      <c r="AI152" s="48"/>
      <c r="AK152" s="50"/>
    </row>
    <row r="153" spans="1:37" x14ac:dyDescent="0.25">
      <c r="A153" s="116" t="s">
        <v>151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8.8000000000000007</v>
      </c>
      <c r="AH153" s="47"/>
      <c r="AI153" s="48"/>
      <c r="AK153" s="50"/>
    </row>
    <row r="154" spans="1:37" x14ac:dyDescent="0.25">
      <c r="A154" s="116" t="s">
        <v>152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8.5</v>
      </c>
      <c r="AH154" s="47"/>
      <c r="AI154" s="48"/>
      <c r="AK154" s="50"/>
    </row>
    <row r="155" spans="1:37" x14ac:dyDescent="0.25">
      <c r="A155" s="116" t="s">
        <v>153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8.5</v>
      </c>
      <c r="AH155" s="47"/>
      <c r="AI155" s="48"/>
      <c r="AK155" s="50"/>
    </row>
    <row r="156" spans="1:37" x14ac:dyDescent="0.25">
      <c r="A156" s="116" t="s">
        <v>154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8.4</v>
      </c>
      <c r="AH156" s="47"/>
      <c r="AI156" s="48"/>
      <c r="AK156" s="50"/>
    </row>
    <row r="157" spans="1:37" ht="13.5" customHeight="1" x14ac:dyDescent="0.25">
      <c r="A157" s="116" t="s">
        <v>155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8</v>
      </c>
      <c r="AH157" s="47"/>
      <c r="AI157" s="48"/>
      <c r="AK157" s="50"/>
    </row>
    <row r="158" spans="1:37" x14ac:dyDescent="0.25">
      <c r="A158" s="116" t="s">
        <v>156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</v>
      </c>
      <c r="AH158" s="47"/>
      <c r="AI158" s="48"/>
      <c r="AK158" s="50"/>
    </row>
    <row r="159" spans="1:37" x14ac:dyDescent="0.25">
      <c r="A159" s="116" t="s">
        <v>157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</v>
      </c>
      <c r="AH159" s="47"/>
      <c r="AI159" s="48"/>
      <c r="AK159" s="50"/>
    </row>
    <row r="160" spans="1:37" x14ac:dyDescent="0.25">
      <c r="A160" s="116" t="s">
        <v>158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7.8</v>
      </c>
      <c r="AH160" s="47"/>
      <c r="AI160" s="48"/>
      <c r="AK160" s="50"/>
    </row>
    <row r="161" spans="1:37" x14ac:dyDescent="0.25">
      <c r="A161" s="116" t="s">
        <v>159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7.6</v>
      </c>
      <c r="AH161" s="47"/>
      <c r="AI161" s="48"/>
      <c r="AK161" s="50"/>
    </row>
    <row r="162" spans="1:37" x14ac:dyDescent="0.25">
      <c r="A162" s="116" t="s">
        <v>160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7.5</v>
      </c>
      <c r="AH162" s="47"/>
      <c r="AI162" s="48"/>
      <c r="AK162" s="50"/>
    </row>
    <row r="163" spans="1:37" x14ac:dyDescent="0.25">
      <c r="A163" s="116" t="s">
        <v>161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7.5</v>
      </c>
      <c r="AH163" s="47"/>
      <c r="AI163" s="48"/>
      <c r="AK163" s="50"/>
    </row>
    <row r="164" spans="1:37" x14ac:dyDescent="0.25">
      <c r="A164" s="116" t="s">
        <v>162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7</v>
      </c>
      <c r="AH164" s="47"/>
      <c r="AI164" s="48"/>
      <c r="AK164" s="50"/>
    </row>
    <row r="165" spans="1:37" x14ac:dyDescent="0.25">
      <c r="A165" s="116" t="s">
        <v>163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</v>
      </c>
      <c r="AH165" s="47"/>
      <c r="AI165" s="48"/>
      <c r="AK165" s="50"/>
    </row>
    <row r="166" spans="1:37" x14ac:dyDescent="0.25">
      <c r="A166" s="116" t="s">
        <v>164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</v>
      </c>
      <c r="AH166" s="47"/>
      <c r="AI166" s="48"/>
      <c r="AK166" s="50"/>
    </row>
    <row r="167" spans="1:37" x14ac:dyDescent="0.25">
      <c r="A167" s="116" t="s">
        <v>165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</v>
      </c>
      <c r="AH167" s="47"/>
      <c r="AI167" s="48"/>
      <c r="AK167" s="50"/>
    </row>
    <row r="168" spans="1:37" x14ac:dyDescent="0.25">
      <c r="A168" s="116" t="s">
        <v>166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6.6</v>
      </c>
      <c r="AH168" s="47"/>
      <c r="AI168" s="48"/>
      <c r="AK168" s="50"/>
    </row>
    <row r="169" spans="1:37" x14ac:dyDescent="0.25">
      <c r="A169" s="116" t="s">
        <v>167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6.6</v>
      </c>
      <c r="AH169" s="47"/>
      <c r="AI169" s="48"/>
      <c r="AK169" s="50"/>
    </row>
    <row r="170" spans="1:37" x14ac:dyDescent="0.25">
      <c r="A170" s="116" t="s">
        <v>168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6.4</v>
      </c>
      <c r="AH170" s="47"/>
      <c r="AI170" s="48"/>
      <c r="AK170" s="50"/>
    </row>
    <row r="171" spans="1:37" x14ac:dyDescent="0.25">
      <c r="A171" s="116" t="s">
        <v>169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6</v>
      </c>
      <c r="AH171" s="47"/>
      <c r="AI171" s="48"/>
      <c r="AK171" s="50"/>
    </row>
    <row r="172" spans="1:37" x14ac:dyDescent="0.25">
      <c r="A172" s="116" t="s">
        <v>170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5.0999999999999996</v>
      </c>
      <c r="AH172" s="47"/>
      <c r="AI172" s="48"/>
      <c r="AK172" s="50"/>
    </row>
    <row r="173" spans="1:37" x14ac:dyDescent="0.25">
      <c r="A173" s="116" t="s">
        <v>171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5</v>
      </c>
      <c r="AH173" s="47"/>
      <c r="AI173" s="48"/>
      <c r="AK173" s="50"/>
    </row>
    <row r="174" spans="1:37" x14ac:dyDescent="0.25">
      <c r="A174" s="103" t="s">
        <v>172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1">
        <v>5</v>
      </c>
      <c r="AH174" s="47"/>
      <c r="AI174" s="48"/>
      <c r="AK174" s="50"/>
    </row>
    <row r="175" spans="1:37" x14ac:dyDescent="0.25">
      <c r="A175" s="116" t="s">
        <v>173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5</v>
      </c>
      <c r="AH175" s="47"/>
      <c r="AI175" s="48"/>
      <c r="AK175" s="50"/>
    </row>
    <row r="176" spans="1:37" x14ac:dyDescent="0.25">
      <c r="A176" s="116" t="s">
        <v>174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5</v>
      </c>
      <c r="AH176" s="47"/>
      <c r="AI176" s="48"/>
      <c r="AK176" s="50"/>
    </row>
    <row r="177" spans="1:37" x14ac:dyDescent="0.25">
      <c r="A177" s="116" t="s">
        <v>175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</v>
      </c>
      <c r="AH177" s="47"/>
      <c r="AI177" s="48"/>
      <c r="AK177" s="50"/>
    </row>
    <row r="178" spans="1:37" x14ac:dyDescent="0.25">
      <c r="A178" s="116" t="s">
        <v>176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16" t="s">
        <v>177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</v>
      </c>
      <c r="AH179" s="47"/>
      <c r="AI179" s="48"/>
      <c r="AK179" s="50"/>
    </row>
    <row r="180" spans="1:37" x14ac:dyDescent="0.25">
      <c r="A180" s="116" t="s">
        <v>178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4.9930000000000003</v>
      </c>
      <c r="AH180" s="47"/>
      <c r="AI180" s="48"/>
      <c r="AK180" s="50"/>
    </row>
    <row r="181" spans="1:37" x14ac:dyDescent="0.25">
      <c r="A181" s="116" t="s">
        <v>179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4.9800000000000004</v>
      </c>
      <c r="AH181" s="47"/>
      <c r="AI181" s="48"/>
      <c r="AK181" s="50"/>
    </row>
    <row r="182" spans="1:37" x14ac:dyDescent="0.25">
      <c r="A182" s="116" t="s">
        <v>180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4.95</v>
      </c>
      <c r="AH182" s="47"/>
      <c r="AI182" s="48"/>
      <c r="AK182" s="50"/>
    </row>
    <row r="183" spans="1:37" x14ac:dyDescent="0.25">
      <c r="A183" s="116" t="s">
        <v>181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4.95</v>
      </c>
      <c r="AH183" s="47"/>
      <c r="AI183" s="48"/>
      <c r="AK183" s="50"/>
    </row>
    <row r="184" spans="1:37" x14ac:dyDescent="0.25">
      <c r="A184" s="116" t="s">
        <v>182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4.8</v>
      </c>
      <c r="AH184" s="47"/>
      <c r="AI184" s="48"/>
      <c r="AK184" s="50"/>
    </row>
    <row r="185" spans="1:37" x14ac:dyDescent="0.25">
      <c r="A185" s="116" t="s">
        <v>183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4.8</v>
      </c>
      <c r="AH185" s="47"/>
      <c r="AI185" s="48"/>
      <c r="AK185" s="50"/>
    </row>
    <row r="186" spans="1:37" x14ac:dyDescent="0.25">
      <c r="A186" s="116" t="s">
        <v>184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4.8</v>
      </c>
      <c r="AH186" s="47"/>
      <c r="AI186" s="48"/>
      <c r="AK186" s="50"/>
    </row>
    <row r="187" spans="1:37" x14ac:dyDescent="0.25">
      <c r="A187" s="116" t="s">
        <v>185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4.5</v>
      </c>
      <c r="AH187" s="47"/>
      <c r="AI187" s="48"/>
      <c r="AK187" s="50"/>
    </row>
    <row r="188" spans="1:37" x14ac:dyDescent="0.25">
      <c r="A188" s="116" t="s">
        <v>186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4.5</v>
      </c>
      <c r="AH188" s="47"/>
      <c r="AI188" s="48"/>
      <c r="AK188" s="50"/>
    </row>
    <row r="189" spans="1:37" x14ac:dyDescent="0.25">
      <c r="A189" s="116" t="s">
        <v>187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4.4550000000000001</v>
      </c>
      <c r="AH189" s="47"/>
      <c r="AI189" s="48"/>
      <c r="AK189" s="50"/>
    </row>
    <row r="190" spans="1:37" x14ac:dyDescent="0.25">
      <c r="A190" s="116" t="s">
        <v>188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4.41</v>
      </c>
      <c r="AH190" s="47"/>
      <c r="AI190" s="48"/>
      <c r="AK190" s="50"/>
    </row>
    <row r="191" spans="1:37" x14ac:dyDescent="0.25">
      <c r="A191" s="116" t="s">
        <v>189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4.4000000000000004</v>
      </c>
      <c r="AH191" s="47"/>
      <c r="AI191" s="48"/>
      <c r="AK191" s="50"/>
    </row>
    <row r="192" spans="1:37" x14ac:dyDescent="0.25">
      <c r="A192" s="116" t="s">
        <v>190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4.3600000000000003</v>
      </c>
      <c r="AH192" s="47"/>
      <c r="AI192" s="48"/>
      <c r="AK192" s="50"/>
    </row>
    <row r="193" spans="1:37" x14ac:dyDescent="0.25">
      <c r="A193" s="116" t="s">
        <v>191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4.2</v>
      </c>
      <c r="AH193" s="47"/>
      <c r="AI193" s="48"/>
      <c r="AK193" s="50"/>
    </row>
    <row r="194" spans="1:37" x14ac:dyDescent="0.25">
      <c r="A194" s="116" t="s">
        <v>192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</v>
      </c>
      <c r="AH194" s="47"/>
      <c r="AI194" s="48"/>
      <c r="AK194" s="50"/>
    </row>
    <row r="195" spans="1:37" x14ac:dyDescent="0.25">
      <c r="A195" s="116" t="s">
        <v>193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</v>
      </c>
      <c r="AH195" s="47"/>
      <c r="AI195" s="48"/>
      <c r="AK195" s="50"/>
    </row>
    <row r="196" spans="1:37" x14ac:dyDescent="0.25">
      <c r="A196" s="116" t="s">
        <v>194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</v>
      </c>
      <c r="AH196" s="47"/>
      <c r="AI196" s="48"/>
      <c r="AK196" s="50"/>
    </row>
    <row r="197" spans="1:37" x14ac:dyDescent="0.25">
      <c r="A197" s="116" t="s">
        <v>195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</v>
      </c>
      <c r="AH197" s="47"/>
      <c r="AI197" s="48"/>
      <c r="AK197" s="50"/>
    </row>
    <row r="198" spans="1:37" x14ac:dyDescent="0.25">
      <c r="A198" s="116" t="s">
        <v>196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</v>
      </c>
      <c r="AH198" s="47"/>
      <c r="AI198" s="48"/>
      <c r="AK198" s="50"/>
    </row>
    <row r="199" spans="1:37" x14ac:dyDescent="0.25">
      <c r="A199" s="116" t="s">
        <v>197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198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199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200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3.75</v>
      </c>
      <c r="AH202" s="47"/>
      <c r="AI202" s="48"/>
      <c r="AK202" s="50"/>
    </row>
    <row r="203" spans="1:37" x14ac:dyDescent="0.25">
      <c r="A203" s="116" t="s">
        <v>201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3.52</v>
      </c>
      <c r="AH203" s="47"/>
      <c r="AI203" s="48"/>
      <c r="AK203" s="50"/>
    </row>
    <row r="204" spans="1:37" x14ac:dyDescent="0.25">
      <c r="A204" s="116" t="s">
        <v>202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3.33</v>
      </c>
      <c r="AH204" s="47"/>
      <c r="AI204" s="48"/>
      <c r="AK204" s="50"/>
    </row>
    <row r="205" spans="1:37" x14ac:dyDescent="0.25">
      <c r="A205" s="116" t="s">
        <v>203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3.2</v>
      </c>
      <c r="AH205" s="47"/>
      <c r="AI205" s="48"/>
      <c r="AK205" s="50"/>
    </row>
    <row r="206" spans="1:37" x14ac:dyDescent="0.25">
      <c r="A206" s="116" t="s">
        <v>204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3</v>
      </c>
      <c r="AH206" s="47"/>
      <c r="AI206" s="48"/>
      <c r="AK206" s="50"/>
    </row>
    <row r="207" spans="1:37" x14ac:dyDescent="0.25">
      <c r="A207" s="116" t="s">
        <v>205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</v>
      </c>
      <c r="AH207" s="47"/>
      <c r="AI207" s="48"/>
      <c r="AK207" s="50"/>
    </row>
    <row r="208" spans="1:37" x14ac:dyDescent="0.25">
      <c r="A208" s="116" t="s">
        <v>206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</v>
      </c>
      <c r="AH208" s="47"/>
      <c r="AI208" s="48"/>
      <c r="AK208" s="50"/>
    </row>
    <row r="209" spans="1:37" x14ac:dyDescent="0.25">
      <c r="A209" s="116" t="s">
        <v>207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</v>
      </c>
      <c r="AH209" s="47"/>
      <c r="AI209" s="48"/>
      <c r="AK209" s="50"/>
    </row>
    <row r="210" spans="1:37" x14ac:dyDescent="0.25">
      <c r="A210" s="116" t="s">
        <v>208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</v>
      </c>
      <c r="AH210" s="47"/>
      <c r="AI210" s="48"/>
      <c r="AK210" s="50"/>
    </row>
    <row r="211" spans="1:37" x14ac:dyDescent="0.25">
      <c r="A211" s="116" t="s">
        <v>209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210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211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212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2.83</v>
      </c>
      <c r="AH214" s="47"/>
      <c r="AI214" s="48"/>
      <c r="AK214" s="50"/>
    </row>
    <row r="215" spans="1:37" x14ac:dyDescent="0.25">
      <c r="A215" s="116" t="s">
        <v>213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2.5</v>
      </c>
      <c r="AH215" s="47"/>
      <c r="AI215" s="48"/>
      <c r="AK215" s="50"/>
    </row>
    <row r="216" spans="1:37" x14ac:dyDescent="0.25">
      <c r="A216" s="116" t="s">
        <v>214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2.5</v>
      </c>
      <c r="AH216" s="47"/>
      <c r="AI216" s="48"/>
      <c r="AK216" s="50"/>
    </row>
    <row r="217" spans="1:37" x14ac:dyDescent="0.25">
      <c r="A217" s="116" t="s">
        <v>215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2.4</v>
      </c>
      <c r="AH217" s="47"/>
      <c r="AI217" s="48"/>
      <c r="AK217" s="50"/>
    </row>
    <row r="218" spans="1:37" x14ac:dyDescent="0.25">
      <c r="A218" s="116" t="s">
        <v>216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2.4</v>
      </c>
      <c r="AH218" s="47"/>
      <c r="AI218" s="48"/>
      <c r="AK218" s="50"/>
    </row>
    <row r="219" spans="1:37" x14ac:dyDescent="0.25">
      <c r="A219" s="116" t="s">
        <v>217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2.2000000000000002</v>
      </c>
      <c r="AH219" s="47"/>
      <c r="AI219" s="48"/>
      <c r="AK219" s="50"/>
    </row>
    <row r="220" spans="1:37" x14ac:dyDescent="0.25">
      <c r="A220" s="116" t="s">
        <v>218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</v>
      </c>
      <c r="AH220" s="47"/>
      <c r="AI220" s="48"/>
      <c r="AK220" s="50"/>
    </row>
    <row r="221" spans="1:37" x14ac:dyDescent="0.25">
      <c r="A221" s="116" t="s">
        <v>219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</v>
      </c>
      <c r="AH221" s="47"/>
      <c r="AI221" s="48"/>
      <c r="AK221" s="50"/>
    </row>
    <row r="222" spans="1:37" x14ac:dyDescent="0.25">
      <c r="A222" s="116" t="s">
        <v>220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</v>
      </c>
      <c r="AH222" s="47"/>
      <c r="AI222" s="48"/>
      <c r="AK222" s="50"/>
    </row>
    <row r="223" spans="1:37" x14ac:dyDescent="0.25">
      <c r="A223" s="116" t="s">
        <v>221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1.8</v>
      </c>
      <c r="AH223" s="47"/>
      <c r="AI223" s="48"/>
      <c r="AK223" s="50"/>
    </row>
    <row r="224" spans="1:37" x14ac:dyDescent="0.25">
      <c r="A224" s="116" t="s">
        <v>222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1.8</v>
      </c>
      <c r="AH224" s="47"/>
      <c r="AI224" s="48"/>
      <c r="AK224" s="50"/>
    </row>
    <row r="225" spans="1:37" x14ac:dyDescent="0.25">
      <c r="A225" s="116" t="s">
        <v>223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1.65</v>
      </c>
      <c r="AH225" s="47"/>
      <c r="AI225" s="48"/>
      <c r="AK225" s="50"/>
    </row>
    <row r="226" spans="1:37" x14ac:dyDescent="0.25">
      <c r="A226" s="116" t="s">
        <v>224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1.5</v>
      </c>
      <c r="AH226" s="47"/>
      <c r="AI226" s="48"/>
      <c r="AK226" s="50"/>
    </row>
    <row r="227" spans="1:37" x14ac:dyDescent="0.25">
      <c r="A227" s="116" t="s">
        <v>225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0.998</v>
      </c>
      <c r="AH227" s="47"/>
      <c r="AI227" s="48"/>
      <c r="AK227" s="50"/>
    </row>
    <row r="228" spans="1:37" x14ac:dyDescent="0.25">
      <c r="A228" s="116" t="s">
        <v>226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0.997</v>
      </c>
      <c r="AH228" s="47"/>
      <c r="AI228" s="48"/>
      <c r="AK228" s="50"/>
    </row>
    <row r="229" spans="1:37" x14ac:dyDescent="0.25">
      <c r="A229" s="116" t="s">
        <v>227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0.997</v>
      </c>
      <c r="AH229" s="47"/>
      <c r="AI229" s="48"/>
      <c r="AK229" s="50"/>
    </row>
    <row r="230" spans="1:37" x14ac:dyDescent="0.25">
      <c r="A230" s="116" t="s">
        <v>228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0.996</v>
      </c>
      <c r="AH230" s="47"/>
      <c r="AI230" s="48"/>
      <c r="AK230" s="50"/>
    </row>
    <row r="231" spans="1:37" x14ac:dyDescent="0.25">
      <c r="A231" s="116" t="s">
        <v>229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0.996</v>
      </c>
      <c r="AH231" s="47"/>
      <c r="AI231" s="48"/>
      <c r="AK231" s="50"/>
    </row>
    <row r="232" spans="1:37" x14ac:dyDescent="0.25">
      <c r="A232" s="116" t="s">
        <v>230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0.996</v>
      </c>
      <c r="AH232" s="47"/>
      <c r="AI232" s="48"/>
      <c r="AK232" s="50"/>
    </row>
    <row r="233" spans="1:37" x14ac:dyDescent="0.25">
      <c r="A233" s="116" t="s">
        <v>231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0.995</v>
      </c>
      <c r="AH233" s="47"/>
      <c r="AI233" s="48"/>
      <c r="AK233" s="50"/>
    </row>
    <row r="234" spans="1:37" x14ac:dyDescent="0.25">
      <c r="A234" s="116" t="s">
        <v>232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0.99299999999999999</v>
      </c>
      <c r="AH234" s="47"/>
      <c r="AI234" s="48"/>
      <c r="AK234" s="50"/>
    </row>
    <row r="235" spans="1:37" x14ac:dyDescent="0.25">
      <c r="A235" s="116" t="s">
        <v>233</v>
      </c>
      <c r="B235" s="129"/>
      <c r="C235" s="127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</v>
      </c>
      <c r="AH235" s="47"/>
      <c r="AI235" s="48"/>
      <c r="AK235" s="50"/>
    </row>
    <row r="236" spans="1:37" ht="15.75" thickBot="1" x14ac:dyDescent="0.3">
      <c r="A236" s="116" t="s">
        <v>234</v>
      </c>
      <c r="B236" s="133"/>
      <c r="C236" s="134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2">
        <v>0.97899999999999998</v>
      </c>
      <c r="AH236" s="47"/>
      <c r="AI236" s="48"/>
      <c r="AK236" s="50"/>
    </row>
    <row r="237" spans="1:37" ht="15.75" thickBot="1" x14ac:dyDescent="0.3">
      <c r="A237" s="135" t="s">
        <v>235</v>
      </c>
      <c r="B237" s="136">
        <f t="shared" ref="B237:AG237" si="125">SUM(B132:B236)</f>
        <v>0</v>
      </c>
      <c r="C237" s="137">
        <f t="shared" si="125"/>
        <v>0</v>
      </c>
      <c r="D237" s="137">
        <f t="shared" si="125"/>
        <v>0</v>
      </c>
      <c r="E237" s="137">
        <f t="shared" si="125"/>
        <v>0</v>
      </c>
      <c r="F237" s="137">
        <f t="shared" si="125"/>
        <v>0</v>
      </c>
      <c r="G237" s="137">
        <f t="shared" si="125"/>
        <v>0</v>
      </c>
      <c r="H237" s="137">
        <f t="shared" si="125"/>
        <v>0</v>
      </c>
      <c r="I237" s="137">
        <f t="shared" si="125"/>
        <v>0</v>
      </c>
      <c r="J237" s="137">
        <f t="shared" si="125"/>
        <v>0</v>
      </c>
      <c r="K237" s="137">
        <f t="shared" si="125"/>
        <v>0</v>
      </c>
      <c r="L237" s="137">
        <f t="shared" si="125"/>
        <v>0</v>
      </c>
      <c r="M237" s="137">
        <f t="shared" si="125"/>
        <v>0</v>
      </c>
      <c r="N237" s="137">
        <f t="shared" si="125"/>
        <v>0</v>
      </c>
      <c r="O237" s="137">
        <f t="shared" si="125"/>
        <v>0</v>
      </c>
      <c r="P237" s="137">
        <f t="shared" si="125"/>
        <v>0</v>
      </c>
      <c r="Q237" s="137">
        <f t="shared" si="125"/>
        <v>0</v>
      </c>
      <c r="R237" s="137">
        <f t="shared" si="125"/>
        <v>0</v>
      </c>
      <c r="S237" s="137">
        <f t="shared" si="125"/>
        <v>0</v>
      </c>
      <c r="T237" s="137">
        <f t="shared" si="125"/>
        <v>0</v>
      </c>
      <c r="U237" s="137">
        <f t="shared" si="125"/>
        <v>0</v>
      </c>
      <c r="V237" s="137">
        <f t="shared" si="125"/>
        <v>0</v>
      </c>
      <c r="W237" s="137">
        <f t="shared" si="125"/>
        <v>0</v>
      </c>
      <c r="X237" s="137">
        <f t="shared" si="125"/>
        <v>0</v>
      </c>
      <c r="Y237" s="137">
        <f t="shared" si="125"/>
        <v>0</v>
      </c>
      <c r="Z237" s="137">
        <f t="shared" si="125"/>
        <v>0</v>
      </c>
      <c r="AA237" s="137">
        <f t="shared" si="125"/>
        <v>0</v>
      </c>
      <c r="AB237" s="137">
        <f t="shared" si="125"/>
        <v>0</v>
      </c>
      <c r="AC237" s="137">
        <f t="shared" si="125"/>
        <v>0</v>
      </c>
      <c r="AD237" s="137">
        <f t="shared" si="125"/>
        <v>0</v>
      </c>
      <c r="AE237" s="137">
        <f t="shared" si="125"/>
        <v>0</v>
      </c>
      <c r="AF237" s="138">
        <f t="shared" si="125"/>
        <v>0</v>
      </c>
      <c r="AG237" s="139">
        <f t="shared" si="125"/>
        <v>412.72299999999984</v>
      </c>
      <c r="AH237" s="47"/>
      <c r="AI237" s="48"/>
      <c r="AK237" s="50"/>
    </row>
    <row r="238" spans="1:37" ht="15.75" thickBot="1" x14ac:dyDescent="0.3">
      <c r="A238" s="26" t="s">
        <v>75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19"/>
      <c r="AH238" s="47"/>
      <c r="AI238" s="48"/>
      <c r="AK238" s="50"/>
    </row>
    <row r="239" spans="1:37" x14ac:dyDescent="0.25">
      <c r="A239" s="100" t="s">
        <v>236</v>
      </c>
      <c r="B239" s="141">
        <f t="shared" ref="B239:B244" si="126">AF239</f>
        <v>0.3</v>
      </c>
      <c r="C239" s="141">
        <v>0.3</v>
      </c>
      <c r="D239" s="141">
        <f t="shared" ref="D239:S244" si="127">C239</f>
        <v>0.3</v>
      </c>
      <c r="E239" s="141">
        <f t="shared" si="127"/>
        <v>0.3</v>
      </c>
      <c r="F239" s="141">
        <f t="shared" si="127"/>
        <v>0.3</v>
      </c>
      <c r="G239" s="141">
        <f t="shared" si="127"/>
        <v>0.3</v>
      </c>
      <c r="H239" s="141">
        <f t="shared" si="127"/>
        <v>0.3</v>
      </c>
      <c r="I239" s="141">
        <f t="shared" si="127"/>
        <v>0.3</v>
      </c>
      <c r="J239" s="141">
        <f t="shared" si="127"/>
        <v>0.3</v>
      </c>
      <c r="K239" s="141">
        <f t="shared" si="127"/>
        <v>0.3</v>
      </c>
      <c r="L239" s="141">
        <f t="shared" si="127"/>
        <v>0.3</v>
      </c>
      <c r="M239" s="141">
        <f t="shared" si="127"/>
        <v>0.3</v>
      </c>
      <c r="N239" s="141">
        <f t="shared" si="127"/>
        <v>0.3</v>
      </c>
      <c r="O239" s="141">
        <f t="shared" si="127"/>
        <v>0.3</v>
      </c>
      <c r="P239" s="141">
        <f t="shared" si="127"/>
        <v>0.3</v>
      </c>
      <c r="Q239" s="141">
        <f t="shared" si="127"/>
        <v>0.3</v>
      </c>
      <c r="R239" s="141">
        <f t="shared" si="127"/>
        <v>0.3</v>
      </c>
      <c r="S239" s="141">
        <f t="shared" si="127"/>
        <v>0.3</v>
      </c>
      <c r="T239" s="141">
        <f t="shared" ref="T239:AF244" si="128">S239</f>
        <v>0.3</v>
      </c>
      <c r="U239" s="141">
        <f t="shared" si="128"/>
        <v>0.3</v>
      </c>
      <c r="V239" s="141">
        <f t="shared" si="128"/>
        <v>0.3</v>
      </c>
      <c r="W239" s="141">
        <f t="shared" si="128"/>
        <v>0.3</v>
      </c>
      <c r="X239" s="141">
        <f t="shared" si="128"/>
        <v>0.3</v>
      </c>
      <c r="Y239" s="141">
        <f t="shared" si="128"/>
        <v>0.3</v>
      </c>
      <c r="Z239" s="141">
        <f t="shared" si="128"/>
        <v>0.3</v>
      </c>
      <c r="AA239" s="141">
        <f t="shared" si="128"/>
        <v>0.3</v>
      </c>
      <c r="AB239" s="141">
        <f t="shared" si="128"/>
        <v>0.3</v>
      </c>
      <c r="AC239" s="141">
        <f t="shared" si="128"/>
        <v>0.3</v>
      </c>
      <c r="AD239" s="141">
        <f t="shared" si="128"/>
        <v>0.3</v>
      </c>
      <c r="AE239" s="141">
        <f t="shared" si="128"/>
        <v>0.3</v>
      </c>
      <c r="AF239" s="141">
        <f t="shared" si="128"/>
        <v>0.3</v>
      </c>
      <c r="AG239" s="142">
        <v>2.4</v>
      </c>
      <c r="AH239" s="47"/>
      <c r="AI239" s="48"/>
      <c r="AK239" s="50"/>
    </row>
    <row r="240" spans="1:37" x14ac:dyDescent="0.25">
      <c r="A240" s="103" t="s">
        <v>237</v>
      </c>
      <c r="B240" s="129">
        <f t="shared" si="126"/>
        <v>0.4</v>
      </c>
      <c r="C240" s="129">
        <v>0.4</v>
      </c>
      <c r="D240" s="129">
        <f t="shared" si="127"/>
        <v>0.4</v>
      </c>
      <c r="E240" s="129">
        <f t="shared" si="127"/>
        <v>0.4</v>
      </c>
      <c r="F240" s="129">
        <f t="shared" si="127"/>
        <v>0.4</v>
      </c>
      <c r="G240" s="129">
        <f t="shared" si="127"/>
        <v>0.4</v>
      </c>
      <c r="H240" s="129">
        <f t="shared" si="127"/>
        <v>0.4</v>
      </c>
      <c r="I240" s="129">
        <f t="shared" si="127"/>
        <v>0.4</v>
      </c>
      <c r="J240" s="129">
        <f t="shared" si="127"/>
        <v>0.4</v>
      </c>
      <c r="K240" s="129">
        <f t="shared" si="127"/>
        <v>0.4</v>
      </c>
      <c r="L240" s="129">
        <f t="shared" si="127"/>
        <v>0.4</v>
      </c>
      <c r="M240" s="129">
        <f t="shared" si="127"/>
        <v>0.4</v>
      </c>
      <c r="N240" s="129">
        <f t="shared" si="127"/>
        <v>0.4</v>
      </c>
      <c r="O240" s="129">
        <f t="shared" si="127"/>
        <v>0.4</v>
      </c>
      <c r="P240" s="129">
        <f t="shared" si="127"/>
        <v>0.4</v>
      </c>
      <c r="Q240" s="129">
        <f t="shared" si="127"/>
        <v>0.4</v>
      </c>
      <c r="R240" s="129">
        <f t="shared" si="127"/>
        <v>0.4</v>
      </c>
      <c r="S240" s="129">
        <f t="shared" si="127"/>
        <v>0.4</v>
      </c>
      <c r="T240" s="129">
        <f t="shared" si="128"/>
        <v>0.4</v>
      </c>
      <c r="U240" s="129">
        <f t="shared" si="128"/>
        <v>0.4</v>
      </c>
      <c r="V240" s="129">
        <f t="shared" si="128"/>
        <v>0.4</v>
      </c>
      <c r="W240" s="129">
        <f t="shared" si="128"/>
        <v>0.4</v>
      </c>
      <c r="X240" s="129">
        <f t="shared" si="128"/>
        <v>0.4</v>
      </c>
      <c r="Y240" s="129">
        <f t="shared" si="128"/>
        <v>0.4</v>
      </c>
      <c r="Z240" s="129">
        <f t="shared" si="128"/>
        <v>0.4</v>
      </c>
      <c r="AA240" s="129">
        <f t="shared" si="128"/>
        <v>0.4</v>
      </c>
      <c r="AB240" s="129">
        <f t="shared" si="128"/>
        <v>0.4</v>
      </c>
      <c r="AC240" s="129">
        <f t="shared" si="128"/>
        <v>0.4</v>
      </c>
      <c r="AD240" s="129">
        <f t="shared" si="128"/>
        <v>0.4</v>
      </c>
      <c r="AE240" s="129">
        <f t="shared" si="128"/>
        <v>0.4</v>
      </c>
      <c r="AF240" s="129">
        <f t="shared" si="128"/>
        <v>0.4</v>
      </c>
      <c r="AG240" s="143">
        <v>2</v>
      </c>
      <c r="AH240" s="47"/>
      <c r="AI240" s="48"/>
      <c r="AK240" s="50"/>
    </row>
    <row r="241" spans="1:37" x14ac:dyDescent="0.25">
      <c r="A241" s="103" t="s">
        <v>238</v>
      </c>
      <c r="B241" s="129">
        <f t="shared" si="126"/>
        <v>1.5</v>
      </c>
      <c r="C241" s="129">
        <v>1.5</v>
      </c>
      <c r="D241" s="129">
        <f t="shared" si="127"/>
        <v>1.5</v>
      </c>
      <c r="E241" s="129">
        <f t="shared" si="127"/>
        <v>1.5</v>
      </c>
      <c r="F241" s="129">
        <f t="shared" si="127"/>
        <v>1.5</v>
      </c>
      <c r="G241" s="129">
        <f t="shared" si="127"/>
        <v>1.5</v>
      </c>
      <c r="H241" s="129">
        <f t="shared" si="127"/>
        <v>1.5</v>
      </c>
      <c r="I241" s="129">
        <f t="shared" si="127"/>
        <v>1.5</v>
      </c>
      <c r="J241" s="129">
        <f t="shared" si="127"/>
        <v>1.5</v>
      </c>
      <c r="K241" s="129">
        <f t="shared" si="127"/>
        <v>1.5</v>
      </c>
      <c r="L241" s="129">
        <f t="shared" si="127"/>
        <v>1.5</v>
      </c>
      <c r="M241" s="129">
        <f t="shared" si="127"/>
        <v>1.5</v>
      </c>
      <c r="N241" s="129">
        <f t="shared" si="127"/>
        <v>1.5</v>
      </c>
      <c r="O241" s="129">
        <f t="shared" si="127"/>
        <v>1.5</v>
      </c>
      <c r="P241" s="129">
        <f t="shared" si="127"/>
        <v>1.5</v>
      </c>
      <c r="Q241" s="129">
        <f t="shared" si="127"/>
        <v>1.5</v>
      </c>
      <c r="R241" s="129">
        <f t="shared" si="127"/>
        <v>1.5</v>
      </c>
      <c r="S241" s="129">
        <f t="shared" si="127"/>
        <v>1.5</v>
      </c>
      <c r="T241" s="129">
        <f t="shared" si="128"/>
        <v>1.5</v>
      </c>
      <c r="U241" s="129">
        <f t="shared" si="128"/>
        <v>1.5</v>
      </c>
      <c r="V241" s="129">
        <f t="shared" si="128"/>
        <v>1.5</v>
      </c>
      <c r="W241" s="129">
        <f t="shared" si="128"/>
        <v>1.5</v>
      </c>
      <c r="X241" s="129">
        <f t="shared" si="128"/>
        <v>1.5</v>
      </c>
      <c r="Y241" s="129">
        <f t="shared" si="128"/>
        <v>1.5</v>
      </c>
      <c r="Z241" s="129">
        <f t="shared" si="128"/>
        <v>1.5</v>
      </c>
      <c r="AA241" s="129">
        <f t="shared" si="128"/>
        <v>1.5</v>
      </c>
      <c r="AB241" s="129">
        <f t="shared" si="128"/>
        <v>1.5</v>
      </c>
      <c r="AC241" s="129">
        <f t="shared" si="128"/>
        <v>1.5</v>
      </c>
      <c r="AD241" s="129">
        <f t="shared" si="128"/>
        <v>1.5</v>
      </c>
      <c r="AE241" s="129">
        <f t="shared" si="128"/>
        <v>1.5</v>
      </c>
      <c r="AF241" s="129">
        <f t="shared" si="128"/>
        <v>1.5</v>
      </c>
      <c r="AG241" s="143">
        <v>1.5</v>
      </c>
      <c r="AH241" s="47"/>
      <c r="AI241" s="48"/>
      <c r="AK241" s="50"/>
    </row>
    <row r="242" spans="1:37" x14ac:dyDescent="0.25">
      <c r="A242" s="103" t="s">
        <v>239</v>
      </c>
      <c r="B242" s="129">
        <f t="shared" si="126"/>
        <v>0.3</v>
      </c>
      <c r="C242" s="129">
        <v>0.3</v>
      </c>
      <c r="D242" s="129">
        <f t="shared" si="127"/>
        <v>0.3</v>
      </c>
      <c r="E242" s="129">
        <f t="shared" si="127"/>
        <v>0.3</v>
      </c>
      <c r="F242" s="129">
        <f t="shared" si="127"/>
        <v>0.3</v>
      </c>
      <c r="G242" s="129">
        <f t="shared" si="127"/>
        <v>0.3</v>
      </c>
      <c r="H242" s="129">
        <f t="shared" si="127"/>
        <v>0.3</v>
      </c>
      <c r="I242" s="129">
        <f t="shared" si="127"/>
        <v>0.3</v>
      </c>
      <c r="J242" s="129">
        <f t="shared" si="127"/>
        <v>0.3</v>
      </c>
      <c r="K242" s="129">
        <f t="shared" si="127"/>
        <v>0.3</v>
      </c>
      <c r="L242" s="129">
        <f t="shared" si="127"/>
        <v>0.3</v>
      </c>
      <c r="M242" s="129">
        <f t="shared" si="127"/>
        <v>0.3</v>
      </c>
      <c r="N242" s="129">
        <f t="shared" si="127"/>
        <v>0.3</v>
      </c>
      <c r="O242" s="129">
        <f t="shared" si="127"/>
        <v>0.3</v>
      </c>
      <c r="P242" s="129">
        <f t="shared" si="127"/>
        <v>0.3</v>
      </c>
      <c r="Q242" s="129">
        <f t="shared" si="127"/>
        <v>0.3</v>
      </c>
      <c r="R242" s="129">
        <f t="shared" si="127"/>
        <v>0.3</v>
      </c>
      <c r="S242" s="129">
        <f t="shared" si="127"/>
        <v>0.3</v>
      </c>
      <c r="T242" s="129">
        <f t="shared" si="128"/>
        <v>0.3</v>
      </c>
      <c r="U242" s="129">
        <f t="shared" si="128"/>
        <v>0.3</v>
      </c>
      <c r="V242" s="129">
        <f t="shared" si="128"/>
        <v>0.3</v>
      </c>
      <c r="W242" s="129">
        <f t="shared" si="128"/>
        <v>0.3</v>
      </c>
      <c r="X242" s="129">
        <f t="shared" si="128"/>
        <v>0.3</v>
      </c>
      <c r="Y242" s="129">
        <f t="shared" si="128"/>
        <v>0.3</v>
      </c>
      <c r="Z242" s="129">
        <f t="shared" si="128"/>
        <v>0.3</v>
      </c>
      <c r="AA242" s="129">
        <f t="shared" si="128"/>
        <v>0.3</v>
      </c>
      <c r="AB242" s="129">
        <f t="shared" si="128"/>
        <v>0.3</v>
      </c>
      <c r="AC242" s="129">
        <f t="shared" si="128"/>
        <v>0.3</v>
      </c>
      <c r="AD242" s="129">
        <f t="shared" si="128"/>
        <v>0.3</v>
      </c>
      <c r="AE242" s="129">
        <f t="shared" si="128"/>
        <v>0.3</v>
      </c>
      <c r="AF242" s="129">
        <f t="shared" si="128"/>
        <v>0.3</v>
      </c>
      <c r="AG242" s="143">
        <v>1</v>
      </c>
      <c r="AH242" s="47"/>
      <c r="AI242" s="48"/>
      <c r="AK242" s="50"/>
    </row>
    <row r="243" spans="1:37" x14ac:dyDescent="0.25">
      <c r="A243" s="103" t="s">
        <v>240</v>
      </c>
      <c r="B243" s="129">
        <f t="shared" si="126"/>
        <v>0.4</v>
      </c>
      <c r="C243" s="129">
        <v>0.4</v>
      </c>
      <c r="D243" s="129">
        <f t="shared" si="127"/>
        <v>0.4</v>
      </c>
      <c r="E243" s="129">
        <f t="shared" si="127"/>
        <v>0.4</v>
      </c>
      <c r="F243" s="129">
        <f t="shared" si="127"/>
        <v>0.4</v>
      </c>
      <c r="G243" s="129">
        <f t="shared" si="127"/>
        <v>0.4</v>
      </c>
      <c r="H243" s="129">
        <f t="shared" si="127"/>
        <v>0.4</v>
      </c>
      <c r="I243" s="129">
        <f t="shared" si="127"/>
        <v>0.4</v>
      </c>
      <c r="J243" s="129">
        <f t="shared" si="127"/>
        <v>0.4</v>
      </c>
      <c r="K243" s="129">
        <f t="shared" si="127"/>
        <v>0.4</v>
      </c>
      <c r="L243" s="129">
        <f t="shared" si="127"/>
        <v>0.4</v>
      </c>
      <c r="M243" s="129">
        <f t="shared" si="127"/>
        <v>0.4</v>
      </c>
      <c r="N243" s="129">
        <f t="shared" si="127"/>
        <v>0.4</v>
      </c>
      <c r="O243" s="129">
        <f t="shared" si="127"/>
        <v>0.4</v>
      </c>
      <c r="P243" s="129">
        <f t="shared" si="127"/>
        <v>0.4</v>
      </c>
      <c r="Q243" s="129">
        <f t="shared" si="127"/>
        <v>0.4</v>
      </c>
      <c r="R243" s="129">
        <f t="shared" si="127"/>
        <v>0.4</v>
      </c>
      <c r="S243" s="129">
        <f t="shared" si="127"/>
        <v>0.4</v>
      </c>
      <c r="T243" s="129">
        <f t="shared" si="128"/>
        <v>0.4</v>
      </c>
      <c r="U243" s="129">
        <f t="shared" si="128"/>
        <v>0.4</v>
      </c>
      <c r="V243" s="129">
        <f t="shared" si="128"/>
        <v>0.4</v>
      </c>
      <c r="W243" s="129">
        <f t="shared" si="128"/>
        <v>0.4</v>
      </c>
      <c r="X243" s="129">
        <f t="shared" si="128"/>
        <v>0.4</v>
      </c>
      <c r="Y243" s="129">
        <f t="shared" si="128"/>
        <v>0.4</v>
      </c>
      <c r="Z243" s="129">
        <f t="shared" si="128"/>
        <v>0.4</v>
      </c>
      <c r="AA243" s="129">
        <f t="shared" si="128"/>
        <v>0.4</v>
      </c>
      <c r="AB243" s="129">
        <f t="shared" si="128"/>
        <v>0.4</v>
      </c>
      <c r="AC243" s="129">
        <f t="shared" si="128"/>
        <v>0.4</v>
      </c>
      <c r="AD243" s="129">
        <f t="shared" si="128"/>
        <v>0.4</v>
      </c>
      <c r="AE243" s="129">
        <f t="shared" si="128"/>
        <v>0.4</v>
      </c>
      <c r="AF243" s="129">
        <f t="shared" si="128"/>
        <v>0.4</v>
      </c>
      <c r="AG243" s="143">
        <v>1</v>
      </c>
      <c r="AH243" s="47"/>
      <c r="AI243" s="48"/>
      <c r="AK243" s="50"/>
    </row>
    <row r="244" spans="1:37" ht="15.75" thickBot="1" x14ac:dyDescent="0.3">
      <c r="A244" s="116" t="s">
        <v>241</v>
      </c>
      <c r="B244" s="133">
        <f t="shared" si="126"/>
        <v>0.64</v>
      </c>
      <c r="C244" s="133">
        <v>0.64</v>
      </c>
      <c r="D244" s="133">
        <f t="shared" si="127"/>
        <v>0.64</v>
      </c>
      <c r="E244" s="133">
        <f t="shared" si="127"/>
        <v>0.64</v>
      </c>
      <c r="F244" s="133">
        <f t="shared" si="127"/>
        <v>0.64</v>
      </c>
      <c r="G244" s="133">
        <f t="shared" si="127"/>
        <v>0.64</v>
      </c>
      <c r="H244" s="133">
        <f t="shared" si="127"/>
        <v>0.64</v>
      </c>
      <c r="I244" s="133">
        <f t="shared" si="127"/>
        <v>0.64</v>
      </c>
      <c r="J244" s="133">
        <f t="shared" si="127"/>
        <v>0.64</v>
      </c>
      <c r="K244" s="133">
        <f t="shared" si="127"/>
        <v>0.64</v>
      </c>
      <c r="L244" s="133">
        <f t="shared" si="127"/>
        <v>0.64</v>
      </c>
      <c r="M244" s="133">
        <f t="shared" si="127"/>
        <v>0.64</v>
      </c>
      <c r="N244" s="133">
        <f t="shared" si="127"/>
        <v>0.64</v>
      </c>
      <c r="O244" s="133">
        <f t="shared" si="127"/>
        <v>0.64</v>
      </c>
      <c r="P244" s="133">
        <f t="shared" si="127"/>
        <v>0.64</v>
      </c>
      <c r="Q244" s="133">
        <f t="shared" si="127"/>
        <v>0.64</v>
      </c>
      <c r="R244" s="133">
        <f t="shared" si="127"/>
        <v>0.64</v>
      </c>
      <c r="S244" s="133">
        <f t="shared" si="127"/>
        <v>0.64</v>
      </c>
      <c r="T244" s="133">
        <f t="shared" si="128"/>
        <v>0.64</v>
      </c>
      <c r="U244" s="133">
        <f t="shared" si="128"/>
        <v>0.64</v>
      </c>
      <c r="V244" s="133">
        <f t="shared" si="128"/>
        <v>0.64</v>
      </c>
      <c r="W244" s="133">
        <f t="shared" si="128"/>
        <v>0.64</v>
      </c>
      <c r="X244" s="133">
        <f t="shared" si="128"/>
        <v>0.64</v>
      </c>
      <c r="Y244" s="133">
        <f t="shared" si="128"/>
        <v>0.64</v>
      </c>
      <c r="Z244" s="133">
        <f t="shared" si="128"/>
        <v>0.64</v>
      </c>
      <c r="AA244" s="133">
        <f t="shared" si="128"/>
        <v>0.64</v>
      </c>
      <c r="AB244" s="133">
        <f t="shared" si="128"/>
        <v>0.64</v>
      </c>
      <c r="AC244" s="133">
        <f t="shared" si="128"/>
        <v>0.64</v>
      </c>
      <c r="AD244" s="133">
        <f t="shared" si="128"/>
        <v>0.64</v>
      </c>
      <c r="AE244" s="133">
        <f t="shared" si="128"/>
        <v>0.64</v>
      </c>
      <c r="AF244" s="133">
        <f t="shared" si="128"/>
        <v>0.64</v>
      </c>
      <c r="AG244" s="144">
        <v>0.66</v>
      </c>
      <c r="AH244" s="47"/>
      <c r="AI244" s="48"/>
    </row>
    <row r="245" spans="1:37" ht="15.75" thickBot="1" x14ac:dyDescent="0.3">
      <c r="A245" s="145" t="s">
        <v>75</v>
      </c>
      <c r="B245" s="137">
        <f t="shared" ref="B245:AG245" si="129">SUM(B239:B244)</f>
        <v>3.54</v>
      </c>
      <c r="C245" s="137">
        <f t="shared" si="129"/>
        <v>3.54</v>
      </c>
      <c r="D245" s="137">
        <f t="shared" si="129"/>
        <v>3.54</v>
      </c>
      <c r="E245" s="137">
        <f t="shared" si="129"/>
        <v>3.54</v>
      </c>
      <c r="F245" s="137">
        <f t="shared" si="129"/>
        <v>3.54</v>
      </c>
      <c r="G245" s="137">
        <f t="shared" si="129"/>
        <v>3.54</v>
      </c>
      <c r="H245" s="137">
        <f t="shared" si="129"/>
        <v>3.54</v>
      </c>
      <c r="I245" s="137">
        <f t="shared" si="129"/>
        <v>3.54</v>
      </c>
      <c r="J245" s="137">
        <f t="shared" si="129"/>
        <v>3.54</v>
      </c>
      <c r="K245" s="137">
        <f t="shared" si="129"/>
        <v>3.54</v>
      </c>
      <c r="L245" s="137">
        <f t="shared" si="129"/>
        <v>3.54</v>
      </c>
      <c r="M245" s="137">
        <f t="shared" si="129"/>
        <v>3.54</v>
      </c>
      <c r="N245" s="137">
        <f t="shared" si="129"/>
        <v>3.54</v>
      </c>
      <c r="O245" s="137">
        <f t="shared" si="129"/>
        <v>3.54</v>
      </c>
      <c r="P245" s="137">
        <f t="shared" si="129"/>
        <v>3.54</v>
      </c>
      <c r="Q245" s="137">
        <f t="shared" si="129"/>
        <v>3.54</v>
      </c>
      <c r="R245" s="137">
        <f t="shared" si="129"/>
        <v>3.54</v>
      </c>
      <c r="S245" s="137">
        <f t="shared" si="129"/>
        <v>3.54</v>
      </c>
      <c r="T245" s="137">
        <f t="shared" si="129"/>
        <v>3.54</v>
      </c>
      <c r="U245" s="137">
        <f t="shared" si="129"/>
        <v>3.54</v>
      </c>
      <c r="V245" s="137">
        <f t="shared" si="129"/>
        <v>3.54</v>
      </c>
      <c r="W245" s="137">
        <f t="shared" si="129"/>
        <v>3.54</v>
      </c>
      <c r="X245" s="137">
        <f t="shared" si="129"/>
        <v>3.54</v>
      </c>
      <c r="Y245" s="137">
        <f t="shared" si="129"/>
        <v>3.54</v>
      </c>
      <c r="Z245" s="137">
        <f t="shared" si="129"/>
        <v>3.54</v>
      </c>
      <c r="AA245" s="137">
        <f t="shared" si="129"/>
        <v>3.54</v>
      </c>
      <c r="AB245" s="137">
        <f t="shared" si="129"/>
        <v>3.54</v>
      </c>
      <c r="AC245" s="137">
        <f t="shared" si="129"/>
        <v>3.54</v>
      </c>
      <c r="AD245" s="137">
        <f t="shared" si="129"/>
        <v>3.54</v>
      </c>
      <c r="AE245" s="137">
        <f t="shared" si="129"/>
        <v>3.54</v>
      </c>
      <c r="AF245" s="137">
        <f t="shared" si="129"/>
        <v>3.54</v>
      </c>
      <c r="AG245" s="146">
        <f t="shared" si="129"/>
        <v>8.56</v>
      </c>
      <c r="AH245" s="47"/>
      <c r="AI245" s="48"/>
    </row>
    <row r="246" spans="1:37" ht="15.75" thickBot="1" x14ac:dyDescent="0.3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140"/>
      <c r="AH246" s="43"/>
    </row>
    <row r="247" spans="1:37" x14ac:dyDescent="0.25">
      <c r="A247" s="147" t="s">
        <v>242</v>
      </c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9"/>
      <c r="AG247" s="43"/>
      <c r="AH247" s="47"/>
      <c r="AI247" s="48"/>
    </row>
    <row r="248" spans="1:37" x14ac:dyDescent="0.25">
      <c r="A248" s="150" t="s">
        <v>243</v>
      </c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2"/>
      <c r="AG248" s="153"/>
      <c r="AH248" s="47"/>
      <c r="AI248" s="48"/>
    </row>
    <row r="249" spans="1:37" x14ac:dyDescent="0.25">
      <c r="A249" s="154" t="s">
        <v>244</v>
      </c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6"/>
      <c r="AG249" s="153"/>
      <c r="AH249" s="47"/>
      <c r="AI249" s="48"/>
    </row>
    <row r="250" spans="1:37" x14ac:dyDescent="0.25">
      <c r="A250" s="154" t="s">
        <v>245</v>
      </c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6"/>
      <c r="AG250" s="153"/>
      <c r="AH250" s="47"/>
      <c r="AI250" s="48"/>
    </row>
    <row r="251" spans="1:37" ht="15.75" thickBot="1" x14ac:dyDescent="0.3">
      <c r="A251" s="157" t="s">
        <v>246</v>
      </c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9"/>
      <c r="AG251" s="153"/>
      <c r="AH251" s="47"/>
      <c r="AI251" s="48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1683.8400000000004</v>
      </c>
      <c r="C254" s="162">
        <f>INDEX(G9:N9,1,MATCH(MAX(G99:N99),G99:N99,0))</f>
        <v>0.3125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13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2080/09/13)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2080/09/13)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130">B99</f>
        <v>1038.54</v>
      </c>
      <c r="U259" s="171">
        <f t="shared" si="130"/>
        <v>989.54000000000008</v>
      </c>
      <c r="V259" s="171">
        <f t="shared" si="130"/>
        <v>1005.5400000000001</v>
      </c>
      <c r="W259" s="171">
        <f t="shared" si="130"/>
        <v>976.34</v>
      </c>
      <c r="X259" s="171">
        <f t="shared" si="130"/>
        <v>1005.0400000000001</v>
      </c>
      <c r="Y259" s="171">
        <f t="shared" si="130"/>
        <v>1079.44</v>
      </c>
      <c r="Z259" s="171">
        <f t="shared" si="130"/>
        <v>1189.54</v>
      </c>
      <c r="AA259" s="171">
        <f t="shared" si="130"/>
        <v>1329.7400000000002</v>
      </c>
      <c r="AB259" s="171">
        <f t="shared" si="130"/>
        <v>1421.7400000000002</v>
      </c>
      <c r="AC259" s="171">
        <f t="shared" si="130"/>
        <v>1545.94</v>
      </c>
      <c r="AD259" s="171">
        <f t="shared" si="130"/>
        <v>1683.8400000000004</v>
      </c>
      <c r="AE259" s="171">
        <f t="shared" si="130"/>
        <v>1645.6400000000003</v>
      </c>
      <c r="AF259" s="171">
        <f t="shared" si="130"/>
        <v>1569.2400000000002</v>
      </c>
      <c r="AG259" s="171">
        <f t="shared" si="130"/>
        <v>1517.94</v>
      </c>
      <c r="AH259" s="171">
        <f t="shared" si="130"/>
        <v>1395.44</v>
      </c>
      <c r="AI259" s="171">
        <f t="shared" si="130"/>
        <v>1319.54</v>
      </c>
      <c r="AJ259" s="171">
        <f t="shared" si="130"/>
        <v>1275.8400000000001</v>
      </c>
      <c r="AK259" s="171">
        <f t="shared" si="130"/>
        <v>1325.14</v>
      </c>
      <c r="AL259" s="171">
        <f t="shared" si="130"/>
        <v>1326.14</v>
      </c>
      <c r="AM259" s="171">
        <f t="shared" si="130"/>
        <v>1464.1400000000003</v>
      </c>
      <c r="AN259" s="171">
        <f t="shared" si="130"/>
        <v>1417.74</v>
      </c>
      <c r="AO259" s="171">
        <f t="shared" si="130"/>
        <v>1542.1400000000003</v>
      </c>
      <c r="AP259" s="171">
        <f t="shared" si="130"/>
        <v>1751.3400000000001</v>
      </c>
      <c r="AQ259" s="171">
        <f t="shared" si="130"/>
        <v>1716.64</v>
      </c>
      <c r="AR259" s="171">
        <f t="shared" si="130"/>
        <v>1598.2400000000002</v>
      </c>
      <c r="AS259" s="171">
        <f t="shared" si="130"/>
        <v>1554.5400000000002</v>
      </c>
      <c r="AT259" s="171">
        <f t="shared" si="130"/>
        <v>1511.3400000000001</v>
      </c>
      <c r="AU259" s="171">
        <f t="shared" si="130"/>
        <v>1416.04</v>
      </c>
      <c r="AV259" s="171">
        <f t="shared" si="130"/>
        <v>1261.6400000000001</v>
      </c>
      <c r="AW259" s="171">
        <f t="shared" si="130"/>
        <v>1098.1400000000001</v>
      </c>
      <c r="AX259" s="171">
        <f t="shared" si="130"/>
        <v>1004.5400000000001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131">C244</f>
        <v>0.64</v>
      </c>
      <c r="C280" s="174">
        <f t="shared" si="131"/>
        <v>0.64</v>
      </c>
      <c r="D280" s="174">
        <f t="shared" si="131"/>
        <v>0.64</v>
      </c>
      <c r="E280" s="174">
        <f t="shared" si="131"/>
        <v>0.64</v>
      </c>
      <c r="F280" s="174">
        <f t="shared" si="131"/>
        <v>0.64</v>
      </c>
      <c r="G280" s="174">
        <f t="shared" si="131"/>
        <v>0.64</v>
      </c>
      <c r="H280" s="174">
        <f t="shared" si="131"/>
        <v>0.64</v>
      </c>
      <c r="I280" s="174">
        <f t="shared" si="131"/>
        <v>0.64</v>
      </c>
      <c r="J280" s="174">
        <f t="shared" si="131"/>
        <v>0.64</v>
      </c>
      <c r="K280" s="174">
        <f t="shared" si="131"/>
        <v>0.64</v>
      </c>
      <c r="L280" s="174">
        <f t="shared" si="131"/>
        <v>0.64</v>
      </c>
      <c r="M280" s="174">
        <f t="shared" si="131"/>
        <v>0.64</v>
      </c>
      <c r="N280" s="174">
        <f t="shared" si="131"/>
        <v>0.64</v>
      </c>
      <c r="O280" s="174">
        <f t="shared" si="131"/>
        <v>0.64</v>
      </c>
      <c r="P280" s="174">
        <f t="shared" si="131"/>
        <v>0.64</v>
      </c>
      <c r="Q280" s="174">
        <f t="shared" si="131"/>
        <v>0.64</v>
      </c>
      <c r="R280" s="174">
        <f t="shared" si="131"/>
        <v>0.64</v>
      </c>
      <c r="S280" s="174">
        <f t="shared" si="131"/>
        <v>0.64</v>
      </c>
      <c r="T280" s="174">
        <f t="shared" si="131"/>
        <v>0.64</v>
      </c>
      <c r="U280" s="174">
        <f t="shared" si="131"/>
        <v>0.64</v>
      </c>
      <c r="V280" s="174">
        <f t="shared" si="131"/>
        <v>0.64</v>
      </c>
      <c r="W280" s="174">
        <f t="shared" si="131"/>
        <v>0.64</v>
      </c>
      <c r="X280" s="174">
        <f t="shared" si="131"/>
        <v>0.64</v>
      </c>
      <c r="Y280" s="174">
        <f t="shared" si="131"/>
        <v>0.64</v>
      </c>
      <c r="Z280" s="174">
        <f t="shared" si="131"/>
        <v>0.64</v>
      </c>
      <c r="AA280" s="174">
        <f t="shared" si="131"/>
        <v>0.64</v>
      </c>
      <c r="AB280" s="174">
        <f t="shared" si="131"/>
        <v>0.64</v>
      </c>
      <c r="AC280" s="174">
        <f t="shared" si="131"/>
        <v>0.64</v>
      </c>
      <c r="AD280" s="174">
        <f t="shared" si="131"/>
        <v>0.64</v>
      </c>
      <c r="AE280" s="174">
        <f t="shared" si="131"/>
        <v>0.64</v>
      </c>
      <c r="AF280" s="174">
        <f>B244</f>
        <v>0.64</v>
      </c>
      <c r="AG280" s="43"/>
      <c r="AH280" s="43"/>
    </row>
    <row r="281" spans="1:34" x14ac:dyDescent="0.25">
      <c r="A281" s="175" t="str">
        <f>A248</f>
        <v>KGA</v>
      </c>
      <c r="B281" s="175" t="str">
        <f t="shared" ref="B281:AF281" si="132">IF(B248&lt;100,"",B248-520)</f>
        <v/>
      </c>
      <c r="C281" s="175" t="str">
        <f t="shared" si="132"/>
        <v/>
      </c>
      <c r="D281" s="175" t="str">
        <f t="shared" si="132"/>
        <v/>
      </c>
      <c r="E281" s="175" t="str">
        <f t="shared" si="132"/>
        <v/>
      </c>
      <c r="F281" s="175" t="str">
        <f t="shared" si="132"/>
        <v/>
      </c>
      <c r="G281" s="175" t="str">
        <f t="shared" si="132"/>
        <v/>
      </c>
      <c r="H281" s="175" t="str">
        <f t="shared" si="132"/>
        <v/>
      </c>
      <c r="I281" s="175" t="str">
        <f t="shared" si="132"/>
        <v/>
      </c>
      <c r="J281" s="175" t="str">
        <f t="shared" si="132"/>
        <v/>
      </c>
      <c r="K281" s="175" t="str">
        <f t="shared" si="132"/>
        <v/>
      </c>
      <c r="L281" s="175" t="str">
        <f t="shared" si="132"/>
        <v/>
      </c>
      <c r="M281" s="175" t="str">
        <f t="shared" si="132"/>
        <v/>
      </c>
      <c r="N281" s="175" t="str">
        <f t="shared" si="132"/>
        <v/>
      </c>
      <c r="O281" s="175" t="str">
        <f t="shared" si="132"/>
        <v/>
      </c>
      <c r="P281" s="175" t="str">
        <f t="shared" si="132"/>
        <v/>
      </c>
      <c r="Q281" s="175" t="str">
        <f t="shared" si="132"/>
        <v/>
      </c>
      <c r="R281" s="175" t="str">
        <f t="shared" si="132"/>
        <v/>
      </c>
      <c r="S281" s="175" t="str">
        <f t="shared" si="132"/>
        <v/>
      </c>
      <c r="T281" s="175" t="str">
        <f t="shared" si="132"/>
        <v/>
      </c>
      <c r="U281" s="175" t="str">
        <f t="shared" si="132"/>
        <v/>
      </c>
      <c r="V281" s="175" t="str">
        <f t="shared" si="132"/>
        <v/>
      </c>
      <c r="W281" s="175" t="str">
        <f t="shared" si="132"/>
        <v/>
      </c>
      <c r="X281" s="175" t="str">
        <f t="shared" si="132"/>
        <v/>
      </c>
      <c r="Y281" s="175" t="str">
        <f t="shared" si="132"/>
        <v/>
      </c>
      <c r="Z281" s="175" t="str">
        <f t="shared" si="132"/>
        <v/>
      </c>
      <c r="AA281" s="175" t="str">
        <f t="shared" si="132"/>
        <v/>
      </c>
      <c r="AB281" s="175" t="str">
        <f t="shared" si="132"/>
        <v/>
      </c>
      <c r="AC281" s="175" t="str">
        <f t="shared" si="132"/>
        <v/>
      </c>
      <c r="AD281" s="175" t="str">
        <f t="shared" si="132"/>
        <v/>
      </c>
      <c r="AE281" s="175" t="str">
        <f t="shared" si="132"/>
        <v/>
      </c>
      <c r="AF281" s="175" t="str">
        <f t="shared" si="132"/>
        <v/>
      </c>
      <c r="AG281" s="43"/>
      <c r="AH281" s="43"/>
    </row>
    <row r="282" spans="1:34" x14ac:dyDescent="0.25">
      <c r="A282" s="175" t="str">
        <f>A249</f>
        <v>MMRS</v>
      </c>
      <c r="B282" s="175" t="str">
        <f t="shared" ref="B282:AF282" si="133">IF(B249&lt;100,"",B249-620)</f>
        <v/>
      </c>
      <c r="C282" s="175" t="str">
        <f t="shared" si="133"/>
        <v/>
      </c>
      <c r="D282" s="175" t="str">
        <f t="shared" si="133"/>
        <v/>
      </c>
      <c r="E282" s="175" t="str">
        <f t="shared" si="133"/>
        <v/>
      </c>
      <c r="F282" s="175" t="str">
        <f t="shared" si="133"/>
        <v/>
      </c>
      <c r="G282" s="175" t="str">
        <f t="shared" si="133"/>
        <v/>
      </c>
      <c r="H282" s="175" t="str">
        <f t="shared" si="133"/>
        <v/>
      </c>
      <c r="I282" s="175" t="str">
        <f t="shared" si="133"/>
        <v/>
      </c>
      <c r="J282" s="175" t="str">
        <f t="shared" si="133"/>
        <v/>
      </c>
      <c r="K282" s="175" t="str">
        <f t="shared" si="133"/>
        <v/>
      </c>
      <c r="L282" s="175" t="str">
        <f t="shared" si="133"/>
        <v/>
      </c>
      <c r="M282" s="175" t="str">
        <f t="shared" si="133"/>
        <v/>
      </c>
      <c r="N282" s="175" t="str">
        <f t="shared" si="133"/>
        <v/>
      </c>
      <c r="O282" s="175" t="str">
        <f t="shared" si="133"/>
        <v/>
      </c>
      <c r="P282" s="175" t="str">
        <f t="shared" si="133"/>
        <v/>
      </c>
      <c r="Q282" s="175" t="str">
        <f t="shared" si="133"/>
        <v/>
      </c>
      <c r="R282" s="175" t="str">
        <f t="shared" si="133"/>
        <v/>
      </c>
      <c r="S282" s="175" t="str">
        <f t="shared" si="133"/>
        <v/>
      </c>
      <c r="T282" s="175" t="str">
        <f t="shared" si="133"/>
        <v/>
      </c>
      <c r="U282" s="175" t="str">
        <f t="shared" si="133"/>
        <v/>
      </c>
      <c r="V282" s="175" t="str">
        <f t="shared" si="133"/>
        <v/>
      </c>
      <c r="W282" s="175" t="str">
        <f t="shared" si="133"/>
        <v/>
      </c>
      <c r="X282" s="175" t="str">
        <f t="shared" si="133"/>
        <v/>
      </c>
      <c r="Y282" s="175" t="str">
        <f t="shared" si="133"/>
        <v/>
      </c>
      <c r="Z282" s="175" t="str">
        <f t="shared" si="133"/>
        <v/>
      </c>
      <c r="AA282" s="175" t="str">
        <f t="shared" si="133"/>
        <v/>
      </c>
      <c r="AB282" s="175" t="str">
        <f t="shared" si="133"/>
        <v/>
      </c>
      <c r="AC282" s="175" t="str">
        <f t="shared" si="133"/>
        <v/>
      </c>
      <c r="AD282" s="175" t="str">
        <f t="shared" si="133"/>
        <v/>
      </c>
      <c r="AE282" s="175" t="str">
        <f t="shared" si="133"/>
        <v/>
      </c>
      <c r="AF282" s="175" t="str">
        <f t="shared" si="133"/>
        <v/>
      </c>
      <c r="AG282" s="43"/>
      <c r="AH282" s="43"/>
    </row>
    <row r="283" spans="1:34" x14ac:dyDescent="0.25">
      <c r="A283" s="175" t="str">
        <f>A250</f>
        <v>MRS</v>
      </c>
      <c r="B283" s="175" t="str">
        <f t="shared" ref="B283:AF283" si="134">IF(B250&lt;100,"",B250-330)</f>
        <v/>
      </c>
      <c r="C283" s="175" t="str">
        <f t="shared" si="134"/>
        <v/>
      </c>
      <c r="D283" s="175" t="str">
        <f t="shared" si="134"/>
        <v/>
      </c>
      <c r="E283" s="175" t="str">
        <f t="shared" si="134"/>
        <v/>
      </c>
      <c r="F283" s="175" t="str">
        <f t="shared" si="134"/>
        <v/>
      </c>
      <c r="G283" s="175" t="str">
        <f t="shared" si="134"/>
        <v/>
      </c>
      <c r="H283" s="175" t="str">
        <f t="shared" si="134"/>
        <v/>
      </c>
      <c r="I283" s="175" t="str">
        <f t="shared" si="134"/>
        <v/>
      </c>
      <c r="J283" s="175" t="str">
        <f t="shared" si="134"/>
        <v/>
      </c>
      <c r="K283" s="175" t="str">
        <f t="shared" si="134"/>
        <v/>
      </c>
      <c r="L283" s="175" t="str">
        <f t="shared" si="134"/>
        <v/>
      </c>
      <c r="M283" s="175" t="str">
        <f t="shared" si="134"/>
        <v/>
      </c>
      <c r="N283" s="175" t="str">
        <f t="shared" si="134"/>
        <v/>
      </c>
      <c r="O283" s="175" t="str">
        <f t="shared" si="134"/>
        <v/>
      </c>
      <c r="P283" s="175" t="str">
        <f t="shared" si="134"/>
        <v/>
      </c>
      <c r="Q283" s="175" t="str">
        <f t="shared" si="134"/>
        <v/>
      </c>
      <c r="R283" s="175" t="str">
        <f t="shared" si="134"/>
        <v/>
      </c>
      <c r="S283" s="175" t="str">
        <f t="shared" si="134"/>
        <v/>
      </c>
      <c r="T283" s="175" t="str">
        <f t="shared" si="134"/>
        <v/>
      </c>
      <c r="U283" s="175" t="str">
        <f t="shared" si="134"/>
        <v/>
      </c>
      <c r="V283" s="175" t="str">
        <f t="shared" si="134"/>
        <v/>
      </c>
      <c r="W283" s="175" t="str">
        <f t="shared" si="134"/>
        <v/>
      </c>
      <c r="X283" s="175" t="str">
        <f t="shared" si="134"/>
        <v/>
      </c>
      <c r="Y283" s="175" t="str">
        <f t="shared" si="134"/>
        <v/>
      </c>
      <c r="Z283" s="175" t="str">
        <f t="shared" si="134"/>
        <v/>
      </c>
      <c r="AA283" s="175" t="str">
        <f t="shared" si="134"/>
        <v/>
      </c>
      <c r="AB283" s="175" t="str">
        <f t="shared" si="134"/>
        <v/>
      </c>
      <c r="AC283" s="175" t="str">
        <f t="shared" si="134"/>
        <v/>
      </c>
      <c r="AD283" s="175" t="str">
        <f t="shared" si="134"/>
        <v/>
      </c>
      <c r="AE283" s="175" t="str">
        <f t="shared" si="134"/>
        <v/>
      </c>
      <c r="AF283" s="175" t="str">
        <f t="shared" si="134"/>
        <v/>
      </c>
      <c r="AG283" s="43"/>
      <c r="AH283" s="43"/>
    </row>
    <row r="284" spans="1:34" x14ac:dyDescent="0.25">
      <c r="A284" s="175" t="str">
        <f>A251</f>
        <v>KL 1</v>
      </c>
      <c r="B284" s="175" t="str">
        <f t="shared" ref="B284:AF284" si="135">IF(B251&lt;100,"",B251-1500)</f>
        <v/>
      </c>
      <c r="C284" s="175" t="str">
        <f t="shared" si="135"/>
        <v/>
      </c>
      <c r="D284" s="175" t="str">
        <f t="shared" si="135"/>
        <v/>
      </c>
      <c r="E284" s="175" t="str">
        <f t="shared" si="135"/>
        <v/>
      </c>
      <c r="F284" s="175" t="str">
        <f t="shared" si="135"/>
        <v/>
      </c>
      <c r="G284" s="175" t="str">
        <f t="shared" si="135"/>
        <v/>
      </c>
      <c r="H284" s="175" t="str">
        <f t="shared" si="135"/>
        <v/>
      </c>
      <c r="I284" s="175" t="str">
        <f t="shared" si="135"/>
        <v/>
      </c>
      <c r="J284" s="175" t="str">
        <f t="shared" si="135"/>
        <v/>
      </c>
      <c r="K284" s="175" t="str">
        <f t="shared" si="135"/>
        <v/>
      </c>
      <c r="L284" s="175" t="str">
        <f t="shared" si="135"/>
        <v/>
      </c>
      <c r="M284" s="175" t="str">
        <f t="shared" si="135"/>
        <v/>
      </c>
      <c r="N284" s="175" t="str">
        <f t="shared" si="135"/>
        <v/>
      </c>
      <c r="O284" s="175" t="str">
        <f t="shared" si="135"/>
        <v/>
      </c>
      <c r="P284" s="175" t="str">
        <f t="shared" si="135"/>
        <v/>
      </c>
      <c r="Q284" s="175" t="str">
        <f t="shared" si="135"/>
        <v/>
      </c>
      <c r="R284" s="175" t="str">
        <f t="shared" si="135"/>
        <v/>
      </c>
      <c r="S284" s="175" t="str">
        <f t="shared" si="135"/>
        <v/>
      </c>
      <c r="T284" s="175" t="str">
        <f t="shared" si="135"/>
        <v/>
      </c>
      <c r="U284" s="175" t="str">
        <f t="shared" si="135"/>
        <v/>
      </c>
      <c r="V284" s="175" t="str">
        <f t="shared" si="135"/>
        <v/>
      </c>
      <c r="W284" s="175" t="str">
        <f t="shared" si="135"/>
        <v/>
      </c>
      <c r="X284" s="175" t="str">
        <f t="shared" si="135"/>
        <v/>
      </c>
      <c r="Y284" s="175" t="str">
        <f t="shared" si="135"/>
        <v/>
      </c>
      <c r="Z284" s="175" t="str">
        <f t="shared" si="135"/>
        <v/>
      </c>
      <c r="AA284" s="175" t="str">
        <f t="shared" si="135"/>
        <v/>
      </c>
      <c r="AB284" s="175" t="str">
        <f t="shared" si="135"/>
        <v/>
      </c>
      <c r="AC284" s="175" t="str">
        <f t="shared" si="135"/>
        <v/>
      </c>
      <c r="AD284" s="175" t="str">
        <f t="shared" si="135"/>
        <v/>
      </c>
      <c r="AE284" s="175" t="str">
        <f t="shared" si="135"/>
        <v/>
      </c>
      <c r="AF284" s="175" t="str">
        <f t="shared" si="135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46">
    <cfRule type="expression" dxfId="2300" priority="53">
      <formula>$AH11=0</formula>
    </cfRule>
  </conditionalFormatting>
  <conditionalFormatting sqref="B8 M8 S8 AB8">
    <cfRule type="expression" dxfId="2299" priority="114">
      <formula>AND(C$9&gt;=8/24,C$9&lt;14/24)</formula>
    </cfRule>
    <cfRule type="expression" dxfId="2298" priority="115">
      <formula>C$9&lt;8/24</formula>
    </cfRule>
    <cfRule type="expression" dxfId="2297" priority="113">
      <formula>AND(C$9&gt;=14/24,C$9&lt;20/24)</formula>
    </cfRule>
  </conditionalFormatting>
  <conditionalFormatting sqref="B63:I74 J64:J74 J68:M74 N69:W74 C70:L70">
    <cfRule type="expression" dxfId="2296" priority="17">
      <formula>AND(B$9&gt;=8/24,B$9&lt;14/24)</formula>
    </cfRule>
    <cfRule type="expression" dxfId="2295" priority="16">
      <formula>AND(B$9&gt;=14/24,B$9&lt;20/24)</formula>
    </cfRule>
    <cfRule type="expression" dxfId="2294" priority="18">
      <formula>B$9&lt;8/24</formula>
    </cfRule>
    <cfRule type="expression" dxfId="2293" priority="15">
      <formula>B$9&gt;=20/24</formula>
    </cfRule>
  </conditionalFormatting>
  <conditionalFormatting sqref="B11:W54">
    <cfRule type="expression" dxfId="2292" priority="9">
      <formula>B11&gt;$AG11</formula>
    </cfRule>
  </conditionalFormatting>
  <conditionalFormatting sqref="B53:W54">
    <cfRule type="expression" dxfId="2291" priority="8">
      <formula>B$9&lt;8/24</formula>
    </cfRule>
  </conditionalFormatting>
  <conditionalFormatting sqref="B55:W55">
    <cfRule type="expression" dxfId="2290" priority="33">
      <formula>B55&gt;$AG55</formula>
    </cfRule>
  </conditionalFormatting>
  <conditionalFormatting sqref="B55:W57">
    <cfRule type="expression" dxfId="2289" priority="32">
      <formula>B$9&lt;8/24</formula>
    </cfRule>
  </conditionalFormatting>
  <conditionalFormatting sqref="B9:AF52">
    <cfRule type="expression" dxfId="2288" priority="26">
      <formula>AND(B$9&gt;=8/24,B$9&lt;14/24)</formula>
    </cfRule>
    <cfRule type="expression" dxfId="2287" priority="27">
      <formula>B$9&lt;8/24</formula>
    </cfRule>
    <cfRule type="expression" dxfId="2286" priority="25">
      <formula>AND(B$9&gt;=14/24,B$9&lt;20/24)</formula>
    </cfRule>
    <cfRule type="expression" dxfId="2285" priority="24">
      <formula>B$9&gt;=20/24</formula>
    </cfRule>
  </conditionalFormatting>
  <conditionalFormatting sqref="B53:AF54">
    <cfRule type="expression" dxfId="2284" priority="7">
      <formula>AND(B$9&gt;=8/24,B$9&lt;14/24)</formula>
    </cfRule>
    <cfRule type="expression" dxfId="2283" priority="5">
      <formula>B$9&gt;=20/24</formula>
    </cfRule>
    <cfRule type="expression" dxfId="2282" priority="6">
      <formula>AND(B$9&gt;=14/24,B$9&lt;20/24)</formula>
    </cfRule>
  </conditionalFormatting>
  <conditionalFormatting sqref="B55:AF57">
    <cfRule type="expression" dxfId="2281" priority="29">
      <formula>B$9&gt;=20/24</formula>
    </cfRule>
    <cfRule type="expression" dxfId="2280" priority="30">
      <formula>AND(B$9&gt;=14/24,B$9&lt;20/24)</formula>
    </cfRule>
    <cfRule type="expression" dxfId="2279" priority="31">
      <formula>AND(B$9&gt;=8/24,B$9&lt;14/24)</formula>
    </cfRule>
  </conditionalFormatting>
  <conditionalFormatting sqref="B56:AF61">
    <cfRule type="expression" dxfId="2278" priority="28">
      <formula>B56&gt;$AG56</formula>
    </cfRule>
  </conditionalFormatting>
  <conditionalFormatting sqref="B59:AF61">
    <cfRule type="expression" dxfId="2277" priority="42">
      <formula>B$9&lt;8/24</formula>
    </cfRule>
    <cfRule type="expression" dxfId="2276" priority="41">
      <formula>AND(B$9&gt;=8/24,B$9&lt;14/24)</formula>
    </cfRule>
    <cfRule type="expression" dxfId="2275" priority="39">
      <formula>B$9&gt;=20/24</formula>
    </cfRule>
    <cfRule type="expression" dxfId="2274" priority="40">
      <formula>AND(B$9&gt;=14/24,B$9&lt;20/24)</formula>
    </cfRule>
  </conditionalFormatting>
  <conditionalFormatting sqref="B63:AF74">
    <cfRule type="expression" dxfId="2273" priority="14">
      <formula>B63&gt;$AG63</formula>
    </cfRule>
  </conditionalFormatting>
  <conditionalFormatting sqref="B77:AF79">
    <cfRule type="expression" dxfId="2272" priority="47">
      <formula>B$9&lt;8/24</formula>
    </cfRule>
    <cfRule type="expression" dxfId="2271" priority="45">
      <formula>AND(B$9&gt;=14/24,B$9&lt;20/24)</formula>
    </cfRule>
    <cfRule type="expression" dxfId="2270" priority="43">
      <formula>B77&gt;$AG77</formula>
    </cfRule>
    <cfRule type="expression" dxfId="2269" priority="44">
      <formula>B$9&gt;=20/24</formula>
    </cfRule>
    <cfRule type="expression" dxfId="2268" priority="46">
      <formula>AND(B$9&gt;=8/24,B$9&lt;14/24)</formula>
    </cfRule>
  </conditionalFormatting>
  <conditionalFormatting sqref="B81:AF99">
    <cfRule type="expression" dxfId="2267" priority="10">
      <formula>B$9&gt;=20/24</formula>
    </cfRule>
    <cfRule type="expression" dxfId="2266" priority="11">
      <formula>AND(B$9&gt;=14/24,B$9&lt;20/24)</formula>
    </cfRule>
    <cfRule type="expression" dxfId="2265" priority="12">
      <formula>AND(B$9&gt;=8/24,B$9&lt;14/24)</formula>
    </cfRule>
    <cfRule type="expression" dxfId="2264" priority="13">
      <formula>B$9&lt;8/24</formula>
    </cfRule>
  </conditionalFormatting>
  <conditionalFormatting sqref="B101:AF117">
    <cfRule type="expression" dxfId="2263" priority="3">
      <formula>AND(B$9&gt;=8/24,B$9&lt;14/24)</formula>
    </cfRule>
    <cfRule type="expression" dxfId="2262" priority="4">
      <formula>B$9&lt;8/24</formula>
    </cfRule>
    <cfRule type="expression" dxfId="2261" priority="2">
      <formula>AND(B$9&gt;=14/24,B$9&lt;20/24)</formula>
    </cfRule>
    <cfRule type="expression" dxfId="2260" priority="1">
      <formula>B$9&gt;=20/24</formula>
    </cfRule>
  </conditionalFormatting>
  <conditionalFormatting sqref="B119:AF130">
    <cfRule type="expression" dxfId="2259" priority="19">
      <formula>B$9&gt;=20/24</formula>
    </cfRule>
    <cfRule type="expression" dxfId="2258" priority="20">
      <formula>AND(B$9&gt;=14/24,B$9&lt;20/24)</formula>
    </cfRule>
    <cfRule type="expression" dxfId="2257" priority="21">
      <formula>AND(B$9&gt;=8/24,B$9&lt;14/24)</formula>
    </cfRule>
    <cfRule type="expression" dxfId="2256" priority="22">
      <formula>B$9&lt;8/24</formula>
    </cfRule>
  </conditionalFormatting>
  <conditionalFormatting sqref="B237:AF237 B239:B245 D239:AF245 U258:AF258">
    <cfRule type="expression" dxfId="2255" priority="109">
      <formula>B$9&lt;8/24</formula>
    </cfRule>
    <cfRule type="expression" dxfId="2254" priority="108">
      <formula>AND(B$9&gt;=8/24,B$9&lt;14/24)</formula>
    </cfRule>
    <cfRule type="expression" dxfId="2253" priority="107">
      <formula>AND(B$9&gt;=14/24,B$9&lt;20/24)</formula>
    </cfRule>
    <cfRule type="expression" dxfId="2252" priority="106">
      <formula>B$9&gt;=20/24</formula>
    </cfRule>
  </conditionalFormatting>
  <conditionalFormatting sqref="B62:AG62">
    <cfRule type="expression" dxfId="2251" priority="48">
      <formula>B62&gt;$AG62</formula>
    </cfRule>
    <cfRule type="expression" dxfId="2250" priority="50">
      <formula>AND(B$9&gt;=14/24,B$9&lt;20/24)</formula>
    </cfRule>
    <cfRule type="expression" dxfId="2249" priority="51">
      <formula>AND(B$9&gt;=8/24,B$9&lt;14/24)</formula>
    </cfRule>
    <cfRule type="expression" dxfId="2248" priority="52">
      <formula>B$9&lt;8/24</formula>
    </cfRule>
    <cfRule type="expression" dxfId="2247" priority="49">
      <formula>B$9&gt;=20/24</formula>
    </cfRule>
  </conditionalFormatting>
  <conditionalFormatting sqref="B75:AG76 B80:AG80">
    <cfRule type="expression" dxfId="2246" priority="34">
      <formula>B75&gt;$AG75</formula>
    </cfRule>
  </conditionalFormatting>
  <conditionalFormatting sqref="B80:AG80">
    <cfRule type="expression" dxfId="2245" priority="35">
      <formula>B$9&gt;=20/24</formula>
    </cfRule>
    <cfRule type="expression" dxfId="2244" priority="38">
      <formula>B$9&lt;8/24</formula>
    </cfRule>
    <cfRule type="expression" dxfId="2243" priority="37">
      <formula>AND(B$9&gt;=8/24,B$9&lt;14/24)</formula>
    </cfRule>
    <cfRule type="expression" dxfId="2242" priority="36">
      <formula>AND(B$9&gt;=14/24,B$9&lt;20/24)</formula>
    </cfRule>
  </conditionalFormatting>
  <conditionalFormatting sqref="F63:L65">
    <cfRule type="expression" dxfId="2241" priority="90">
      <formula>F$9&lt;8/24</formula>
    </cfRule>
    <cfRule type="expression" dxfId="2240" priority="89">
      <formula>AND(F$9&gt;=8/24,F$9&lt;14/24)</formula>
    </cfRule>
    <cfRule type="expression" dxfId="2239" priority="88">
      <formula>AND(F$9&gt;=14/24,F$9&lt;20/24)</formula>
    </cfRule>
    <cfRule type="expression" dxfId="2238" priority="87">
      <formula>F$9&gt;=20/24</formula>
    </cfRule>
  </conditionalFormatting>
  <conditionalFormatting sqref="F68:W68">
    <cfRule type="expression" dxfId="2237" priority="64">
      <formula>F$9&gt;=20/24</formula>
    </cfRule>
    <cfRule type="expression" dxfId="2236" priority="65">
      <formula>AND(F$9&gt;=14/24,F$9&lt;20/24)</formula>
    </cfRule>
    <cfRule type="expression" dxfId="2235" priority="66">
      <formula>AND(F$9&gt;=8/24,F$9&lt;14/24)</formula>
    </cfRule>
    <cfRule type="expression" dxfId="2234" priority="67">
      <formula>F$9&lt;8/24</formula>
    </cfRule>
  </conditionalFormatting>
  <conditionalFormatting sqref="F69:AF74">
    <cfRule type="expression" dxfId="2233" priority="54">
      <formula>F$9&gt;=20/24</formula>
    </cfRule>
    <cfRule type="expression" dxfId="2232" priority="55">
      <formula>AND(F$9&gt;=14/24,F$9&lt;20/24)</formula>
    </cfRule>
    <cfRule type="expression" dxfId="2231" priority="56">
      <formula>AND(F$9&gt;=8/24,F$9&lt;14/24)</formula>
    </cfRule>
    <cfRule type="expression" dxfId="2230" priority="57">
      <formula>F$9&lt;8/24</formula>
    </cfRule>
  </conditionalFormatting>
  <conditionalFormatting sqref="M63:W67">
    <cfRule type="expression" dxfId="2229" priority="92">
      <formula>AND(M$9&gt;=14/24,M$9&lt;20/24)</formula>
    </cfRule>
    <cfRule type="expression" dxfId="2228" priority="91">
      <formula>M$9&gt;=20/24</formula>
    </cfRule>
    <cfRule type="expression" dxfId="2227" priority="93">
      <formula>AND(M$9&gt;=8/24,M$9&lt;14/24)</formula>
    </cfRule>
    <cfRule type="expression" dxfId="2226" priority="94">
      <formula>M$9&lt;8/24</formula>
    </cfRule>
  </conditionalFormatting>
  <conditionalFormatting sqref="O3:P3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225" priority="112">
      <formula>C$9&gt;=20/24</formula>
    </cfRule>
  </conditionalFormatting>
  <conditionalFormatting sqref="S8">
    <cfRule type="expression" dxfId="2224" priority="100">
      <formula>AND(U$9&gt;=14/24,U$9&lt;20/24)</formula>
    </cfRule>
    <cfRule type="expression" dxfId="2223" priority="102">
      <formula>U$9&lt;8/24</formula>
    </cfRule>
    <cfRule type="expression" dxfId="2222" priority="101">
      <formula>AND(U$9&gt;=8/24,U$9&lt;14/24)</formula>
    </cfRule>
    <cfRule type="expression" dxfId="2221" priority="99">
      <formula>U$9&gt;=20/24</formula>
    </cfRule>
  </conditionalFormatting>
  <conditionalFormatting sqref="T258">
    <cfRule type="expression" dxfId="2220" priority="127">
      <formula>AX$9&lt;8/24</formula>
    </cfRule>
    <cfRule type="expression" dxfId="2219" priority="124">
      <formula>AX$9&gt;=20/24</formula>
    </cfRule>
    <cfRule type="expression" dxfId="2218" priority="125">
      <formula>AND(AX$9&gt;=14/24,AX$9&lt;20/24)</formula>
    </cfRule>
    <cfRule type="expression" dxfId="2217" priority="126">
      <formula>AND(AX$9&gt;=8/24,AX$9&lt;14/24)</formula>
    </cfRule>
  </conditionalFormatting>
  <conditionalFormatting sqref="V3 AB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X11:AF52">
    <cfRule type="expression" dxfId="2216" priority="23">
      <formula>X11&gt;$AG11</formula>
    </cfRule>
  </conditionalFormatting>
  <conditionalFormatting sqref="X53:AF55">
    <cfRule type="expression" dxfId="2215" priority="63">
      <formula>X53&gt;$AG53</formula>
    </cfRule>
  </conditionalFormatting>
  <conditionalFormatting sqref="X53:AF57">
    <cfRule type="expression" dxfId="2214" priority="62">
      <formula>X$9&lt;8/24</formula>
    </cfRule>
  </conditionalFormatting>
  <conditionalFormatting sqref="X63:AF68">
    <cfRule type="expression" dxfId="2213" priority="58">
      <formula>X$9&gt;=20/24</formula>
    </cfRule>
    <cfRule type="expression" dxfId="2212" priority="59">
      <formula>AND(X$9&gt;=14/24,X$9&lt;20/24)</formula>
    </cfRule>
    <cfRule type="expression" dxfId="2211" priority="61">
      <formula>X$9&lt;8/24</formula>
    </cfRule>
    <cfRule type="expression" dxfId="2210" priority="60">
      <formula>AND(X$9&gt;=8/24,X$9&lt;14/24)</formula>
    </cfRule>
  </conditionalFormatting>
  <conditionalFormatting sqref="AB8">
    <cfRule type="expression" dxfId="2209" priority="95">
      <formula>AD$9&gt;=20/24</formula>
    </cfRule>
    <cfRule type="expression" dxfId="2208" priority="96">
      <formula>AND(AD$9&gt;=14/24,AD$9&lt;20/24)</formula>
    </cfRule>
    <cfRule type="expression" dxfId="2207" priority="97">
      <formula>AND(AD$9&gt;=8/24,AD$9&lt;14/24)</formula>
    </cfRule>
    <cfRule type="expression" dxfId="2206" priority="98">
      <formula>AD$9&lt;8/24</formula>
    </cfRule>
  </conditionalFormatting>
  <conditionalFormatting sqref="AG58">
    <cfRule type="expression" dxfId="2205" priority="82">
      <formula>AG58&gt;$AG58</formula>
    </cfRule>
  </conditionalFormatting>
  <conditionalFormatting sqref="AG97">
    <cfRule type="expression" dxfId="2204" priority="83">
      <formula>AG$9&gt;=20/24</formula>
    </cfRule>
    <cfRule type="expression" dxfId="2203" priority="84">
      <formula>AND(AG$9&gt;=14/24,AG$9&lt;20/24)</formula>
    </cfRule>
    <cfRule type="expression" dxfId="2202" priority="86">
      <formula>AG$9&lt;8/24</formula>
    </cfRule>
    <cfRule type="expression" dxfId="2201" priority="85">
      <formula>AND(AG$9&gt;=8/24,AG$9&lt;14/24)</formula>
    </cfRule>
  </conditionalFormatting>
  <conditionalFormatting sqref="AG258">
    <cfRule type="expression" dxfId="2200" priority="119">
      <formula>B$9&lt;8/24</formula>
    </cfRule>
    <cfRule type="expression" dxfId="2199" priority="116">
      <formula>B$9&gt;=20/24</formula>
    </cfRule>
    <cfRule type="expression" dxfId="2198" priority="117">
      <formula>AND(B$9&gt;=14/24,B$9&lt;20/24)</formula>
    </cfRule>
    <cfRule type="expression" dxfId="2197" priority="118">
      <formula>AND(B$9&gt;=8/24,B$9&lt;14/24)</formula>
    </cfRule>
  </conditionalFormatting>
  <conditionalFormatting sqref="AH258:AX258">
    <cfRule type="expression" dxfId="2196" priority="120">
      <formula>AG$9&gt;=20/24</formula>
    </cfRule>
    <cfRule type="expression" dxfId="2195" priority="121">
      <formula>AND(AG$9&gt;=14/24,AG$9&lt;20/24)</formula>
    </cfRule>
    <cfRule type="expression" dxfId="2194" priority="122">
      <formula>AND(AG$9&gt;=8/24,AG$9&lt;14/24)</formula>
    </cfRule>
    <cfRule type="expression" dxfId="2193" priority="123">
      <formula>AG$9&lt;8/24</formula>
    </cfRule>
  </conditionalFormatting>
  <conditionalFormatting sqref="AL4:AL6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192" priority="129">
      <formula>AJ$9&gt;=20/24</formula>
    </cfRule>
    <cfRule type="expression" dxfId="2191" priority="130">
      <formula>AND(AJ$9&gt;=14/24,AJ$9&lt;20/24)</formula>
    </cfRule>
    <cfRule type="expression" dxfId="2190" priority="131">
      <formula>AND(AJ$9&gt;=8/24,AJ$9&lt;14/24)</formula>
    </cfRule>
    <cfRule type="expression" dxfId="2189" priority="132">
      <formula>AJ$9&lt;8/24</formula>
    </cfRule>
  </conditionalFormatting>
  <conditionalFormatting sqref="AL88:AN88 AL94:AN94">
    <cfRule type="expression" dxfId="2188" priority="78">
      <formula>AL$9&lt;8/24</formula>
    </cfRule>
    <cfRule type="expression" dxfId="2187" priority="77">
      <formula>AND(AL$9&gt;=8/24,AL$9&lt;14/24)</formula>
    </cfRule>
    <cfRule type="expression" dxfId="2186" priority="75">
      <formula>AL$9&gt;=20/24</formula>
    </cfRule>
    <cfRule type="expression" dxfId="2185" priority="76">
      <formula>AND(AL$9&gt;=14/24,AL$9&lt;20/24)</formula>
    </cfRule>
  </conditionalFormatting>
  <conditionalFormatting sqref="AN89:AN92">
    <cfRule type="expression" dxfId="2184" priority="74">
      <formula>AN$9&lt;8/24</formula>
    </cfRule>
    <cfRule type="expression" dxfId="2183" priority="73">
      <formula>AND(AN$9&gt;=8/24,AN$9&lt;14/24)</formula>
    </cfRule>
    <cfRule type="expression" dxfId="2182" priority="72">
      <formula>AND(AN$9&gt;=14/24,AN$9&lt;20/24)</formula>
    </cfRule>
    <cfRule type="expression" dxfId="2181" priority="7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049-9D93-425A-B31B-C1956A797DA8}">
  <sheetPr codeName="Sheet15"/>
  <dimension ref="A1:CJ291"/>
  <sheetViews>
    <sheetView zoomScale="106" workbookViewId="0">
      <pane xSplit="1" ySplit="10" topLeftCell="B34" activePane="bottomRight" state="frozen"/>
      <selection activeCell="P118" sqref="P118"/>
      <selection pane="topRight" activeCell="P118" sqref="P118"/>
      <selection pane="bottomLeft" activeCell="P118" sqref="P118"/>
      <selection pane="bottomRight" activeCell="K59" sqref="K5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1" hidden="1" thickBot="1" x14ac:dyDescent="0.3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9.5" hidden="1" thickBot="1" x14ac:dyDescent="0.3">
      <c r="A4" s="25" t="s">
        <v>11</v>
      </c>
      <c r="B4" s="246" t="str">
        <f ca="1">"2080/"&amp;"09/"&amp;INT(MID(CELL("filename",D6),FIND("]",CELL("filename",D6))+1,200))</f>
        <v>2080/09/14</v>
      </c>
      <c r="C4" s="246"/>
      <c r="D4" s="246"/>
      <c r="E4" s="247" t="str">
        <f ca="1">"2080/"&amp;"09/"&amp;INT(MID(CELL("filename",G6),FIND("]",CELL("filename",G6))+1,200))</f>
        <v>2080/09/14</v>
      </c>
      <c r="F4" s="247"/>
      <c r="G4" s="247"/>
      <c r="H4" s="247" t="str">
        <f ca="1">TEXT(E4,"dddd")</f>
        <v>Saturday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153</v>
      </c>
      <c r="C5" s="30">
        <f t="shared" si="0"/>
        <v>135</v>
      </c>
      <c r="D5" s="30">
        <f t="shared" si="0"/>
        <v>113.4</v>
      </c>
      <c r="E5" s="30">
        <f t="shared" si="0"/>
        <v>115.9</v>
      </c>
      <c r="F5" s="30">
        <f t="shared" si="0"/>
        <v>136.19999999999999</v>
      </c>
      <c r="G5" s="30">
        <f t="shared" si="0"/>
        <v>210.3</v>
      </c>
      <c r="H5" s="30">
        <f t="shared" si="0"/>
        <v>244.3</v>
      </c>
      <c r="I5" s="30">
        <f t="shared" si="0"/>
        <v>287.5</v>
      </c>
      <c r="J5" s="30">
        <f t="shared" si="0"/>
        <v>145.80000000000001</v>
      </c>
      <c r="K5" s="30">
        <f t="shared" si="0"/>
        <v>81</v>
      </c>
      <c r="L5" s="30">
        <f t="shared" si="0"/>
        <v>47.2</v>
      </c>
      <c r="M5" s="30">
        <f t="shared" si="0"/>
        <v>27.7</v>
      </c>
      <c r="N5" s="30">
        <f t="shared" si="0"/>
        <v>15</v>
      </c>
      <c r="O5" s="30">
        <f t="shared" si="0"/>
        <v>103.9</v>
      </c>
      <c r="P5" s="30">
        <f t="shared" si="0"/>
        <v>220</v>
      </c>
      <c r="Q5" s="30">
        <f t="shared" si="0"/>
        <v>242.1</v>
      </c>
      <c r="R5" s="30">
        <f t="shared" si="0"/>
        <v>272.5</v>
      </c>
      <c r="S5" s="30">
        <f t="shared" si="0"/>
        <v>279.5</v>
      </c>
      <c r="T5" s="30">
        <f t="shared" si="0"/>
        <v>287.5</v>
      </c>
      <c r="U5" s="30">
        <f t="shared" si="0"/>
        <v>24.5</v>
      </c>
      <c r="V5" s="30">
        <f t="shared" si="0"/>
        <v>16.399999999999999</v>
      </c>
      <c r="W5" s="30">
        <f t="shared" si="0"/>
        <v>22</v>
      </c>
      <c r="X5" s="30">
        <f t="shared" si="0"/>
        <v>20.8</v>
      </c>
      <c r="Y5" s="30">
        <f t="shared" si="0"/>
        <v>38.5</v>
      </c>
      <c r="Z5" s="30">
        <f t="shared" si="0"/>
        <v>56.4</v>
      </c>
      <c r="AA5" s="30">
        <f t="shared" si="0"/>
        <v>98.2</v>
      </c>
      <c r="AB5" s="30">
        <f t="shared" si="0"/>
        <v>177</v>
      </c>
      <c r="AC5" s="30">
        <f t="shared" si="0"/>
        <v>151</v>
      </c>
      <c r="AD5" s="30">
        <f t="shared" si="0"/>
        <v>137</v>
      </c>
      <c r="AE5" s="30">
        <f t="shared" si="0"/>
        <v>135</v>
      </c>
      <c r="AF5" s="30">
        <f>B92</f>
        <v>188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9.5" hidden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1516MW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Load=949</v>
      </c>
      <c r="B7" s="35">
        <f>B100</f>
        <v>1009.7400000000001</v>
      </c>
      <c r="C7" s="35">
        <f t="shared" ref="C7:AF7" si="1">C100</f>
        <v>970.94000000000017</v>
      </c>
      <c r="D7" s="35">
        <f t="shared" si="1"/>
        <v>955.54000000000019</v>
      </c>
      <c r="E7" s="35">
        <f t="shared" si="1"/>
        <v>948.84000000000015</v>
      </c>
      <c r="F7" s="35">
        <f t="shared" si="1"/>
        <v>956.34000000000015</v>
      </c>
      <c r="G7" s="35">
        <f t="shared" si="1"/>
        <v>1023.2400000000002</v>
      </c>
      <c r="H7" s="35">
        <f t="shared" si="1"/>
        <v>1096.6400000000001</v>
      </c>
      <c r="I7" s="35">
        <f t="shared" si="1"/>
        <v>1169.74</v>
      </c>
      <c r="J7" s="35">
        <f t="shared" si="1"/>
        <v>1285.6400000000001</v>
      </c>
      <c r="K7" s="35">
        <f t="shared" si="1"/>
        <v>1379.0400000000002</v>
      </c>
      <c r="L7" s="35">
        <f t="shared" si="1"/>
        <v>1494.8400000000001</v>
      </c>
      <c r="M7" s="35">
        <f t="shared" si="1"/>
        <v>1514.8270833333333</v>
      </c>
      <c r="N7" s="35">
        <f t="shared" si="1"/>
        <v>1484.4270833333335</v>
      </c>
      <c r="O7" s="35">
        <f t="shared" si="1"/>
        <v>1428.6270833333333</v>
      </c>
      <c r="P7" s="35">
        <f t="shared" si="1"/>
        <v>1276.3270833333333</v>
      </c>
      <c r="Q7" s="35">
        <f t="shared" si="1"/>
        <v>1228.3270833333333</v>
      </c>
      <c r="R7" s="35">
        <f t="shared" si="1"/>
        <v>1166.5270833333332</v>
      </c>
      <c r="S7" s="35">
        <f t="shared" si="1"/>
        <v>1150.6270833333333</v>
      </c>
      <c r="T7" s="35">
        <f t="shared" si="1"/>
        <v>1138.8270833333333</v>
      </c>
      <c r="U7" s="35">
        <f t="shared" si="1"/>
        <v>1152.8270833333333</v>
      </c>
      <c r="V7" s="35">
        <f t="shared" si="1"/>
        <v>1274.5270833333334</v>
      </c>
      <c r="W7" s="35">
        <f t="shared" si="1"/>
        <v>1407.5670833333336</v>
      </c>
      <c r="X7" s="35">
        <f t="shared" si="1"/>
        <v>1575.9670833333332</v>
      </c>
      <c r="Y7" s="35">
        <f t="shared" si="1"/>
        <v>1524.7670833333332</v>
      </c>
      <c r="Z7" s="35">
        <f t="shared" si="1"/>
        <v>1468.4670833333334</v>
      </c>
      <c r="AA7" s="35">
        <f t="shared" si="1"/>
        <v>1375.8670833333335</v>
      </c>
      <c r="AB7" s="35">
        <f t="shared" si="1"/>
        <v>1361.0670833333334</v>
      </c>
      <c r="AC7" s="35">
        <f t="shared" si="1"/>
        <v>1281.7670833333334</v>
      </c>
      <c r="AD7" s="35">
        <f t="shared" si="1"/>
        <v>1192.0670833333334</v>
      </c>
      <c r="AE7" s="35">
        <f t="shared" si="1"/>
        <v>1037.0670833333334</v>
      </c>
      <c r="AF7" s="35">
        <f t="shared" si="1"/>
        <v>952.2670833333334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38.6</v>
      </c>
      <c r="C11" s="45">
        <v>38.6</v>
      </c>
      <c r="D11" s="45">
        <v>38.6</v>
      </c>
      <c r="E11" s="45">
        <v>38.6</v>
      </c>
      <c r="F11" s="45">
        <v>38.6</v>
      </c>
      <c r="G11" s="45">
        <v>38.6</v>
      </c>
      <c r="H11" s="45">
        <v>38.6</v>
      </c>
      <c r="I11" s="45">
        <v>38.6</v>
      </c>
      <c r="J11" s="45">
        <v>38.6</v>
      </c>
      <c r="K11" s="45">
        <v>38.6</v>
      </c>
      <c r="L11" s="45">
        <v>38.6</v>
      </c>
      <c r="M11" s="45">
        <v>38</v>
      </c>
      <c r="N11" s="45">
        <v>36</v>
      </c>
      <c r="O11" s="45">
        <v>34.700000000000003</v>
      </c>
      <c r="P11" s="45">
        <v>31.4</v>
      </c>
      <c r="Q11" s="45">
        <v>31.4</v>
      </c>
      <c r="R11" s="45">
        <v>31.4</v>
      </c>
      <c r="S11" s="45">
        <v>31.4</v>
      </c>
      <c r="T11" s="45">
        <v>31.4</v>
      </c>
      <c r="U11" s="45">
        <v>31.4</v>
      </c>
      <c r="V11" s="45">
        <v>31.4</v>
      </c>
      <c r="W11" s="45">
        <v>31.4</v>
      </c>
      <c r="X11" s="45">
        <v>31.4</v>
      </c>
      <c r="Y11" s="45">
        <v>31.4</v>
      </c>
      <c r="Z11" s="45">
        <v>31.4</v>
      </c>
      <c r="AA11" s="45">
        <v>31.4</v>
      </c>
      <c r="AB11" s="45">
        <v>31.4</v>
      </c>
      <c r="AC11" s="45">
        <v>31.4</v>
      </c>
      <c r="AD11" s="45">
        <v>31.4</v>
      </c>
      <c r="AE11" s="45">
        <v>31.4</v>
      </c>
      <c r="AF11" s="45">
        <v>38.700000000000003</v>
      </c>
      <c r="AG11" s="46">
        <v>86</v>
      </c>
      <c r="AH11" s="47">
        <f t="shared" ref="AH11:AH84" si="2">MAX(B11:AF11)</f>
        <v>38.700000000000003</v>
      </c>
      <c r="AI11" s="48">
        <f t="shared" ref="AI11:AI84" si="3">MIN(B11:AF11)</f>
        <v>31.4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</v>
      </c>
      <c r="C12" s="45">
        <v>13</v>
      </c>
      <c r="D12" s="45">
        <v>13</v>
      </c>
      <c r="E12" s="45">
        <v>13</v>
      </c>
      <c r="F12" s="45">
        <v>13</v>
      </c>
      <c r="G12" s="45">
        <v>13</v>
      </c>
      <c r="H12" s="45">
        <v>13</v>
      </c>
      <c r="I12" s="45">
        <v>13</v>
      </c>
      <c r="J12" s="45">
        <v>13</v>
      </c>
      <c r="K12" s="45">
        <v>13</v>
      </c>
      <c r="L12" s="45">
        <v>13</v>
      </c>
      <c r="M12" s="45">
        <v>13</v>
      </c>
      <c r="N12" s="45">
        <v>13</v>
      </c>
      <c r="O12" s="45">
        <v>13</v>
      </c>
      <c r="P12" s="45">
        <v>13</v>
      </c>
      <c r="Q12" s="45">
        <v>13</v>
      </c>
      <c r="R12" s="45">
        <v>13</v>
      </c>
      <c r="S12" s="45">
        <v>13</v>
      </c>
      <c r="T12" s="45">
        <v>13</v>
      </c>
      <c r="U12" s="45">
        <v>13</v>
      </c>
      <c r="V12" s="45">
        <v>13</v>
      </c>
      <c r="W12" s="45">
        <v>14.8</v>
      </c>
      <c r="X12" s="45">
        <v>14.8</v>
      </c>
      <c r="Y12" s="45">
        <v>14.8</v>
      </c>
      <c r="Z12" s="45">
        <v>14.8</v>
      </c>
      <c r="AA12" s="45">
        <v>14.8</v>
      </c>
      <c r="AB12" s="45">
        <v>14.8</v>
      </c>
      <c r="AC12" s="45">
        <v>14.8</v>
      </c>
      <c r="AD12" s="45">
        <v>14.8</v>
      </c>
      <c r="AE12" s="45">
        <v>14.8</v>
      </c>
      <c r="AF12" s="45">
        <v>14.8</v>
      </c>
      <c r="AG12" s="49">
        <v>54</v>
      </c>
      <c r="AH12" s="47">
        <f t="shared" si="2"/>
        <v>14.8</v>
      </c>
      <c r="AI12" s="48">
        <f t="shared" si="3"/>
        <v>13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16.5</v>
      </c>
      <c r="C13" s="45">
        <v>16.5</v>
      </c>
      <c r="D13" s="45">
        <v>16.5</v>
      </c>
      <c r="E13" s="45">
        <v>16.5</v>
      </c>
      <c r="F13" s="45">
        <v>16.5</v>
      </c>
      <c r="G13" s="45">
        <v>16.5</v>
      </c>
      <c r="H13" s="45">
        <v>16.5</v>
      </c>
      <c r="I13" s="45">
        <v>16.5</v>
      </c>
      <c r="J13" s="45">
        <v>16.5</v>
      </c>
      <c r="K13" s="45">
        <v>16.5</v>
      </c>
      <c r="L13" s="45">
        <v>16.5</v>
      </c>
      <c r="M13" s="45">
        <v>16.5</v>
      </c>
      <c r="N13" s="45">
        <v>16.5</v>
      </c>
      <c r="O13" s="45">
        <v>16.5</v>
      </c>
      <c r="P13" s="45">
        <v>16.5</v>
      </c>
      <c r="Q13" s="45">
        <v>16.5</v>
      </c>
      <c r="R13" s="45">
        <v>16.5</v>
      </c>
      <c r="S13" s="45">
        <v>16.5</v>
      </c>
      <c r="T13" s="45">
        <v>16.5</v>
      </c>
      <c r="U13" s="45">
        <v>16.5</v>
      </c>
      <c r="V13" s="45">
        <v>16.5</v>
      </c>
      <c r="W13" s="45">
        <v>18</v>
      </c>
      <c r="X13" s="45">
        <v>18</v>
      </c>
      <c r="Y13" s="45">
        <v>18</v>
      </c>
      <c r="Z13" s="45">
        <v>18</v>
      </c>
      <c r="AA13" s="45">
        <v>18</v>
      </c>
      <c r="AB13" s="45">
        <v>18</v>
      </c>
      <c r="AC13" s="45">
        <v>18</v>
      </c>
      <c r="AD13" s="45">
        <v>18</v>
      </c>
      <c r="AE13" s="45">
        <v>18</v>
      </c>
      <c r="AF13" s="45">
        <v>18</v>
      </c>
      <c r="AG13" s="49">
        <v>54</v>
      </c>
      <c r="AH13" s="47">
        <f t="shared" si="2"/>
        <v>18</v>
      </c>
      <c r="AI13" s="48">
        <f t="shared" si="3"/>
        <v>16.5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21.5</v>
      </c>
      <c r="C14" s="45">
        <v>21.5</v>
      </c>
      <c r="D14" s="45">
        <v>21.5</v>
      </c>
      <c r="E14" s="45">
        <v>21.5</v>
      </c>
      <c r="F14" s="45">
        <v>21.5</v>
      </c>
      <c r="G14" s="45">
        <v>21.5</v>
      </c>
      <c r="H14" s="45">
        <v>21.5</v>
      </c>
      <c r="I14" s="45">
        <v>21.5</v>
      </c>
      <c r="J14" s="45">
        <v>21.5</v>
      </c>
      <c r="K14" s="45">
        <v>21.5</v>
      </c>
      <c r="L14" s="45">
        <v>21.5</v>
      </c>
      <c r="M14" s="45">
        <v>19.899999999999999</v>
      </c>
      <c r="N14" s="45">
        <v>19.899999999999999</v>
      </c>
      <c r="O14" s="45">
        <v>19.899999999999999</v>
      </c>
      <c r="P14" s="45">
        <v>19.899999999999999</v>
      </c>
      <c r="Q14" s="45">
        <v>19.899999999999999</v>
      </c>
      <c r="R14" s="45">
        <v>19.899999999999999</v>
      </c>
      <c r="S14" s="45">
        <v>19.899999999999999</v>
      </c>
      <c r="T14" s="45">
        <v>19.899999999999999</v>
      </c>
      <c r="U14" s="45">
        <v>19.899999999999999</v>
      </c>
      <c r="V14" s="45">
        <v>19.899999999999999</v>
      </c>
      <c r="W14" s="45">
        <v>19.899999999999999</v>
      </c>
      <c r="X14" s="45">
        <v>19.899999999999999</v>
      </c>
      <c r="Y14" s="45">
        <v>19.899999999999999</v>
      </c>
      <c r="Z14" s="45">
        <v>19.899999999999999</v>
      </c>
      <c r="AA14" s="45">
        <v>19.899999999999999</v>
      </c>
      <c r="AB14" s="45">
        <v>19.899999999999999</v>
      </c>
      <c r="AC14" s="45">
        <v>19.899999999999999</v>
      </c>
      <c r="AD14" s="45">
        <v>19.899999999999999</v>
      </c>
      <c r="AE14" s="45">
        <v>19.899999999999999</v>
      </c>
      <c r="AF14" s="45">
        <v>19.899999999999999</v>
      </c>
      <c r="AG14" s="46">
        <v>52.4</v>
      </c>
      <c r="AH14" s="47">
        <f t="shared" si="2"/>
        <v>21.5</v>
      </c>
      <c r="AI14" s="48">
        <f t="shared" si="3"/>
        <v>19.899999999999999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41.3</v>
      </c>
      <c r="C15" s="45">
        <v>41.3</v>
      </c>
      <c r="D15" s="45">
        <v>41.3</v>
      </c>
      <c r="E15" s="45">
        <v>41.3</v>
      </c>
      <c r="F15" s="45">
        <v>41.3</v>
      </c>
      <c r="G15" s="45">
        <v>41.3</v>
      </c>
      <c r="H15" s="45">
        <v>41.3</v>
      </c>
      <c r="I15" s="45">
        <v>41.3</v>
      </c>
      <c r="J15" s="45">
        <v>41.3</v>
      </c>
      <c r="K15" s="45">
        <v>41.3</v>
      </c>
      <c r="L15" s="45">
        <v>41.3</v>
      </c>
      <c r="M15" s="45">
        <v>41.4</v>
      </c>
      <c r="N15" s="51">
        <v>41.9</v>
      </c>
      <c r="O15" s="51">
        <v>41.9</v>
      </c>
      <c r="P15" s="51">
        <v>41.9</v>
      </c>
      <c r="Q15" s="51">
        <v>41.9</v>
      </c>
      <c r="R15" s="51">
        <v>41.9</v>
      </c>
      <c r="S15" s="51">
        <v>41.9</v>
      </c>
      <c r="T15" s="51">
        <v>41.9</v>
      </c>
      <c r="U15" s="51">
        <v>41.9</v>
      </c>
      <c r="V15" s="51">
        <v>41.9</v>
      </c>
      <c r="W15" s="51">
        <v>41.9</v>
      </c>
      <c r="X15" s="51">
        <v>41.9</v>
      </c>
      <c r="Y15" s="51">
        <v>41.9</v>
      </c>
      <c r="Z15" s="51">
        <v>41.9</v>
      </c>
      <c r="AA15" s="51">
        <v>41.9</v>
      </c>
      <c r="AB15" s="51">
        <v>41.9</v>
      </c>
      <c r="AC15" s="51">
        <v>41.9</v>
      </c>
      <c r="AD15" s="51">
        <v>41.9</v>
      </c>
      <c r="AE15" s="51">
        <v>41.9</v>
      </c>
      <c r="AF15" s="51">
        <v>41.9</v>
      </c>
      <c r="AG15" s="49">
        <v>50</v>
      </c>
      <c r="AH15" s="47">
        <f t="shared" si="2"/>
        <v>41.9</v>
      </c>
      <c r="AI15" s="48">
        <f t="shared" si="3"/>
        <v>41.3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22.1</v>
      </c>
      <c r="C16" s="45">
        <v>22.1</v>
      </c>
      <c r="D16" s="45">
        <v>22.1</v>
      </c>
      <c r="E16" s="45">
        <v>22.1</v>
      </c>
      <c r="F16" s="45">
        <v>22.1</v>
      </c>
      <c r="G16" s="45">
        <v>22.1</v>
      </c>
      <c r="H16" s="45">
        <v>22.1</v>
      </c>
      <c r="I16" s="45">
        <v>22.1</v>
      </c>
      <c r="J16" s="45">
        <v>22.1</v>
      </c>
      <c r="K16" s="45">
        <v>22.1</v>
      </c>
      <c r="L16" s="45">
        <v>22.1</v>
      </c>
      <c r="M16" s="45">
        <v>20.399999999999999</v>
      </c>
      <c r="N16" s="45">
        <v>19.8</v>
      </c>
      <c r="O16" s="45">
        <v>19.8</v>
      </c>
      <c r="P16" s="45">
        <v>19.8</v>
      </c>
      <c r="Q16" s="45">
        <v>19.8</v>
      </c>
      <c r="R16" s="45">
        <v>19.8</v>
      </c>
      <c r="S16" s="45">
        <v>19.8</v>
      </c>
      <c r="T16" s="45">
        <v>19.8</v>
      </c>
      <c r="U16" s="45">
        <v>19.8</v>
      </c>
      <c r="V16" s="45">
        <v>19.8</v>
      </c>
      <c r="W16" s="45">
        <v>23.8</v>
      </c>
      <c r="X16" s="45">
        <v>23.8</v>
      </c>
      <c r="Y16" s="45">
        <v>23.8</v>
      </c>
      <c r="Z16" s="45">
        <v>23.8</v>
      </c>
      <c r="AA16" s="45">
        <v>23.8</v>
      </c>
      <c r="AB16" s="45">
        <v>23.8</v>
      </c>
      <c r="AC16" s="45">
        <v>23.8</v>
      </c>
      <c r="AD16" s="45">
        <v>23.8</v>
      </c>
      <c r="AE16" s="45">
        <v>23.8</v>
      </c>
      <c r="AF16" s="45">
        <v>23.8</v>
      </c>
      <c r="AG16" s="49">
        <v>45</v>
      </c>
      <c r="AH16" s="47">
        <f t="shared" si="2"/>
        <v>23.8</v>
      </c>
      <c r="AI16" s="48">
        <f t="shared" si="3"/>
        <v>19.8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11.5</v>
      </c>
      <c r="N18" s="45">
        <v>11.5</v>
      </c>
      <c r="O18" s="45">
        <v>11.5</v>
      </c>
      <c r="P18" s="45">
        <v>11.5</v>
      </c>
      <c r="Q18" s="45">
        <v>11.5</v>
      </c>
      <c r="R18" s="45">
        <v>11.5</v>
      </c>
      <c r="S18" s="45">
        <v>11.5</v>
      </c>
      <c r="T18" s="45">
        <v>11.5</v>
      </c>
      <c r="U18" s="45">
        <v>11.5</v>
      </c>
      <c r="V18" s="45">
        <v>11.5</v>
      </c>
      <c r="W18" s="45">
        <v>12</v>
      </c>
      <c r="X18" s="45">
        <v>12</v>
      </c>
      <c r="Y18" s="45">
        <v>12</v>
      </c>
      <c r="Z18" s="45">
        <v>12</v>
      </c>
      <c r="AA18" s="45">
        <v>12</v>
      </c>
      <c r="AB18" s="45">
        <v>12</v>
      </c>
      <c r="AC18" s="45">
        <v>12</v>
      </c>
      <c r="AD18" s="45">
        <v>12</v>
      </c>
      <c r="AE18" s="45">
        <v>12</v>
      </c>
      <c r="AF18" s="45">
        <v>12</v>
      </c>
      <c r="AG18" s="49">
        <v>42</v>
      </c>
      <c r="AH18" s="47">
        <f t="shared" si="2"/>
        <v>13</v>
      </c>
      <c r="AI18" s="48">
        <f t="shared" si="3"/>
        <v>11.5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16.5</v>
      </c>
      <c r="C19" s="45">
        <v>16.5</v>
      </c>
      <c r="D19" s="45">
        <v>16.5</v>
      </c>
      <c r="E19" s="45">
        <v>16.5</v>
      </c>
      <c r="F19" s="45">
        <v>16.5</v>
      </c>
      <c r="G19" s="45">
        <v>16.5</v>
      </c>
      <c r="H19" s="45">
        <v>16.5</v>
      </c>
      <c r="I19" s="45">
        <v>16.5</v>
      </c>
      <c r="J19" s="45">
        <v>16.5</v>
      </c>
      <c r="K19" s="45">
        <v>16.5</v>
      </c>
      <c r="L19" s="45">
        <v>16.5</v>
      </c>
      <c r="M19" s="45">
        <v>16.5</v>
      </c>
      <c r="N19" s="45">
        <v>16.5</v>
      </c>
      <c r="O19" s="45">
        <v>16.5</v>
      </c>
      <c r="P19" s="45">
        <v>16.5</v>
      </c>
      <c r="Q19" s="45">
        <v>16.5</v>
      </c>
      <c r="R19" s="45">
        <v>16.5</v>
      </c>
      <c r="S19" s="45">
        <v>16.5</v>
      </c>
      <c r="T19" s="45">
        <v>16.5</v>
      </c>
      <c r="U19" s="45">
        <v>16.5</v>
      </c>
      <c r="V19" s="45">
        <v>16.5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16.5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12.8</v>
      </c>
      <c r="C20" s="45">
        <v>12.8</v>
      </c>
      <c r="D20" s="45">
        <v>12.8</v>
      </c>
      <c r="E20" s="45">
        <v>12.8</v>
      </c>
      <c r="F20" s="45">
        <v>12.8</v>
      </c>
      <c r="G20" s="45">
        <v>12.8</v>
      </c>
      <c r="H20" s="45">
        <v>12.8</v>
      </c>
      <c r="I20" s="45">
        <v>12.8</v>
      </c>
      <c r="J20" s="45">
        <v>12.8</v>
      </c>
      <c r="K20" s="45">
        <v>12.8</v>
      </c>
      <c r="L20" s="45">
        <v>12.8</v>
      </c>
      <c r="M20" s="45">
        <f>299.69/24</f>
        <v>12.487083333333333</v>
      </c>
      <c r="N20" s="45">
        <f>299.69/24</f>
        <v>12.487083333333333</v>
      </c>
      <c r="O20" s="45">
        <f>299.69/24</f>
        <v>12.487083333333333</v>
      </c>
      <c r="P20" s="45">
        <f>299.69/24</f>
        <v>12.487083333333333</v>
      </c>
      <c r="Q20" s="45">
        <f t="shared" ref="Q20:AF20" si="4">299.69/24</f>
        <v>12.487083333333333</v>
      </c>
      <c r="R20" s="45">
        <f t="shared" si="4"/>
        <v>12.487083333333333</v>
      </c>
      <c r="S20" s="45">
        <f t="shared" si="4"/>
        <v>12.487083333333333</v>
      </c>
      <c r="T20" s="45">
        <f t="shared" si="4"/>
        <v>12.487083333333333</v>
      </c>
      <c r="U20" s="45">
        <f t="shared" si="4"/>
        <v>12.487083333333333</v>
      </c>
      <c r="V20" s="45">
        <f t="shared" si="4"/>
        <v>12.487083333333333</v>
      </c>
      <c r="W20" s="45">
        <f t="shared" si="4"/>
        <v>12.487083333333333</v>
      </c>
      <c r="X20" s="45">
        <f t="shared" si="4"/>
        <v>12.487083333333333</v>
      </c>
      <c r="Y20" s="45">
        <f t="shared" si="4"/>
        <v>12.487083333333333</v>
      </c>
      <c r="Z20" s="45">
        <f t="shared" si="4"/>
        <v>12.487083333333333</v>
      </c>
      <c r="AA20" s="45">
        <f t="shared" si="4"/>
        <v>12.487083333333333</v>
      </c>
      <c r="AB20" s="45">
        <f t="shared" si="4"/>
        <v>12.487083333333333</v>
      </c>
      <c r="AC20" s="45">
        <f t="shared" si="4"/>
        <v>12.487083333333333</v>
      </c>
      <c r="AD20" s="45">
        <f t="shared" si="4"/>
        <v>12.487083333333333</v>
      </c>
      <c r="AE20" s="45">
        <f t="shared" si="4"/>
        <v>12.487083333333333</v>
      </c>
      <c r="AF20" s="45">
        <f t="shared" si="4"/>
        <v>12.487083333333333</v>
      </c>
      <c r="AG20" s="49">
        <v>38.46</v>
      </c>
      <c r="AH20" s="47">
        <f t="shared" si="2"/>
        <v>12.8</v>
      </c>
      <c r="AI20" s="48">
        <f t="shared" si="3"/>
        <v>12.487083333333333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11.5</v>
      </c>
      <c r="C22" s="45">
        <v>11.5</v>
      </c>
      <c r="D22" s="45">
        <v>11.5</v>
      </c>
      <c r="E22" s="45">
        <v>11.5</v>
      </c>
      <c r="F22" s="45">
        <v>11.5</v>
      </c>
      <c r="G22" s="45">
        <v>11.5</v>
      </c>
      <c r="H22" s="45">
        <v>11.5</v>
      </c>
      <c r="I22" s="45">
        <v>11.5</v>
      </c>
      <c r="J22" s="45">
        <v>11.5</v>
      </c>
      <c r="K22" s="45">
        <v>11.5</v>
      </c>
      <c r="L22" s="45">
        <v>11.5</v>
      </c>
      <c r="M22" s="45">
        <v>11.5</v>
      </c>
      <c r="N22" s="45">
        <v>11.5</v>
      </c>
      <c r="O22" s="45">
        <v>11.5</v>
      </c>
      <c r="P22" s="45">
        <v>11.5</v>
      </c>
      <c r="Q22" s="45">
        <v>11.5</v>
      </c>
      <c r="R22" s="45">
        <v>11.5</v>
      </c>
      <c r="S22" s="45">
        <v>11.5</v>
      </c>
      <c r="T22" s="45">
        <v>11.5</v>
      </c>
      <c r="U22" s="45">
        <v>11.5</v>
      </c>
      <c r="V22" s="45">
        <v>11.5</v>
      </c>
      <c r="W22" s="45">
        <v>11.5</v>
      </c>
      <c r="X22" s="45">
        <v>11.5</v>
      </c>
      <c r="Y22" s="45">
        <v>11.5</v>
      </c>
      <c r="Z22" s="45">
        <v>11.5</v>
      </c>
      <c r="AA22" s="45">
        <v>11.5</v>
      </c>
      <c r="AB22" s="45">
        <v>11.5</v>
      </c>
      <c r="AC22" s="45">
        <v>11.5</v>
      </c>
      <c r="AD22" s="45">
        <v>11.5</v>
      </c>
      <c r="AE22" s="45">
        <v>11.5</v>
      </c>
      <c r="AF22" s="45">
        <v>11.5</v>
      </c>
      <c r="AG22" s="52">
        <v>30</v>
      </c>
      <c r="AH22" s="47">
        <f t="shared" si="2"/>
        <v>11.5</v>
      </c>
      <c r="AI22" s="48">
        <f t="shared" si="3"/>
        <v>11.5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11</v>
      </c>
      <c r="X23" s="45">
        <v>11</v>
      </c>
      <c r="Y23" s="45">
        <v>11</v>
      </c>
      <c r="Z23" s="45">
        <v>11</v>
      </c>
      <c r="AA23" s="45">
        <v>11</v>
      </c>
      <c r="AB23" s="45">
        <v>11</v>
      </c>
      <c r="AC23" s="45">
        <v>11</v>
      </c>
      <c r="AD23" s="45">
        <v>11</v>
      </c>
      <c r="AE23" s="45">
        <v>11</v>
      </c>
      <c r="AF23" s="45">
        <v>11</v>
      </c>
      <c r="AG23" s="49">
        <v>24.2</v>
      </c>
      <c r="AH23" s="47">
        <f t="shared" si="2"/>
        <v>11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12.4</v>
      </c>
      <c r="C24" s="45">
        <v>12.4</v>
      </c>
      <c r="D24" s="45">
        <v>12.4</v>
      </c>
      <c r="E24" s="45">
        <v>12.4</v>
      </c>
      <c r="F24" s="45">
        <v>12.4</v>
      </c>
      <c r="G24" s="45">
        <v>12.4</v>
      </c>
      <c r="H24" s="45">
        <v>12.4</v>
      </c>
      <c r="I24" s="45">
        <v>12.4</v>
      </c>
      <c r="J24" s="45">
        <v>12.4</v>
      </c>
      <c r="K24" s="45">
        <v>12.4</v>
      </c>
      <c r="L24" s="45">
        <v>12.4</v>
      </c>
      <c r="M24" s="45">
        <v>11.4</v>
      </c>
      <c r="N24" s="45">
        <v>11.4</v>
      </c>
      <c r="O24" s="45">
        <v>11.4</v>
      </c>
      <c r="P24" s="45">
        <v>11.4</v>
      </c>
      <c r="Q24" s="45">
        <v>11.4</v>
      </c>
      <c r="R24" s="45">
        <v>11.4</v>
      </c>
      <c r="S24" s="45">
        <v>11.4</v>
      </c>
      <c r="T24" s="45">
        <v>11.4</v>
      </c>
      <c r="U24" s="45">
        <v>11.4</v>
      </c>
      <c r="V24" s="45">
        <v>11.4</v>
      </c>
      <c r="W24" s="45">
        <v>11.4</v>
      </c>
      <c r="X24" s="45">
        <v>11.4</v>
      </c>
      <c r="Y24" s="45">
        <v>11.4</v>
      </c>
      <c r="Z24" s="45">
        <v>11.4</v>
      </c>
      <c r="AA24" s="45">
        <v>11.4</v>
      </c>
      <c r="AB24" s="45">
        <v>11.4</v>
      </c>
      <c r="AC24" s="45">
        <v>11.4</v>
      </c>
      <c r="AD24" s="45">
        <v>11.4</v>
      </c>
      <c r="AE24" s="45">
        <v>11.4</v>
      </c>
      <c r="AF24" s="45">
        <v>11.4</v>
      </c>
      <c r="AG24" s="49">
        <v>28</v>
      </c>
      <c r="AH24" s="47">
        <f t="shared" si="2"/>
        <v>12.4</v>
      </c>
      <c r="AI24" s="48">
        <f t="shared" si="3"/>
        <v>11.4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10.3</v>
      </c>
      <c r="C25" s="45">
        <v>10.3</v>
      </c>
      <c r="D25" s="45">
        <v>10.3</v>
      </c>
      <c r="E25" s="45">
        <v>10.3</v>
      </c>
      <c r="F25" s="45">
        <v>10.3</v>
      </c>
      <c r="G25" s="45">
        <v>10.3</v>
      </c>
      <c r="H25" s="45">
        <v>10.3</v>
      </c>
      <c r="I25" s="45">
        <v>10.3</v>
      </c>
      <c r="J25" s="45">
        <v>10.3</v>
      </c>
      <c r="K25" s="45">
        <v>10.3</v>
      </c>
      <c r="L25" s="45">
        <v>10.3</v>
      </c>
      <c r="M25" s="45">
        <v>9.4</v>
      </c>
      <c r="N25" s="45">
        <v>9.4</v>
      </c>
      <c r="O25" s="45">
        <v>9.4</v>
      </c>
      <c r="P25" s="45">
        <v>9.4</v>
      </c>
      <c r="Q25" s="45">
        <v>9.4</v>
      </c>
      <c r="R25" s="45">
        <v>9.4</v>
      </c>
      <c r="S25" s="45">
        <v>9.4</v>
      </c>
      <c r="T25" s="45">
        <v>9.4</v>
      </c>
      <c r="U25" s="45">
        <v>9.4</v>
      </c>
      <c r="V25" s="45">
        <v>9.4</v>
      </c>
      <c r="W25" s="45">
        <v>9.4</v>
      </c>
      <c r="X25" s="45">
        <v>9.4</v>
      </c>
      <c r="Y25" s="45">
        <v>9.4</v>
      </c>
      <c r="Z25" s="45">
        <v>9.4</v>
      </c>
      <c r="AA25" s="45">
        <v>9.4</v>
      </c>
      <c r="AB25" s="45">
        <v>9.4</v>
      </c>
      <c r="AC25" s="45">
        <v>9.4</v>
      </c>
      <c r="AD25" s="45">
        <v>9.4</v>
      </c>
      <c r="AE25" s="45">
        <v>9.4</v>
      </c>
      <c r="AF25" s="45">
        <v>9.4</v>
      </c>
      <c r="AG25" s="52">
        <v>30</v>
      </c>
      <c r="AH25" s="47">
        <f t="shared" si="2"/>
        <v>10.3</v>
      </c>
      <c r="AI25" s="48">
        <f t="shared" si="3"/>
        <v>9.4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11.8</v>
      </c>
      <c r="C26" s="45">
        <v>11.8</v>
      </c>
      <c r="D26" s="45">
        <v>11.8</v>
      </c>
      <c r="E26" s="45">
        <v>11.8</v>
      </c>
      <c r="F26" s="45">
        <v>11.8</v>
      </c>
      <c r="G26" s="45">
        <v>11.8</v>
      </c>
      <c r="H26" s="45">
        <v>11.8</v>
      </c>
      <c r="I26" s="45">
        <v>11.8</v>
      </c>
      <c r="J26" s="45">
        <v>11.8</v>
      </c>
      <c r="K26" s="45">
        <v>11.8</v>
      </c>
      <c r="L26" s="45">
        <v>11.8</v>
      </c>
      <c r="M26" s="45">
        <v>12.3</v>
      </c>
      <c r="N26" s="45">
        <v>12.3</v>
      </c>
      <c r="O26" s="45">
        <v>12.3</v>
      </c>
      <c r="P26" s="45">
        <v>12.3</v>
      </c>
      <c r="Q26" s="45">
        <v>12.3</v>
      </c>
      <c r="R26" s="45">
        <v>12.3</v>
      </c>
      <c r="S26" s="45">
        <v>12.3</v>
      </c>
      <c r="T26" s="45">
        <v>12.3</v>
      </c>
      <c r="U26" s="45">
        <v>12.3</v>
      </c>
      <c r="V26" s="45">
        <v>12.3</v>
      </c>
      <c r="W26" s="45">
        <v>13.6</v>
      </c>
      <c r="X26" s="45">
        <v>13.6</v>
      </c>
      <c r="Y26" s="45">
        <v>13.6</v>
      </c>
      <c r="Z26" s="45">
        <v>13.6</v>
      </c>
      <c r="AA26" s="45">
        <v>13.6</v>
      </c>
      <c r="AB26" s="45">
        <v>13.6</v>
      </c>
      <c r="AC26" s="45">
        <v>13.6</v>
      </c>
      <c r="AD26" s="45">
        <v>13.6</v>
      </c>
      <c r="AE26" s="45">
        <v>13.6</v>
      </c>
      <c r="AF26" s="45">
        <v>13.6</v>
      </c>
      <c r="AG26" s="49">
        <v>25</v>
      </c>
      <c r="AH26" s="47">
        <f t="shared" si="2"/>
        <v>13.6</v>
      </c>
      <c r="AI26" s="48">
        <f t="shared" si="3"/>
        <v>11.8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12.2</v>
      </c>
      <c r="C29" s="45">
        <v>12.2</v>
      </c>
      <c r="D29" s="45">
        <v>12.2</v>
      </c>
      <c r="E29" s="45">
        <v>12.2</v>
      </c>
      <c r="F29" s="45">
        <v>12.2</v>
      </c>
      <c r="G29" s="45">
        <v>12.2</v>
      </c>
      <c r="H29" s="45">
        <v>12.2</v>
      </c>
      <c r="I29" s="45">
        <v>12.2</v>
      </c>
      <c r="J29" s="45">
        <v>12.2</v>
      </c>
      <c r="K29" s="45">
        <v>12.2</v>
      </c>
      <c r="L29" s="45">
        <v>12.2</v>
      </c>
      <c r="M29" s="45">
        <v>11.2</v>
      </c>
      <c r="N29" s="45">
        <v>11.2</v>
      </c>
      <c r="O29" s="45">
        <v>11.2</v>
      </c>
      <c r="P29" s="45">
        <v>11.2</v>
      </c>
      <c r="Q29" s="45">
        <v>11.2</v>
      </c>
      <c r="R29" s="45">
        <v>11.2</v>
      </c>
      <c r="S29" s="45">
        <v>11.2</v>
      </c>
      <c r="T29" s="45">
        <v>11.2</v>
      </c>
      <c r="U29" s="45">
        <v>11.2</v>
      </c>
      <c r="V29" s="45">
        <v>11.2</v>
      </c>
      <c r="W29" s="45">
        <v>11.2</v>
      </c>
      <c r="X29" s="45">
        <v>11.2</v>
      </c>
      <c r="Y29" s="45">
        <v>11.2</v>
      </c>
      <c r="Z29" s="45">
        <v>11.2</v>
      </c>
      <c r="AA29" s="45">
        <v>11.2</v>
      </c>
      <c r="AB29" s="45">
        <v>11.2</v>
      </c>
      <c r="AC29" s="45">
        <v>11.2</v>
      </c>
      <c r="AD29" s="45">
        <v>11.2</v>
      </c>
      <c r="AE29" s="45">
        <v>11.2</v>
      </c>
      <c r="AF29" s="45">
        <v>11.2</v>
      </c>
      <c r="AG29" s="49">
        <v>25</v>
      </c>
      <c r="AH29" s="47">
        <f t="shared" si="2"/>
        <v>12.2</v>
      </c>
      <c r="AI29" s="48">
        <f t="shared" si="3"/>
        <v>11.2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11.2</v>
      </c>
      <c r="C30" s="45">
        <v>11.2</v>
      </c>
      <c r="D30" s="45">
        <v>11.2</v>
      </c>
      <c r="E30" s="45">
        <v>11.2</v>
      </c>
      <c r="F30" s="45">
        <v>11.2</v>
      </c>
      <c r="G30" s="45">
        <v>11.2</v>
      </c>
      <c r="H30" s="45">
        <v>11.2</v>
      </c>
      <c r="I30" s="45">
        <v>11.2</v>
      </c>
      <c r="J30" s="45">
        <v>11.2</v>
      </c>
      <c r="K30" s="45">
        <v>11.2</v>
      </c>
      <c r="L30" s="45">
        <v>11.2</v>
      </c>
      <c r="M30" s="45">
        <v>9.3000000000000007</v>
      </c>
      <c r="N30" s="45">
        <v>9.3000000000000007</v>
      </c>
      <c r="O30" s="45">
        <v>9.3000000000000007</v>
      </c>
      <c r="P30" s="45">
        <v>9.3000000000000007</v>
      </c>
      <c r="Q30" s="45">
        <v>9.3000000000000007</v>
      </c>
      <c r="R30" s="45">
        <v>9.3000000000000007</v>
      </c>
      <c r="S30" s="45">
        <v>9.3000000000000007</v>
      </c>
      <c r="T30" s="45">
        <v>9.3000000000000007</v>
      </c>
      <c r="U30" s="45">
        <v>9.3000000000000007</v>
      </c>
      <c r="V30" s="45">
        <v>9.3000000000000007</v>
      </c>
      <c r="W30" s="45">
        <v>9.3000000000000007</v>
      </c>
      <c r="X30" s="45">
        <v>9.3000000000000007</v>
      </c>
      <c r="Y30" s="45">
        <v>9.3000000000000007</v>
      </c>
      <c r="Z30" s="45">
        <v>9.3000000000000007</v>
      </c>
      <c r="AA30" s="45">
        <v>9.3000000000000007</v>
      </c>
      <c r="AB30" s="45">
        <v>9.3000000000000007</v>
      </c>
      <c r="AC30" s="45">
        <v>9.3000000000000007</v>
      </c>
      <c r="AD30" s="45">
        <v>9.3000000000000007</v>
      </c>
      <c r="AE30" s="45">
        <v>9.3000000000000007</v>
      </c>
      <c r="AF30" s="45">
        <v>9.3000000000000007</v>
      </c>
      <c r="AG30" s="49">
        <v>23.5</v>
      </c>
      <c r="AH30" s="47">
        <f t="shared" si="2"/>
        <v>11.2</v>
      </c>
      <c r="AI30" s="48">
        <f t="shared" si="3"/>
        <v>9.3000000000000007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49">
        <v>22</v>
      </c>
      <c r="AH33" s="47">
        <f t="shared" si="2"/>
        <v>7</v>
      </c>
      <c r="AI33" s="48">
        <f t="shared" si="3"/>
        <v>7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12.1</v>
      </c>
      <c r="C34" s="45">
        <v>12.1</v>
      </c>
      <c r="D34" s="45">
        <v>12.1</v>
      </c>
      <c r="E34" s="45">
        <v>12.1</v>
      </c>
      <c r="F34" s="45">
        <v>12.1</v>
      </c>
      <c r="G34" s="45">
        <v>12.1</v>
      </c>
      <c r="H34" s="45">
        <v>12.1</v>
      </c>
      <c r="I34" s="45">
        <v>12.1</v>
      </c>
      <c r="J34" s="45">
        <v>12.1</v>
      </c>
      <c r="K34" s="45">
        <v>12.1</v>
      </c>
      <c r="L34" s="45">
        <v>12.1</v>
      </c>
      <c r="M34" s="45">
        <v>8.1999999999999993</v>
      </c>
      <c r="N34" s="45">
        <v>8.1999999999999993</v>
      </c>
      <c r="O34" s="45">
        <v>8.1999999999999993</v>
      </c>
      <c r="P34" s="45">
        <v>8.1999999999999993</v>
      </c>
      <c r="Q34" s="45">
        <v>8.1999999999999993</v>
      </c>
      <c r="R34" s="45">
        <v>8.1999999999999993</v>
      </c>
      <c r="S34" s="45">
        <v>8.1999999999999993</v>
      </c>
      <c r="T34" s="45">
        <v>8.1999999999999993</v>
      </c>
      <c r="U34" s="45">
        <v>8.1999999999999993</v>
      </c>
      <c r="V34" s="45">
        <v>8.1999999999999993</v>
      </c>
      <c r="W34" s="45">
        <v>5.5</v>
      </c>
      <c r="X34" s="45">
        <v>5.5</v>
      </c>
      <c r="Y34" s="45">
        <v>5.5</v>
      </c>
      <c r="Z34" s="45">
        <v>5.5</v>
      </c>
      <c r="AA34" s="45">
        <v>5.5</v>
      </c>
      <c r="AB34" s="45">
        <v>5.5</v>
      </c>
      <c r="AC34" s="45">
        <v>5.5</v>
      </c>
      <c r="AD34" s="45">
        <v>5.5</v>
      </c>
      <c r="AE34" s="45">
        <v>5.5</v>
      </c>
      <c r="AF34" s="45">
        <v>5.5</v>
      </c>
      <c r="AG34" s="49">
        <v>22</v>
      </c>
      <c r="AH34" s="47">
        <f t="shared" si="2"/>
        <v>12.1</v>
      </c>
      <c r="AI34" s="48">
        <f t="shared" si="3"/>
        <v>5.5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3.7</v>
      </c>
      <c r="C50" s="45">
        <v>3.7</v>
      </c>
      <c r="D50" s="45">
        <v>3.7</v>
      </c>
      <c r="E50" s="45">
        <v>3.7</v>
      </c>
      <c r="F50" s="45">
        <v>3.7</v>
      </c>
      <c r="G50" s="45">
        <v>3.7</v>
      </c>
      <c r="H50" s="45">
        <v>3.7</v>
      </c>
      <c r="I50" s="45">
        <v>3.7</v>
      </c>
      <c r="J50" s="45">
        <v>3.7</v>
      </c>
      <c r="K50" s="45">
        <v>3.7</v>
      </c>
      <c r="L50" s="45">
        <v>3.7</v>
      </c>
      <c r="M50" s="45">
        <v>3.7</v>
      </c>
      <c r="N50" s="45">
        <v>3.7</v>
      </c>
      <c r="O50" s="45">
        <v>3.7</v>
      </c>
      <c r="P50" s="45">
        <v>3.7</v>
      </c>
      <c r="Q50" s="45">
        <v>3.7</v>
      </c>
      <c r="R50" s="45">
        <v>3.7</v>
      </c>
      <c r="S50" s="45">
        <v>3.7</v>
      </c>
      <c r="T50" s="45">
        <v>3.7</v>
      </c>
      <c r="U50" s="45">
        <v>3.7</v>
      </c>
      <c r="V50" s="45">
        <v>3.7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3.7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v>35.9</v>
      </c>
      <c r="C57" s="57">
        <v>35.200000000000003</v>
      </c>
      <c r="D57" s="57">
        <v>35.9</v>
      </c>
      <c r="E57" s="57">
        <v>35.9</v>
      </c>
      <c r="F57" s="57">
        <v>35.9</v>
      </c>
      <c r="G57" s="57">
        <v>35.9</v>
      </c>
      <c r="H57" s="57">
        <v>35.9</v>
      </c>
      <c r="I57" s="57">
        <v>35.9</v>
      </c>
      <c r="J57" s="57">
        <v>35.9</v>
      </c>
      <c r="K57" s="57">
        <v>35.9</v>
      </c>
      <c r="L57" s="57">
        <v>35.9</v>
      </c>
      <c r="M57" s="57">
        <f>8.3+24.6</f>
        <v>32.900000000000006</v>
      </c>
      <c r="N57" s="51">
        <f>24+8.2</f>
        <v>32.200000000000003</v>
      </c>
      <c r="O57" s="51">
        <f>21.3+7.3</f>
        <v>28.6</v>
      </c>
      <c r="P57" s="51">
        <f>26.9</f>
        <v>26.9</v>
      </c>
      <c r="Q57" s="51">
        <f t="shared" ref="Q57:R57" si="5">26.9</f>
        <v>26.9</v>
      </c>
      <c r="R57" s="51">
        <f t="shared" si="5"/>
        <v>26.9</v>
      </c>
      <c r="S57" s="51">
        <v>29</v>
      </c>
      <c r="T57" s="51">
        <v>31.2</v>
      </c>
      <c r="U57" s="51">
        <v>31.2</v>
      </c>
      <c r="V57" s="51">
        <v>31.2</v>
      </c>
      <c r="W57" s="51">
        <v>31.2</v>
      </c>
      <c r="X57" s="51">
        <v>31.2</v>
      </c>
      <c r="Y57" s="51">
        <v>28.5</v>
      </c>
      <c r="Z57" s="51">
        <v>28.5</v>
      </c>
      <c r="AA57" s="51">
        <v>28.5</v>
      </c>
      <c r="AB57" s="51">
        <v>28.5</v>
      </c>
      <c r="AC57" s="51">
        <v>28.5</v>
      </c>
      <c r="AD57" s="51">
        <v>28.5</v>
      </c>
      <c r="AE57" s="51">
        <v>28.5</v>
      </c>
      <c r="AF57" s="51">
        <v>28.5</v>
      </c>
      <c r="AG57" s="55">
        <v>240</v>
      </c>
      <c r="AH57" s="47">
        <f t="shared" si="2"/>
        <v>35.9</v>
      </c>
      <c r="AI57" s="48">
        <f t="shared" si="3"/>
        <v>26.9</v>
      </c>
      <c r="AK57" s="50"/>
    </row>
    <row r="58" spans="1:88" ht="15.75" thickBot="1" x14ac:dyDescent="0.3">
      <c r="A58" s="59" t="s">
        <v>58</v>
      </c>
      <c r="B58" s="60">
        <f>SUM(B11:B56)</f>
        <v>639.90000000000009</v>
      </c>
      <c r="C58" s="60">
        <f t="shared" ref="C58:AC58" si="6">SUM(C11:C56)</f>
        <v>639.90000000000009</v>
      </c>
      <c r="D58" s="60">
        <f t="shared" si="6"/>
        <v>639.90000000000009</v>
      </c>
      <c r="E58" s="60">
        <f t="shared" si="6"/>
        <v>639.90000000000009</v>
      </c>
      <c r="F58" s="60">
        <f t="shared" si="6"/>
        <v>639.90000000000009</v>
      </c>
      <c r="G58" s="60">
        <f t="shared" si="6"/>
        <v>639.90000000000009</v>
      </c>
      <c r="H58" s="60">
        <f t="shared" si="6"/>
        <v>639.90000000000009</v>
      </c>
      <c r="I58" s="60">
        <f t="shared" si="6"/>
        <v>639.90000000000009</v>
      </c>
      <c r="J58" s="60">
        <f t="shared" si="6"/>
        <v>639.90000000000009</v>
      </c>
      <c r="K58" s="60">
        <f t="shared" si="6"/>
        <v>639.90000000000009</v>
      </c>
      <c r="L58" s="60">
        <f t="shared" si="6"/>
        <v>639.90000000000009</v>
      </c>
      <c r="M58" s="60">
        <f t="shared" ref="M58" si="7">SUM(M11:M56)</f>
        <v>626.08708333333334</v>
      </c>
      <c r="N58" s="60">
        <f t="shared" si="6"/>
        <v>623.98708333333343</v>
      </c>
      <c r="O58" s="60">
        <f t="shared" si="6"/>
        <v>622.68708333333336</v>
      </c>
      <c r="P58" s="60">
        <f t="shared" si="6"/>
        <v>619.38708333333329</v>
      </c>
      <c r="Q58" s="60">
        <f t="shared" si="6"/>
        <v>619.38708333333329</v>
      </c>
      <c r="R58" s="60">
        <f t="shared" si="6"/>
        <v>619.38708333333329</v>
      </c>
      <c r="S58" s="60">
        <f t="shared" si="6"/>
        <v>619.38708333333329</v>
      </c>
      <c r="T58" s="60">
        <f t="shared" si="6"/>
        <v>619.38708333333329</v>
      </c>
      <c r="U58" s="60">
        <f t="shared" si="6"/>
        <v>619.38708333333329</v>
      </c>
      <c r="V58" s="60">
        <f t="shared" si="6"/>
        <v>619.38708333333329</v>
      </c>
      <c r="W58" s="60">
        <f t="shared" si="6"/>
        <v>625.42708333333337</v>
      </c>
      <c r="X58" s="60">
        <f t="shared" si="6"/>
        <v>625.42708333333337</v>
      </c>
      <c r="Y58" s="60">
        <f t="shared" si="6"/>
        <v>625.42708333333337</v>
      </c>
      <c r="Z58" s="60">
        <f t="shared" si="6"/>
        <v>625.42708333333337</v>
      </c>
      <c r="AA58" s="60">
        <f t="shared" si="6"/>
        <v>625.42708333333337</v>
      </c>
      <c r="AB58" s="60">
        <f t="shared" ref="AB58" si="8">SUM(AB11:AB56)</f>
        <v>625.42708333333337</v>
      </c>
      <c r="AC58" s="60">
        <f t="shared" si="6"/>
        <v>625.42708333333337</v>
      </c>
      <c r="AD58" s="60">
        <f t="shared" ref="AD58:AE58" si="9">SUM(AD11:AD56)</f>
        <v>625.42708333333337</v>
      </c>
      <c r="AE58" s="60">
        <f t="shared" si="9"/>
        <v>625.42708333333337</v>
      </c>
      <c r="AF58" s="60">
        <f t="shared" ref="AF58" si="10">SUM(AF11:AF56)</f>
        <v>632.72708333333344</v>
      </c>
      <c r="AG58" s="61">
        <f>SUM(AG14:AG56)</f>
        <v>1042.4000000000001</v>
      </c>
      <c r="AH58" s="47">
        <f t="shared" si="2"/>
        <v>639.90000000000009</v>
      </c>
      <c r="AI58" s="48">
        <f t="shared" si="3"/>
        <v>619.38708333333329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30</v>
      </c>
      <c r="K59" s="45">
        <v>140</v>
      </c>
      <c r="L59" s="45">
        <v>300</v>
      </c>
      <c r="M59" s="45">
        <v>365</v>
      </c>
      <c r="N59" s="63">
        <v>355</v>
      </c>
      <c r="O59" s="63">
        <v>320</v>
      </c>
      <c r="P59" s="63">
        <v>120</v>
      </c>
      <c r="Q59" s="63">
        <v>0</v>
      </c>
      <c r="R59" s="63">
        <v>0</v>
      </c>
      <c r="S59" s="63">
        <v>0</v>
      </c>
      <c r="T59" s="63">
        <v>0</v>
      </c>
      <c r="U59" s="63">
        <v>12</v>
      </c>
      <c r="V59" s="63">
        <v>270</v>
      </c>
      <c r="W59" s="63">
        <v>310</v>
      </c>
      <c r="X59" s="63">
        <v>360</v>
      </c>
      <c r="Y59" s="63">
        <v>310</v>
      </c>
      <c r="Z59" s="63">
        <v>270</v>
      </c>
      <c r="AA59" s="63">
        <v>200</v>
      </c>
      <c r="AB59" s="63">
        <v>170</v>
      </c>
      <c r="AC59" s="45">
        <v>40</v>
      </c>
      <c r="AD59" s="45">
        <v>20</v>
      </c>
      <c r="AE59" s="45">
        <v>12</v>
      </c>
      <c r="AF59" s="45">
        <v>0</v>
      </c>
      <c r="AG59" s="52">
        <v>456</v>
      </c>
      <c r="AH59" s="47">
        <f t="shared" si="2"/>
        <v>365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42</v>
      </c>
      <c r="C60" s="65">
        <v>42</v>
      </c>
      <c r="D60" s="65">
        <v>42</v>
      </c>
      <c r="E60" s="65">
        <v>42</v>
      </c>
      <c r="F60" s="65">
        <v>42</v>
      </c>
      <c r="G60" s="65">
        <v>42</v>
      </c>
      <c r="H60" s="65">
        <v>42</v>
      </c>
      <c r="I60" s="65">
        <v>42</v>
      </c>
      <c r="J60" s="65">
        <v>42</v>
      </c>
      <c r="K60" s="65">
        <v>42</v>
      </c>
      <c r="L60" s="65">
        <v>42</v>
      </c>
      <c r="M60" s="65">
        <v>42</v>
      </c>
      <c r="N60" s="65">
        <v>42</v>
      </c>
      <c r="O60" s="65">
        <v>42</v>
      </c>
      <c r="P60" s="65">
        <v>42</v>
      </c>
      <c r="Q60" s="65">
        <v>42</v>
      </c>
      <c r="R60" s="65">
        <v>42</v>
      </c>
      <c r="S60" s="65">
        <v>42</v>
      </c>
      <c r="T60" s="65">
        <v>42</v>
      </c>
      <c r="U60" s="65">
        <v>42</v>
      </c>
      <c r="V60" s="65">
        <v>42</v>
      </c>
      <c r="W60" s="65">
        <v>42</v>
      </c>
      <c r="X60" s="65">
        <v>42</v>
      </c>
      <c r="Y60" s="65">
        <v>42</v>
      </c>
      <c r="Z60" s="65">
        <v>42</v>
      </c>
      <c r="AA60" s="65">
        <v>42</v>
      </c>
      <c r="AB60" s="65">
        <v>42</v>
      </c>
      <c r="AC60" s="65">
        <v>42</v>
      </c>
      <c r="AD60" s="65">
        <v>42</v>
      </c>
      <c r="AE60" s="65">
        <v>42</v>
      </c>
      <c r="AF60" s="65">
        <v>42</v>
      </c>
      <c r="AG60" s="55">
        <v>60</v>
      </c>
      <c r="AH60" s="47">
        <f t="shared" si="2"/>
        <v>42</v>
      </c>
      <c r="AI60" s="48">
        <f t="shared" si="3"/>
        <v>42</v>
      </c>
      <c r="AK60" s="50"/>
    </row>
    <row r="61" spans="1:88" ht="15.75" thickBot="1" x14ac:dyDescent="0.3">
      <c r="A61" s="66" t="s">
        <v>61</v>
      </c>
      <c r="B61" s="67">
        <v>14.1</v>
      </c>
      <c r="C61" s="67">
        <v>14.1</v>
      </c>
      <c r="D61" s="67">
        <v>14.2</v>
      </c>
      <c r="E61" s="67">
        <v>14.2</v>
      </c>
      <c r="F61" s="67">
        <v>14.2</v>
      </c>
      <c r="G61" s="67">
        <v>14.2</v>
      </c>
      <c r="H61" s="67">
        <v>14.2</v>
      </c>
      <c r="I61" s="67">
        <v>13</v>
      </c>
      <c r="J61" s="67">
        <v>13.2</v>
      </c>
      <c r="K61" s="67">
        <v>13.2</v>
      </c>
      <c r="L61" s="67">
        <v>19.100000000000001</v>
      </c>
      <c r="M61" s="67">
        <v>19.100000000000001</v>
      </c>
      <c r="N61" s="67">
        <v>19.2</v>
      </c>
      <c r="O61" s="67">
        <v>19.100000000000001</v>
      </c>
      <c r="P61" s="67">
        <v>19.100000000000001</v>
      </c>
      <c r="Q61" s="67">
        <v>13.1</v>
      </c>
      <c r="R61" s="67">
        <v>13.1</v>
      </c>
      <c r="S61" s="67">
        <v>13.1</v>
      </c>
      <c r="T61" s="67">
        <v>13.1</v>
      </c>
      <c r="U61" s="67">
        <v>13.1</v>
      </c>
      <c r="V61" s="67">
        <v>13.1</v>
      </c>
      <c r="W61" s="67">
        <v>13.1</v>
      </c>
      <c r="X61" s="67">
        <v>20.100000000000001</v>
      </c>
      <c r="Y61" s="67">
        <v>20.100000000000001</v>
      </c>
      <c r="Z61" s="67">
        <v>20.100000000000001</v>
      </c>
      <c r="AA61" s="67">
        <v>20.100000000000001</v>
      </c>
      <c r="AB61" s="67">
        <v>20.100000000000001</v>
      </c>
      <c r="AC61" s="67">
        <v>20.100000000000001</v>
      </c>
      <c r="AD61" s="67">
        <v>20.100000000000001</v>
      </c>
      <c r="AE61" s="67">
        <v>20.100000000000001</v>
      </c>
      <c r="AF61" s="67">
        <v>13</v>
      </c>
      <c r="AG61" s="68">
        <v>22.1</v>
      </c>
      <c r="AH61" s="47">
        <f t="shared" si="2"/>
        <v>20.100000000000001</v>
      </c>
      <c r="AI61" s="48">
        <f t="shared" si="3"/>
        <v>13</v>
      </c>
      <c r="AK61" s="50"/>
    </row>
    <row r="62" spans="1:88" ht="15.75" thickBot="1" x14ac:dyDescent="0.3">
      <c r="A62" s="69" t="s">
        <v>62</v>
      </c>
      <c r="B62" s="60">
        <f t="shared" ref="B62" si="11">SUM(B59:B61)</f>
        <v>56.1</v>
      </c>
      <c r="C62" s="60">
        <f t="shared" ref="C62:AG62" si="12">SUM(C59:C61)</f>
        <v>56.1</v>
      </c>
      <c r="D62" s="60">
        <f t="shared" si="12"/>
        <v>56.2</v>
      </c>
      <c r="E62" s="60">
        <f t="shared" si="12"/>
        <v>56.2</v>
      </c>
      <c r="F62" s="60">
        <f t="shared" si="12"/>
        <v>56.2</v>
      </c>
      <c r="G62" s="60">
        <f t="shared" si="12"/>
        <v>56.2</v>
      </c>
      <c r="H62" s="60">
        <f t="shared" si="12"/>
        <v>56.2</v>
      </c>
      <c r="I62" s="60">
        <f t="shared" si="12"/>
        <v>55</v>
      </c>
      <c r="J62" s="60">
        <f t="shared" si="12"/>
        <v>85.2</v>
      </c>
      <c r="K62" s="60">
        <f t="shared" si="12"/>
        <v>195.2</v>
      </c>
      <c r="L62" s="60">
        <f t="shared" si="12"/>
        <v>361.1</v>
      </c>
      <c r="M62" s="60">
        <f t="shared" ref="M62" si="13">SUM(M59:M61)</f>
        <v>426.1</v>
      </c>
      <c r="N62" s="60">
        <f t="shared" si="12"/>
        <v>416.2</v>
      </c>
      <c r="O62" s="60">
        <f t="shared" si="12"/>
        <v>381.1</v>
      </c>
      <c r="P62" s="60">
        <f t="shared" si="12"/>
        <v>181.1</v>
      </c>
      <c r="Q62" s="60">
        <f t="shared" si="12"/>
        <v>55.1</v>
      </c>
      <c r="R62" s="60">
        <f t="shared" si="12"/>
        <v>55.1</v>
      </c>
      <c r="S62" s="60">
        <f t="shared" si="12"/>
        <v>55.1</v>
      </c>
      <c r="T62" s="60">
        <f t="shared" si="12"/>
        <v>55.1</v>
      </c>
      <c r="U62" s="60">
        <f t="shared" si="12"/>
        <v>67.099999999999994</v>
      </c>
      <c r="V62" s="60">
        <f t="shared" si="12"/>
        <v>325.10000000000002</v>
      </c>
      <c r="W62" s="60">
        <f t="shared" si="12"/>
        <v>365.1</v>
      </c>
      <c r="X62" s="60">
        <f t="shared" si="12"/>
        <v>422.1</v>
      </c>
      <c r="Y62" s="60">
        <f t="shared" si="12"/>
        <v>372.1</v>
      </c>
      <c r="Z62" s="60">
        <f t="shared" si="12"/>
        <v>332.1</v>
      </c>
      <c r="AA62" s="60">
        <f t="shared" si="12"/>
        <v>262.10000000000002</v>
      </c>
      <c r="AB62" s="60">
        <f t="shared" ref="AB62:AC62" si="14">SUM(AB59:AB61)</f>
        <v>232.1</v>
      </c>
      <c r="AC62" s="60">
        <f t="shared" si="14"/>
        <v>102.1</v>
      </c>
      <c r="AD62" s="60">
        <f t="shared" ref="AD62:AE62" si="15">SUM(AD59:AD61)</f>
        <v>82.1</v>
      </c>
      <c r="AE62" s="60">
        <f t="shared" si="15"/>
        <v>74.099999999999994</v>
      </c>
      <c r="AF62" s="60">
        <f t="shared" ref="AF62" si="16">SUM(AF59:AF61)</f>
        <v>55</v>
      </c>
      <c r="AG62" s="61">
        <f t="shared" si="12"/>
        <v>538.1</v>
      </c>
      <c r="AH62" s="47">
        <f t="shared" si="2"/>
        <v>426.1</v>
      </c>
      <c r="AI62" s="48">
        <f t="shared" si="3"/>
        <v>55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30.8</v>
      </c>
      <c r="J63" s="45">
        <v>70</v>
      </c>
      <c r="K63" s="45">
        <v>138.9</v>
      </c>
      <c r="L63" s="45">
        <v>146</v>
      </c>
      <c r="M63" s="45">
        <v>145.69999999999999</v>
      </c>
      <c r="N63" s="45">
        <v>145.4</v>
      </c>
      <c r="O63" s="45">
        <v>145.6</v>
      </c>
      <c r="P63" s="45">
        <v>136.9</v>
      </c>
      <c r="Q63" s="45">
        <v>120</v>
      </c>
      <c r="R63" s="45">
        <v>61.4</v>
      </c>
      <c r="S63" s="45">
        <v>30.6</v>
      </c>
      <c r="T63" s="45">
        <v>30.6</v>
      </c>
      <c r="U63" s="45">
        <v>30.6</v>
      </c>
      <c r="V63" s="45">
        <v>97</v>
      </c>
      <c r="W63" s="45">
        <v>140</v>
      </c>
      <c r="X63" s="45">
        <v>145.69999999999999</v>
      </c>
      <c r="Y63" s="45">
        <v>145.69999999999999</v>
      </c>
      <c r="Z63" s="45">
        <v>145.69999999999999</v>
      </c>
      <c r="AA63" s="45">
        <v>145.69999999999999</v>
      </c>
      <c r="AB63" s="45">
        <v>145.69999999999999</v>
      </c>
      <c r="AC63" s="45">
        <v>145.69999999999999</v>
      </c>
      <c r="AD63" s="45">
        <v>134</v>
      </c>
      <c r="AE63" s="45">
        <v>30</v>
      </c>
      <c r="AF63" s="45">
        <v>0</v>
      </c>
      <c r="AG63" s="52">
        <v>144</v>
      </c>
      <c r="AH63" s="47">
        <f t="shared" si="2"/>
        <v>146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23</v>
      </c>
      <c r="H64" s="65">
        <v>22.8</v>
      </c>
      <c r="I64" s="65">
        <v>34.9</v>
      </c>
      <c r="J64" s="65">
        <v>44.2</v>
      </c>
      <c r="K64" s="65">
        <v>69.5</v>
      </c>
      <c r="L64" s="65">
        <v>70</v>
      </c>
      <c r="M64" s="65">
        <v>69.400000000000006</v>
      </c>
      <c r="N64" s="65">
        <v>69.5</v>
      </c>
      <c r="O64" s="65">
        <v>60.8</v>
      </c>
      <c r="P64" s="65">
        <v>59.5</v>
      </c>
      <c r="Q64" s="65">
        <v>59.5</v>
      </c>
      <c r="R64" s="65">
        <v>35.700000000000003</v>
      </c>
      <c r="S64" s="65">
        <v>26</v>
      </c>
      <c r="T64" s="65">
        <v>0</v>
      </c>
      <c r="U64" s="65">
        <v>0</v>
      </c>
      <c r="V64" s="65">
        <v>35</v>
      </c>
      <c r="W64" s="65">
        <v>69</v>
      </c>
      <c r="X64" s="45">
        <v>69</v>
      </c>
      <c r="Y64" s="45">
        <v>69</v>
      </c>
      <c r="Z64" s="45">
        <v>69</v>
      </c>
      <c r="AA64" s="45">
        <v>69</v>
      </c>
      <c r="AB64" s="45">
        <v>69</v>
      </c>
      <c r="AC64" s="45">
        <v>69</v>
      </c>
      <c r="AD64" s="45">
        <v>51</v>
      </c>
      <c r="AE64" s="45">
        <v>22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17</v>
      </c>
      <c r="C65" s="65">
        <v>16</v>
      </c>
      <c r="D65" s="65">
        <v>18.2</v>
      </c>
      <c r="E65" s="65">
        <v>23.1</v>
      </c>
      <c r="F65" s="65">
        <v>23.1</v>
      </c>
      <c r="G65" s="65">
        <v>47</v>
      </c>
      <c r="H65" s="65">
        <v>44.5</v>
      </c>
      <c r="I65" s="65">
        <v>47.6</v>
      </c>
      <c r="J65" s="65">
        <v>39.9</v>
      </c>
      <c r="K65" s="65">
        <v>69</v>
      </c>
      <c r="L65" s="65">
        <v>67.5</v>
      </c>
      <c r="M65" s="65">
        <v>67</v>
      </c>
      <c r="N65" s="65">
        <v>66.400000000000006</v>
      </c>
      <c r="O65" s="65">
        <v>66</v>
      </c>
      <c r="P65" s="65">
        <v>56.2</v>
      </c>
      <c r="Q65" s="65">
        <v>35</v>
      </c>
      <c r="R65" s="65">
        <v>35.299999999999997</v>
      </c>
      <c r="S65" s="65">
        <v>34.6</v>
      </c>
      <c r="T65" s="65">
        <v>47</v>
      </c>
      <c r="U65" s="65">
        <v>47</v>
      </c>
      <c r="V65" s="65">
        <v>65</v>
      </c>
      <c r="W65" s="65">
        <v>68.099999999999994</v>
      </c>
      <c r="X65" s="45">
        <v>68.099999999999994</v>
      </c>
      <c r="Y65" s="45">
        <v>68.099999999999994</v>
      </c>
      <c r="Z65" s="45">
        <v>68.099999999999994</v>
      </c>
      <c r="AA65" s="45">
        <v>68.099999999999994</v>
      </c>
      <c r="AB65" s="45">
        <v>68.099999999999994</v>
      </c>
      <c r="AC65" s="45">
        <v>61</v>
      </c>
      <c r="AD65" s="45">
        <v>53</v>
      </c>
      <c r="AE65" s="45">
        <v>53</v>
      </c>
      <c r="AF65" s="45">
        <v>35</v>
      </c>
      <c r="AG65" s="55">
        <v>69</v>
      </c>
      <c r="AH65" s="47">
        <f t="shared" si="2"/>
        <v>69</v>
      </c>
      <c r="AI65" s="48">
        <f t="shared" si="3"/>
        <v>16</v>
      </c>
      <c r="AK65" s="50"/>
    </row>
    <row r="66" spans="1:41" x14ac:dyDescent="0.25">
      <c r="A66" s="54" t="s">
        <v>66</v>
      </c>
      <c r="B66" s="65">
        <v>58.2</v>
      </c>
      <c r="C66" s="65">
        <v>54.4</v>
      </c>
      <c r="D66" s="65">
        <v>54.7</v>
      </c>
      <c r="E66" s="65">
        <v>54.7</v>
      </c>
      <c r="F66" s="65">
        <v>54.7</v>
      </c>
      <c r="G66" s="65">
        <v>54.4</v>
      </c>
      <c r="H66" s="65">
        <v>56.4</v>
      </c>
      <c r="I66" s="65">
        <v>55.7</v>
      </c>
      <c r="J66" s="65">
        <v>52.4</v>
      </c>
      <c r="K66" s="57">
        <v>54.2</v>
      </c>
      <c r="L66" s="57">
        <v>54.4</v>
      </c>
      <c r="M66" s="57">
        <v>54.2</v>
      </c>
      <c r="N66" s="65">
        <v>53.9</v>
      </c>
      <c r="O66" s="65">
        <v>54.4</v>
      </c>
      <c r="P66" s="65">
        <v>56.2</v>
      </c>
      <c r="Q66" s="65">
        <v>56.2</v>
      </c>
      <c r="R66" s="65">
        <v>54.4</v>
      </c>
      <c r="S66" s="65">
        <v>54.4</v>
      </c>
      <c r="T66" s="65">
        <v>54.4</v>
      </c>
      <c r="U66" s="65">
        <v>54.4</v>
      </c>
      <c r="V66" s="65">
        <v>52</v>
      </c>
      <c r="W66" s="65">
        <v>52</v>
      </c>
      <c r="X66" s="45">
        <v>52</v>
      </c>
      <c r="Y66" s="45">
        <v>52</v>
      </c>
      <c r="Z66" s="45">
        <v>52</v>
      </c>
      <c r="AA66" s="45">
        <v>52</v>
      </c>
      <c r="AB66" s="45">
        <v>52</v>
      </c>
      <c r="AC66" s="45">
        <v>52</v>
      </c>
      <c r="AD66" s="45">
        <v>57</v>
      </c>
      <c r="AE66" s="45">
        <v>58</v>
      </c>
      <c r="AF66" s="45">
        <v>58</v>
      </c>
      <c r="AG66" s="55">
        <v>60</v>
      </c>
      <c r="AH66" s="47">
        <f t="shared" si="2"/>
        <v>58.2</v>
      </c>
      <c r="AI66" s="48">
        <f t="shared" si="3"/>
        <v>52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10</v>
      </c>
      <c r="F67" s="65">
        <v>15</v>
      </c>
      <c r="G67" s="65">
        <v>15</v>
      </c>
      <c r="H67" s="65">
        <v>15</v>
      </c>
      <c r="I67" s="65">
        <v>10</v>
      </c>
      <c r="J67" s="65">
        <v>15</v>
      </c>
      <c r="K67" s="57">
        <v>15</v>
      </c>
      <c r="L67" s="57">
        <v>23</v>
      </c>
      <c r="M67" s="57">
        <v>28</v>
      </c>
      <c r="N67" s="65">
        <v>28</v>
      </c>
      <c r="O67" s="65">
        <v>27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15</v>
      </c>
      <c r="W67" s="65">
        <v>30</v>
      </c>
      <c r="X67" s="45">
        <v>30</v>
      </c>
      <c r="Y67" s="45">
        <v>30</v>
      </c>
      <c r="Z67" s="45">
        <v>30</v>
      </c>
      <c r="AA67" s="45">
        <v>30</v>
      </c>
      <c r="AB67" s="45">
        <v>30</v>
      </c>
      <c r="AC67" s="45">
        <v>10</v>
      </c>
      <c r="AD67" s="45">
        <v>0</v>
      </c>
      <c r="AE67" s="45">
        <v>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</v>
      </c>
      <c r="L68" s="65">
        <v>0.4</v>
      </c>
      <c r="M68" s="65">
        <v>1.3</v>
      </c>
      <c r="N68" s="65">
        <v>2.5</v>
      </c>
      <c r="O68" s="65">
        <v>5.2</v>
      </c>
      <c r="P68" s="65">
        <v>14.3</v>
      </c>
      <c r="Q68" s="65">
        <v>14.3</v>
      </c>
      <c r="R68" s="65">
        <v>14.3</v>
      </c>
      <c r="S68" s="65">
        <v>10.5</v>
      </c>
      <c r="T68" s="65">
        <v>5.3</v>
      </c>
      <c r="U68" s="65">
        <v>5.3</v>
      </c>
      <c r="V68" s="65">
        <v>0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14.3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14</v>
      </c>
      <c r="Q69" s="65">
        <v>14</v>
      </c>
      <c r="R69" s="65">
        <v>14</v>
      </c>
      <c r="S69" s="65">
        <v>14</v>
      </c>
      <c r="T69" s="65">
        <v>14</v>
      </c>
      <c r="U69" s="65">
        <v>14</v>
      </c>
      <c r="V69" s="65">
        <v>14</v>
      </c>
      <c r="W69" s="65">
        <v>14</v>
      </c>
      <c r="X69" s="65">
        <v>14</v>
      </c>
      <c r="Y69" s="65">
        <v>14</v>
      </c>
      <c r="Z69" s="65">
        <v>14</v>
      </c>
      <c r="AA69" s="65">
        <v>14</v>
      </c>
      <c r="AB69" s="65">
        <v>14</v>
      </c>
      <c r="AC69" s="65">
        <v>14</v>
      </c>
      <c r="AD69" s="65">
        <v>14</v>
      </c>
      <c r="AE69" s="65">
        <v>14</v>
      </c>
      <c r="AF69" s="65">
        <v>14</v>
      </c>
      <c r="AG69" s="55">
        <v>24</v>
      </c>
      <c r="AH69" s="47">
        <f t="shared" si="2"/>
        <v>16</v>
      </c>
      <c r="AI69" s="48">
        <f t="shared" si="3"/>
        <v>14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13.4</v>
      </c>
      <c r="C71" s="65">
        <v>13.4</v>
      </c>
      <c r="D71" s="65">
        <v>13.4</v>
      </c>
      <c r="E71" s="65">
        <v>13.4</v>
      </c>
      <c r="F71" s="65">
        <v>13.4</v>
      </c>
      <c r="G71" s="65">
        <v>13.4</v>
      </c>
      <c r="H71" s="65">
        <v>13.4</v>
      </c>
      <c r="I71" s="65">
        <v>13.4</v>
      </c>
      <c r="J71" s="65">
        <v>13.4</v>
      </c>
      <c r="K71" s="65">
        <v>13.4</v>
      </c>
      <c r="L71" s="65">
        <v>13.4</v>
      </c>
      <c r="M71" s="65">
        <v>11.9</v>
      </c>
      <c r="N71" s="65">
        <v>11.9</v>
      </c>
      <c r="O71" s="65">
        <v>11.9</v>
      </c>
      <c r="P71" s="65">
        <v>11.9</v>
      </c>
      <c r="Q71" s="65">
        <v>11.9</v>
      </c>
      <c r="R71" s="65">
        <v>11.9</v>
      </c>
      <c r="S71" s="65">
        <v>11.9</v>
      </c>
      <c r="T71" s="65">
        <v>11.9</v>
      </c>
      <c r="U71" s="65">
        <v>11.9</v>
      </c>
      <c r="V71" s="65">
        <v>11.9</v>
      </c>
      <c r="W71" s="65">
        <v>11.9</v>
      </c>
      <c r="X71" s="65">
        <v>11.9</v>
      </c>
      <c r="Y71" s="65">
        <v>11.9</v>
      </c>
      <c r="Z71" s="65">
        <v>11.9</v>
      </c>
      <c r="AA71" s="65">
        <v>11.9</v>
      </c>
      <c r="AB71" s="65">
        <v>11.9</v>
      </c>
      <c r="AC71" s="65">
        <v>11.9</v>
      </c>
      <c r="AD71" s="65">
        <v>11.9</v>
      </c>
      <c r="AE71" s="65">
        <v>11.9</v>
      </c>
      <c r="AF71" s="65">
        <v>11.9</v>
      </c>
      <c r="AG71" s="55">
        <v>14.1</v>
      </c>
      <c r="AH71" s="47">
        <f t="shared" si="2"/>
        <v>13.4</v>
      </c>
      <c r="AI71" s="48">
        <f t="shared" si="3"/>
        <v>11.9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5.6</v>
      </c>
      <c r="C72" s="65">
        <v>5.6</v>
      </c>
      <c r="D72" s="65">
        <v>5.6</v>
      </c>
      <c r="E72" s="65">
        <v>5.6</v>
      </c>
      <c r="F72" s="65">
        <v>5.6</v>
      </c>
      <c r="G72" s="65">
        <v>5.6</v>
      </c>
      <c r="H72" s="65">
        <v>5.6</v>
      </c>
      <c r="I72" s="65">
        <v>5.6</v>
      </c>
      <c r="J72" s="65">
        <v>5.6</v>
      </c>
      <c r="K72" s="65">
        <v>5.6</v>
      </c>
      <c r="L72" s="65">
        <v>5.6</v>
      </c>
      <c r="M72" s="65">
        <v>6.4</v>
      </c>
      <c r="N72" s="65">
        <v>6.4</v>
      </c>
      <c r="O72" s="65">
        <v>6.4</v>
      </c>
      <c r="P72" s="65">
        <v>6.4</v>
      </c>
      <c r="Q72" s="65">
        <v>6.4</v>
      </c>
      <c r="R72" s="65">
        <v>6.4</v>
      </c>
      <c r="S72" s="65">
        <v>5.0999999999999996</v>
      </c>
      <c r="T72" s="65">
        <v>5.0999999999999996</v>
      </c>
      <c r="U72" s="65">
        <v>5.0999999999999996</v>
      </c>
      <c r="V72" s="65">
        <v>5.0999999999999996</v>
      </c>
      <c r="W72" s="65">
        <v>5.0999999999999996</v>
      </c>
      <c r="X72" s="65">
        <v>5.0999999999999996</v>
      </c>
      <c r="Y72" s="65">
        <v>5.0999999999999996</v>
      </c>
      <c r="Z72" s="65">
        <v>5.0999999999999996</v>
      </c>
      <c r="AA72" s="65">
        <v>5.0999999999999996</v>
      </c>
      <c r="AB72" s="65">
        <v>5.0999999999999996</v>
      </c>
      <c r="AC72" s="65">
        <v>5.0999999999999996</v>
      </c>
      <c r="AD72" s="65">
        <v>5.0999999999999996</v>
      </c>
      <c r="AE72" s="65">
        <v>5.0999999999999996</v>
      </c>
      <c r="AF72" s="65">
        <v>5.0999999999999996</v>
      </c>
      <c r="AG72" s="55">
        <v>14</v>
      </c>
      <c r="AH72" s="47">
        <f t="shared" si="2"/>
        <v>6.4</v>
      </c>
      <c r="AI72" s="48">
        <f t="shared" si="3"/>
        <v>5.0999999999999996</v>
      </c>
      <c r="AK72" s="50"/>
    </row>
    <row r="73" spans="1:41" x14ac:dyDescent="0.25">
      <c r="A73" s="54" t="s">
        <v>73</v>
      </c>
      <c r="B73" s="65">
        <v>6</v>
      </c>
      <c r="C73" s="65">
        <v>6</v>
      </c>
      <c r="D73" s="65">
        <v>6</v>
      </c>
      <c r="E73" s="65">
        <v>6</v>
      </c>
      <c r="F73" s="65">
        <v>6</v>
      </c>
      <c r="G73" s="65">
        <v>6</v>
      </c>
      <c r="H73" s="65">
        <v>6</v>
      </c>
      <c r="I73" s="65">
        <v>6</v>
      </c>
      <c r="J73" s="65">
        <v>6</v>
      </c>
      <c r="K73" s="65">
        <v>6</v>
      </c>
      <c r="L73" s="65">
        <v>6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  <c r="AG73" s="55">
        <v>10.050000000000001</v>
      </c>
      <c r="AH73" s="47">
        <f t="shared" si="2"/>
        <v>6</v>
      </c>
      <c r="AI73" s="48">
        <f t="shared" si="3"/>
        <v>0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AG245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>SUM(B63:B75)</f>
        <v>126.74000000000001</v>
      </c>
      <c r="C76" s="60">
        <f t="shared" ref="C76:AG76" si="17">SUM(C63:C75)</f>
        <v>121.94000000000001</v>
      </c>
      <c r="D76" s="60">
        <f t="shared" si="17"/>
        <v>124.44000000000001</v>
      </c>
      <c r="E76" s="60">
        <f t="shared" si="17"/>
        <v>139.34</v>
      </c>
      <c r="F76" s="60">
        <f t="shared" si="17"/>
        <v>144.34</v>
      </c>
      <c r="G76" s="60">
        <f t="shared" si="17"/>
        <v>190.94</v>
      </c>
      <c r="H76" s="60">
        <f t="shared" si="17"/>
        <v>190.23999999999998</v>
      </c>
      <c r="I76" s="60">
        <f t="shared" si="17"/>
        <v>230.54</v>
      </c>
      <c r="J76" s="60">
        <f t="shared" si="17"/>
        <v>273.04000000000002</v>
      </c>
      <c r="K76" s="60">
        <f t="shared" si="17"/>
        <v>398.14</v>
      </c>
      <c r="L76" s="60">
        <f t="shared" si="17"/>
        <v>412.84</v>
      </c>
      <c r="M76" s="60">
        <f t="shared" ref="M76" si="18">SUM(M63:M75)</f>
        <v>416.44</v>
      </c>
      <c r="N76" s="60">
        <f t="shared" si="17"/>
        <v>416.53999999999996</v>
      </c>
      <c r="O76" s="60">
        <f t="shared" si="17"/>
        <v>409.83999999999992</v>
      </c>
      <c r="P76" s="60">
        <f t="shared" si="17"/>
        <v>371.94</v>
      </c>
      <c r="Q76" s="60">
        <f t="shared" si="17"/>
        <v>333.84</v>
      </c>
      <c r="R76" s="60">
        <f t="shared" si="17"/>
        <v>249.94</v>
      </c>
      <c r="S76" s="60">
        <f t="shared" si="17"/>
        <v>203.64</v>
      </c>
      <c r="T76" s="60">
        <f t="shared" si="17"/>
        <v>184.84</v>
      </c>
      <c r="U76" s="60">
        <f t="shared" si="17"/>
        <v>178.84</v>
      </c>
      <c r="V76" s="60">
        <f t="shared" si="17"/>
        <v>305.54000000000002</v>
      </c>
      <c r="W76" s="60">
        <f t="shared" si="17"/>
        <v>400.64000000000004</v>
      </c>
      <c r="X76" s="60">
        <f t="shared" si="17"/>
        <v>406.34</v>
      </c>
      <c r="Y76" s="60">
        <f t="shared" si="17"/>
        <v>406.34</v>
      </c>
      <c r="Z76" s="60">
        <f t="shared" si="17"/>
        <v>406.34</v>
      </c>
      <c r="AA76" s="60">
        <f t="shared" si="17"/>
        <v>406.34</v>
      </c>
      <c r="AB76" s="60">
        <f t="shared" ref="AB76:AC76" si="19">SUM(AB63:AB75)</f>
        <v>406.34</v>
      </c>
      <c r="AC76" s="60">
        <f t="shared" si="19"/>
        <v>379.24</v>
      </c>
      <c r="AD76" s="60">
        <f t="shared" ref="AD76:AE76" si="20">SUM(AD63:AD75)</f>
        <v>336.54</v>
      </c>
      <c r="AE76" s="60">
        <f t="shared" si="20"/>
        <v>204.54</v>
      </c>
      <c r="AF76" s="60">
        <f t="shared" ref="AF76" si="21">SUM(AF63:AF75)</f>
        <v>134.54</v>
      </c>
      <c r="AG76" s="61">
        <f t="shared" si="17"/>
        <v>489.91</v>
      </c>
      <c r="AH76" s="47">
        <f t="shared" si="2"/>
        <v>416.53999999999996</v>
      </c>
      <c r="AI76" s="48">
        <f t="shared" si="3"/>
        <v>121.94000000000001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>
        <v>59.3</v>
      </c>
      <c r="Y77" s="45">
        <v>59.3</v>
      </c>
      <c r="Z77" s="45">
        <v>34</v>
      </c>
      <c r="AA77" s="45">
        <v>14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59.3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>
        <v>29.9</v>
      </c>
      <c r="Y78" s="65">
        <v>29.9</v>
      </c>
      <c r="Z78" s="65">
        <v>23.5</v>
      </c>
      <c r="AA78" s="65">
        <v>8.5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29.9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>
        <v>10.9</v>
      </c>
      <c r="Y79" s="67">
        <v>10.9</v>
      </c>
      <c r="Z79" s="67">
        <v>8.6</v>
      </c>
      <c r="AA79" s="67">
        <v>3.1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10.9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" si="22">B77+B78+B79</f>
        <v>0</v>
      </c>
      <c r="C80" s="60">
        <f t="shared" ref="C80:AA80" si="23">C77+C78+C79</f>
        <v>0</v>
      </c>
      <c r="D80" s="60">
        <f t="shared" si="23"/>
        <v>0</v>
      </c>
      <c r="E80" s="60">
        <f t="shared" si="23"/>
        <v>0</v>
      </c>
      <c r="F80" s="60">
        <f t="shared" si="23"/>
        <v>0</v>
      </c>
      <c r="G80" s="60">
        <f t="shared" si="23"/>
        <v>0</v>
      </c>
      <c r="H80" s="60">
        <f t="shared" si="23"/>
        <v>0</v>
      </c>
      <c r="I80" s="60">
        <f t="shared" si="23"/>
        <v>0</v>
      </c>
      <c r="J80" s="60">
        <f t="shared" si="23"/>
        <v>0</v>
      </c>
      <c r="K80" s="60">
        <f t="shared" si="23"/>
        <v>0</v>
      </c>
      <c r="L80" s="60">
        <f t="shared" si="23"/>
        <v>0</v>
      </c>
      <c r="M80" s="60">
        <f t="shared" ref="M80" si="24">M77+M78+M79</f>
        <v>0</v>
      </c>
      <c r="N80" s="60">
        <f t="shared" si="23"/>
        <v>0</v>
      </c>
      <c r="O80" s="60">
        <f t="shared" si="23"/>
        <v>0</v>
      </c>
      <c r="P80" s="60">
        <f t="shared" si="23"/>
        <v>0</v>
      </c>
      <c r="Q80" s="60">
        <f t="shared" si="23"/>
        <v>0</v>
      </c>
      <c r="R80" s="60">
        <f t="shared" si="23"/>
        <v>0</v>
      </c>
      <c r="S80" s="60">
        <f t="shared" si="23"/>
        <v>0</v>
      </c>
      <c r="T80" s="60">
        <f t="shared" si="23"/>
        <v>0</v>
      </c>
      <c r="U80" s="60">
        <f t="shared" si="23"/>
        <v>0</v>
      </c>
      <c r="V80" s="60">
        <f t="shared" si="23"/>
        <v>0</v>
      </c>
      <c r="W80" s="60">
        <f t="shared" si="23"/>
        <v>0</v>
      </c>
      <c r="X80" s="60">
        <f t="shared" si="23"/>
        <v>100.1</v>
      </c>
      <c r="Y80" s="60">
        <f t="shared" si="23"/>
        <v>100.1</v>
      </c>
      <c r="Z80" s="60">
        <f t="shared" si="23"/>
        <v>66.099999999999994</v>
      </c>
      <c r="AA80" s="60">
        <f t="shared" si="23"/>
        <v>25.6</v>
      </c>
      <c r="AB80" s="60">
        <f t="shared" ref="AB80:AC80" si="25">AB77+AB78+AB79</f>
        <v>0</v>
      </c>
      <c r="AC80" s="60">
        <f t="shared" si="25"/>
        <v>0</v>
      </c>
      <c r="AD80" s="60">
        <f t="shared" ref="AD80:AE80" si="26">AD77+AD78+AD79</f>
        <v>0</v>
      </c>
      <c r="AE80" s="60">
        <f t="shared" si="26"/>
        <v>0</v>
      </c>
      <c r="AF80" s="60">
        <f t="shared" ref="AF80" si="27">AF77+AF78+AF79</f>
        <v>0</v>
      </c>
      <c r="AG80" s="61">
        <f>SUM(AG77:AG79)</f>
        <v>106</v>
      </c>
      <c r="AH80" s="47">
        <f t="shared" si="2"/>
        <v>100.1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52</v>
      </c>
      <c r="C81" s="45">
        <v>41</v>
      </c>
      <c r="D81" s="45">
        <v>42</v>
      </c>
      <c r="E81" s="45">
        <v>35.6</v>
      </c>
      <c r="F81" s="45">
        <v>35.9</v>
      </c>
      <c r="G81" s="45">
        <v>36.9</v>
      </c>
      <c r="H81" s="45">
        <v>52.3</v>
      </c>
      <c r="I81" s="45">
        <v>50.4</v>
      </c>
      <c r="J81" s="45">
        <v>49.5</v>
      </c>
      <c r="K81" s="45">
        <v>53.8</v>
      </c>
      <c r="L81" s="45">
        <v>51</v>
      </c>
      <c r="M81" s="45">
        <v>36.700000000000003</v>
      </c>
      <c r="N81" s="45">
        <v>23.7</v>
      </c>
      <c r="O81" s="45">
        <v>15</v>
      </c>
      <c r="P81" s="45">
        <v>28.9</v>
      </c>
      <c r="Q81" s="45">
        <v>30</v>
      </c>
      <c r="R81" s="45">
        <v>30.1</v>
      </c>
      <c r="S81" s="45">
        <v>46.5</v>
      </c>
      <c r="T81" s="45">
        <v>47.5</v>
      </c>
      <c r="U81" s="45">
        <v>50.5</v>
      </c>
      <c r="V81" s="45">
        <v>24.5</v>
      </c>
      <c r="W81" s="45">
        <v>16.399999999999999</v>
      </c>
      <c r="X81" s="45">
        <v>22</v>
      </c>
      <c r="Y81" s="45">
        <v>20.8</v>
      </c>
      <c r="Z81" s="45">
        <v>20.5</v>
      </c>
      <c r="AA81" s="45">
        <v>26.4</v>
      </c>
      <c r="AB81" s="45">
        <v>27.8</v>
      </c>
      <c r="AC81" s="45">
        <v>32</v>
      </c>
      <c r="AD81" s="45">
        <v>43</v>
      </c>
      <c r="AE81" s="45">
        <v>44</v>
      </c>
      <c r="AF81" s="45">
        <v>35</v>
      </c>
      <c r="AG81" s="52"/>
      <c r="AH81" s="47">
        <f t="shared" si="2"/>
        <v>53.8</v>
      </c>
      <c r="AI81" s="48">
        <f t="shared" si="3"/>
        <v>15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136</v>
      </c>
      <c r="C83" s="65">
        <v>112</v>
      </c>
      <c r="D83" s="65">
        <v>93</v>
      </c>
      <c r="E83" s="65">
        <v>77.8</v>
      </c>
      <c r="F83" s="65">
        <v>80</v>
      </c>
      <c r="G83" s="65">
        <v>99.3</v>
      </c>
      <c r="H83" s="65">
        <v>158</v>
      </c>
      <c r="I83" s="65">
        <v>193.9</v>
      </c>
      <c r="J83" s="65">
        <v>238</v>
      </c>
      <c r="K83" s="65">
        <v>92</v>
      </c>
      <c r="L83" s="65">
        <v>30</v>
      </c>
      <c r="M83" s="65">
        <v>10.5</v>
      </c>
      <c r="N83" s="65">
        <v>4</v>
      </c>
      <c r="O83" s="65">
        <v>0</v>
      </c>
      <c r="P83" s="65">
        <v>75</v>
      </c>
      <c r="Q83" s="65">
        <v>190</v>
      </c>
      <c r="R83" s="65">
        <v>212</v>
      </c>
      <c r="S83" s="65">
        <v>226</v>
      </c>
      <c r="T83" s="65">
        <v>232</v>
      </c>
      <c r="U83" s="65">
        <v>237</v>
      </c>
      <c r="V83" s="65">
        <v>0</v>
      </c>
      <c r="W83" s="65">
        <v>0</v>
      </c>
      <c r="X83" s="65">
        <v>0</v>
      </c>
      <c r="Y83" s="65">
        <v>0</v>
      </c>
      <c r="Z83" s="65">
        <v>18</v>
      </c>
      <c r="AA83" s="65">
        <v>30</v>
      </c>
      <c r="AB83" s="65">
        <v>70.400000000000006</v>
      </c>
      <c r="AC83" s="65">
        <v>145</v>
      </c>
      <c r="AD83" s="65">
        <v>108</v>
      </c>
      <c r="AE83" s="65">
        <v>93</v>
      </c>
      <c r="AF83" s="65">
        <v>100</v>
      </c>
      <c r="AG83" s="75"/>
      <c r="AH83" s="47">
        <f t="shared" si="2"/>
        <v>238</v>
      </c>
      <c r="AI83" s="48">
        <f t="shared" si="3"/>
        <v>0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28">MAX(B85:AF85)</f>
        <v>0</v>
      </c>
      <c r="AI85" s="48">
        <f t="shared" ref="AI85:AI130" si="29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8"/>
        <v>0</v>
      </c>
      <c r="AI86" s="48">
        <f t="shared" si="29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8"/>
        <v>0</v>
      </c>
      <c r="AI87" s="48">
        <f t="shared" si="29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8"/>
        <v>0</v>
      </c>
      <c r="AI88" s="48">
        <f t="shared" si="29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8"/>
        <v>0</v>
      </c>
      <c r="AI89" s="48">
        <f t="shared" si="29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8"/>
        <v>0</v>
      </c>
      <c r="AI90" s="48">
        <f t="shared" si="29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28"/>
        <v>0</v>
      </c>
      <c r="AI91" s="48">
        <f t="shared" si="29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" si="30">SUMIF(B81:B91,"&gt;0")</f>
        <v>188</v>
      </c>
      <c r="C92" s="60">
        <f t="shared" ref="C92:AA92" si="31">SUMIF(C81:C91,"&gt;0")</f>
        <v>153</v>
      </c>
      <c r="D92" s="60">
        <f t="shared" si="31"/>
        <v>135</v>
      </c>
      <c r="E92" s="60">
        <f t="shared" si="31"/>
        <v>113.4</v>
      </c>
      <c r="F92" s="60">
        <f t="shared" si="31"/>
        <v>115.9</v>
      </c>
      <c r="G92" s="60">
        <f t="shared" si="31"/>
        <v>136.19999999999999</v>
      </c>
      <c r="H92" s="60">
        <f t="shared" si="31"/>
        <v>210.3</v>
      </c>
      <c r="I92" s="60">
        <f t="shared" si="31"/>
        <v>244.3</v>
      </c>
      <c r="J92" s="60">
        <f t="shared" si="31"/>
        <v>287.5</v>
      </c>
      <c r="K92" s="60">
        <f t="shared" si="31"/>
        <v>145.80000000000001</v>
      </c>
      <c r="L92" s="60">
        <f t="shared" si="31"/>
        <v>81</v>
      </c>
      <c r="M92" s="60">
        <f t="shared" ref="M92" si="32">SUMIF(M81:M91,"&gt;0")</f>
        <v>47.2</v>
      </c>
      <c r="N92" s="60">
        <f t="shared" si="31"/>
        <v>27.7</v>
      </c>
      <c r="O92" s="60">
        <f t="shared" si="31"/>
        <v>15</v>
      </c>
      <c r="P92" s="60">
        <f t="shared" si="31"/>
        <v>103.9</v>
      </c>
      <c r="Q92" s="60">
        <f t="shared" si="31"/>
        <v>220</v>
      </c>
      <c r="R92" s="60">
        <f t="shared" si="31"/>
        <v>242.1</v>
      </c>
      <c r="S92" s="60">
        <f t="shared" si="31"/>
        <v>272.5</v>
      </c>
      <c r="T92" s="60">
        <f t="shared" si="31"/>
        <v>279.5</v>
      </c>
      <c r="U92" s="60">
        <f t="shared" si="31"/>
        <v>287.5</v>
      </c>
      <c r="V92" s="60">
        <f t="shared" si="31"/>
        <v>24.5</v>
      </c>
      <c r="W92" s="60">
        <f t="shared" si="31"/>
        <v>16.399999999999999</v>
      </c>
      <c r="X92" s="60">
        <f t="shared" si="31"/>
        <v>22</v>
      </c>
      <c r="Y92" s="60">
        <f t="shared" si="31"/>
        <v>20.8</v>
      </c>
      <c r="Z92" s="60">
        <f t="shared" si="31"/>
        <v>38.5</v>
      </c>
      <c r="AA92" s="60">
        <f t="shared" si="31"/>
        <v>56.4</v>
      </c>
      <c r="AB92" s="60">
        <f t="shared" ref="AB92:AC92" si="33">SUMIF(AB81:AB91,"&gt;0")</f>
        <v>98.2</v>
      </c>
      <c r="AC92" s="60">
        <f t="shared" si="33"/>
        <v>177</v>
      </c>
      <c r="AD92" s="60">
        <f t="shared" ref="AD92:AE92" si="34">SUMIF(AD81:AD91,"&gt;0")</f>
        <v>151</v>
      </c>
      <c r="AE92" s="60">
        <f t="shared" si="34"/>
        <v>137</v>
      </c>
      <c r="AF92" s="60">
        <f t="shared" ref="AF92" si="35">SUMIF(AF81:AF91,"&gt;0")</f>
        <v>135</v>
      </c>
      <c r="AG92" s="88">
        <f>SUM(AG81:AG91)</f>
        <v>0</v>
      </c>
      <c r="AH92" s="47">
        <f t="shared" si="28"/>
        <v>287.5</v>
      </c>
      <c r="AI92" s="48">
        <f t="shared" si="29"/>
        <v>15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8"/>
        <v>0</v>
      </c>
      <c r="AI93" s="48">
        <f t="shared" si="29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8"/>
        <v>0</v>
      </c>
      <c r="AI94" s="48">
        <f t="shared" si="29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8"/>
        <v>0</v>
      </c>
      <c r="AI95" s="48">
        <f t="shared" si="29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8"/>
        <v>0</v>
      </c>
      <c r="AI96" s="48">
        <f t="shared" si="29"/>
        <v>0</v>
      </c>
    </row>
    <row r="97" spans="1:37" ht="15.75" thickBot="1" x14ac:dyDescent="0.3">
      <c r="A97" s="74" t="s">
        <v>100</v>
      </c>
      <c r="B97" s="95">
        <f t="shared" ref="B97" si="36">B58+B62+B80+B76+B92+B96</f>
        <v>1010.7400000000001</v>
      </c>
      <c r="C97" s="95">
        <f t="shared" ref="C97:AG97" si="37">C58+C62+C80+C76+C92+C96</f>
        <v>970.94000000000017</v>
      </c>
      <c r="D97" s="95">
        <f t="shared" si="37"/>
        <v>955.54000000000019</v>
      </c>
      <c r="E97" s="95">
        <f t="shared" si="37"/>
        <v>948.84000000000015</v>
      </c>
      <c r="F97" s="95">
        <f t="shared" si="37"/>
        <v>956.34000000000015</v>
      </c>
      <c r="G97" s="95">
        <f t="shared" si="37"/>
        <v>1023.2400000000002</v>
      </c>
      <c r="H97" s="95">
        <f t="shared" si="37"/>
        <v>1096.6400000000001</v>
      </c>
      <c r="I97" s="95">
        <f t="shared" si="37"/>
        <v>1169.74</v>
      </c>
      <c r="J97" s="95">
        <f t="shared" si="37"/>
        <v>1285.6400000000001</v>
      </c>
      <c r="K97" s="95">
        <f t="shared" si="37"/>
        <v>1379.0400000000002</v>
      </c>
      <c r="L97" s="95">
        <f t="shared" si="37"/>
        <v>1494.8400000000001</v>
      </c>
      <c r="M97" s="95">
        <f t="shared" ref="M97" si="38">M58+M62+M80+M76+M92+M96</f>
        <v>1515.8270833333333</v>
      </c>
      <c r="N97" s="95">
        <f t="shared" si="37"/>
        <v>1484.4270833333335</v>
      </c>
      <c r="O97" s="95">
        <f t="shared" si="37"/>
        <v>1428.6270833333333</v>
      </c>
      <c r="P97" s="95">
        <f t="shared" si="37"/>
        <v>1276.3270833333333</v>
      </c>
      <c r="Q97" s="95">
        <f t="shared" si="37"/>
        <v>1228.3270833333333</v>
      </c>
      <c r="R97" s="95">
        <f t="shared" si="37"/>
        <v>1166.5270833333332</v>
      </c>
      <c r="S97" s="95">
        <f t="shared" si="37"/>
        <v>1150.6270833333333</v>
      </c>
      <c r="T97" s="95">
        <f t="shared" si="37"/>
        <v>1138.8270833333333</v>
      </c>
      <c r="U97" s="95">
        <f t="shared" si="37"/>
        <v>1152.8270833333333</v>
      </c>
      <c r="V97" s="95">
        <f t="shared" si="37"/>
        <v>1274.5270833333334</v>
      </c>
      <c r="W97" s="95">
        <f t="shared" si="37"/>
        <v>1407.5670833333336</v>
      </c>
      <c r="X97" s="95">
        <f t="shared" si="37"/>
        <v>1575.9670833333332</v>
      </c>
      <c r="Y97" s="95">
        <f t="shared" si="37"/>
        <v>1524.7670833333332</v>
      </c>
      <c r="Z97" s="95">
        <f t="shared" si="37"/>
        <v>1468.4670833333334</v>
      </c>
      <c r="AA97" s="95">
        <f t="shared" si="37"/>
        <v>1375.8670833333335</v>
      </c>
      <c r="AB97" s="95">
        <f t="shared" ref="AB97:AC97" si="39">AB58+AB62+AB80+AB76+AB92+AB96</f>
        <v>1362.0670833333334</v>
      </c>
      <c r="AC97" s="95">
        <f t="shared" si="39"/>
        <v>1283.7670833333334</v>
      </c>
      <c r="AD97" s="95">
        <f t="shared" ref="AD97:AE97" si="40">AD58+AD62+AD80+AD76+AD92+AD96</f>
        <v>1195.0670833333334</v>
      </c>
      <c r="AE97" s="95">
        <f t="shared" si="40"/>
        <v>1041.0670833333334</v>
      </c>
      <c r="AF97" s="95">
        <f t="shared" ref="AF97" si="41">AF58+AF62+AF80+AF76+AF92+AF96</f>
        <v>957.2670833333334</v>
      </c>
      <c r="AG97" s="61">
        <f t="shared" si="37"/>
        <v>2231.81</v>
      </c>
      <c r="AH97" s="47">
        <f t="shared" si="28"/>
        <v>1575.9670833333332</v>
      </c>
      <c r="AI97" s="48">
        <f t="shared" si="29"/>
        <v>948.84000000000015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28"/>
        <v>0</v>
      </c>
      <c r="AI98" s="48">
        <f t="shared" si="29"/>
        <v>0</v>
      </c>
    </row>
    <row r="99" spans="1:37" ht="15.75" thickBot="1" x14ac:dyDescent="0.3">
      <c r="A99" s="74" t="s">
        <v>102</v>
      </c>
      <c r="B99" s="95">
        <f t="shared" ref="B99" si="42">B97+B98</f>
        <v>1010.7400000000001</v>
      </c>
      <c r="C99" s="95">
        <f t="shared" ref="C99:AA99" si="43">C97+C98</f>
        <v>970.94000000000017</v>
      </c>
      <c r="D99" s="95">
        <f t="shared" si="43"/>
        <v>955.54000000000019</v>
      </c>
      <c r="E99" s="95">
        <f t="shared" si="43"/>
        <v>948.84000000000015</v>
      </c>
      <c r="F99" s="95">
        <f t="shared" si="43"/>
        <v>956.34000000000015</v>
      </c>
      <c r="G99" s="95">
        <f t="shared" si="43"/>
        <v>1023.2400000000002</v>
      </c>
      <c r="H99" s="95">
        <f t="shared" si="43"/>
        <v>1096.6400000000001</v>
      </c>
      <c r="I99" s="95">
        <f t="shared" si="43"/>
        <v>1169.74</v>
      </c>
      <c r="J99" s="95">
        <f t="shared" si="43"/>
        <v>1285.6400000000001</v>
      </c>
      <c r="K99" s="95">
        <f t="shared" si="43"/>
        <v>1379.0400000000002</v>
      </c>
      <c r="L99" s="95">
        <f t="shared" si="43"/>
        <v>1494.8400000000001</v>
      </c>
      <c r="M99" s="95">
        <f t="shared" ref="M99" si="44">M97+M98</f>
        <v>1515.8270833333333</v>
      </c>
      <c r="N99" s="95">
        <f t="shared" si="43"/>
        <v>1484.4270833333335</v>
      </c>
      <c r="O99" s="95">
        <f t="shared" si="43"/>
        <v>1428.6270833333333</v>
      </c>
      <c r="P99" s="95">
        <f t="shared" si="43"/>
        <v>1276.3270833333333</v>
      </c>
      <c r="Q99" s="95">
        <f t="shared" si="43"/>
        <v>1228.3270833333333</v>
      </c>
      <c r="R99" s="95">
        <f t="shared" si="43"/>
        <v>1166.5270833333332</v>
      </c>
      <c r="S99" s="95">
        <f t="shared" si="43"/>
        <v>1150.6270833333333</v>
      </c>
      <c r="T99" s="95">
        <f t="shared" si="43"/>
        <v>1138.8270833333333</v>
      </c>
      <c r="U99" s="95">
        <f t="shared" si="43"/>
        <v>1152.8270833333333</v>
      </c>
      <c r="V99" s="95">
        <f t="shared" si="43"/>
        <v>1274.5270833333334</v>
      </c>
      <c r="W99" s="95">
        <f t="shared" si="43"/>
        <v>1407.5670833333336</v>
      </c>
      <c r="X99" s="95">
        <f t="shared" si="43"/>
        <v>1575.9670833333332</v>
      </c>
      <c r="Y99" s="95">
        <f t="shared" si="43"/>
        <v>1524.7670833333332</v>
      </c>
      <c r="Z99" s="95">
        <f t="shared" si="43"/>
        <v>1468.4670833333334</v>
      </c>
      <c r="AA99" s="95">
        <f t="shared" si="43"/>
        <v>1375.8670833333335</v>
      </c>
      <c r="AB99" s="95">
        <f t="shared" ref="AB99:AC99" si="45">AB97+AB98</f>
        <v>1362.0670833333334</v>
      </c>
      <c r="AC99" s="95">
        <f t="shared" si="45"/>
        <v>1283.7670833333334</v>
      </c>
      <c r="AD99" s="95">
        <f t="shared" ref="AD99:AE99" si="46">AD97+AD98</f>
        <v>1195.0670833333334</v>
      </c>
      <c r="AE99" s="95">
        <f t="shared" si="46"/>
        <v>1041.0670833333334</v>
      </c>
      <c r="AF99" s="95">
        <f t="shared" ref="AF99" si="47">AF97+AF98</f>
        <v>957.2670833333334</v>
      </c>
      <c r="AG99" s="88">
        <f>AG96+AG92+AG80+AG76+AG58+AG98</f>
        <v>1693.71</v>
      </c>
      <c r="AH99" s="47">
        <f t="shared" si="28"/>
        <v>1575.9670833333332</v>
      </c>
      <c r="AI99" s="48">
        <f t="shared" si="29"/>
        <v>948.84000000000015</v>
      </c>
    </row>
    <row r="100" spans="1:37" ht="15.75" thickBot="1" x14ac:dyDescent="0.3">
      <c r="A100" s="74" t="s">
        <v>103</v>
      </c>
      <c r="B100" s="95">
        <f t="shared" ref="B100" si="48">B99-(B107)</f>
        <v>1009.7400000000001</v>
      </c>
      <c r="C100" s="95">
        <f t="shared" ref="C100:L100" si="49">C99-(C107)</f>
        <v>970.94000000000017</v>
      </c>
      <c r="D100" s="95">
        <f t="shared" si="49"/>
        <v>955.54000000000019</v>
      </c>
      <c r="E100" s="95">
        <f t="shared" si="49"/>
        <v>948.84000000000015</v>
      </c>
      <c r="F100" s="95">
        <f t="shared" si="49"/>
        <v>956.34000000000015</v>
      </c>
      <c r="G100" s="95">
        <f t="shared" si="49"/>
        <v>1023.2400000000002</v>
      </c>
      <c r="H100" s="95">
        <f t="shared" si="49"/>
        <v>1096.6400000000001</v>
      </c>
      <c r="I100" s="95">
        <f t="shared" si="49"/>
        <v>1169.74</v>
      </c>
      <c r="J100" s="95">
        <f t="shared" si="49"/>
        <v>1285.6400000000001</v>
      </c>
      <c r="K100" s="95">
        <f t="shared" si="49"/>
        <v>1379.0400000000002</v>
      </c>
      <c r="L100" s="95">
        <f t="shared" si="49"/>
        <v>1494.8400000000001</v>
      </c>
      <c r="M100" s="95">
        <f t="shared" ref="M100" si="50">M99-(M107)</f>
        <v>1514.8270833333333</v>
      </c>
      <c r="N100" s="95">
        <f>N99-(N107)</f>
        <v>1484.4270833333335</v>
      </c>
      <c r="O100" s="95">
        <f t="shared" ref="O100:AA100" si="51">O99-(O107)</f>
        <v>1428.6270833333333</v>
      </c>
      <c r="P100" s="95">
        <f t="shared" si="51"/>
        <v>1276.3270833333333</v>
      </c>
      <c r="Q100" s="95">
        <f t="shared" si="51"/>
        <v>1228.3270833333333</v>
      </c>
      <c r="R100" s="95">
        <f t="shared" si="51"/>
        <v>1166.5270833333332</v>
      </c>
      <c r="S100" s="95">
        <f t="shared" si="51"/>
        <v>1150.6270833333333</v>
      </c>
      <c r="T100" s="95">
        <f t="shared" si="51"/>
        <v>1138.8270833333333</v>
      </c>
      <c r="U100" s="95">
        <f t="shared" si="51"/>
        <v>1152.8270833333333</v>
      </c>
      <c r="V100" s="95">
        <f t="shared" si="51"/>
        <v>1274.5270833333334</v>
      </c>
      <c r="W100" s="95">
        <f t="shared" si="51"/>
        <v>1407.5670833333336</v>
      </c>
      <c r="X100" s="95">
        <f t="shared" si="51"/>
        <v>1575.9670833333332</v>
      </c>
      <c r="Y100" s="95">
        <f t="shared" si="51"/>
        <v>1524.7670833333332</v>
      </c>
      <c r="Z100" s="95">
        <f t="shared" si="51"/>
        <v>1468.4670833333334</v>
      </c>
      <c r="AA100" s="95">
        <f t="shared" si="51"/>
        <v>1375.8670833333335</v>
      </c>
      <c r="AB100" s="95">
        <f t="shared" ref="AB100:AC100" si="52">AB99-(AB107)</f>
        <v>1361.0670833333334</v>
      </c>
      <c r="AC100" s="95">
        <f t="shared" si="52"/>
        <v>1281.7670833333334</v>
      </c>
      <c r="AD100" s="95">
        <f t="shared" ref="AD100:AE100" si="53">AD99-(AD107)</f>
        <v>1192.0670833333334</v>
      </c>
      <c r="AE100" s="95">
        <f t="shared" si="53"/>
        <v>1037.0670833333334</v>
      </c>
      <c r="AF100" s="95">
        <f t="shared" ref="AF100" si="54">AF99-(AF107)</f>
        <v>952.2670833333334</v>
      </c>
      <c r="AG100" s="88"/>
      <c r="AH100" s="47">
        <f t="shared" si="28"/>
        <v>1575.9670833333332</v>
      </c>
      <c r="AI100" s="48">
        <f t="shared" si="29"/>
        <v>948.84000000000015</v>
      </c>
    </row>
    <row r="101" spans="1:37" x14ac:dyDescent="0.25">
      <c r="A101" s="44" t="s">
        <v>84</v>
      </c>
      <c r="B101" s="76">
        <f t="shared" ref="B101" si="55">IF(B84&lt;0,B84*-1,0)</f>
        <v>0</v>
      </c>
      <c r="C101" s="76">
        <f t="shared" ref="C101:AA101" si="56">IF(C84&lt;0,C84*-1,0)</f>
        <v>0</v>
      </c>
      <c r="D101" s="76">
        <f t="shared" si="56"/>
        <v>0</v>
      </c>
      <c r="E101" s="76">
        <f t="shared" si="56"/>
        <v>0</v>
      </c>
      <c r="F101" s="76">
        <f t="shared" si="56"/>
        <v>0</v>
      </c>
      <c r="G101" s="76">
        <f t="shared" si="56"/>
        <v>0</v>
      </c>
      <c r="H101" s="76">
        <f t="shared" si="56"/>
        <v>0</v>
      </c>
      <c r="I101" s="76">
        <f t="shared" si="56"/>
        <v>0</v>
      </c>
      <c r="J101" s="76">
        <f t="shared" si="56"/>
        <v>0</v>
      </c>
      <c r="K101" s="76">
        <f t="shared" si="56"/>
        <v>0</v>
      </c>
      <c r="L101" s="76">
        <f t="shared" si="56"/>
        <v>0</v>
      </c>
      <c r="M101" s="76">
        <f t="shared" ref="M101" si="57">IF(M84&lt;0,M84*-1,0)</f>
        <v>0</v>
      </c>
      <c r="N101" s="76">
        <f t="shared" si="56"/>
        <v>0</v>
      </c>
      <c r="O101" s="76">
        <f t="shared" si="56"/>
        <v>0</v>
      </c>
      <c r="P101" s="76">
        <f t="shared" si="56"/>
        <v>0</v>
      </c>
      <c r="Q101" s="76">
        <f t="shared" si="56"/>
        <v>0</v>
      </c>
      <c r="R101" s="76">
        <f t="shared" si="56"/>
        <v>0</v>
      </c>
      <c r="S101" s="76">
        <f t="shared" si="56"/>
        <v>0</v>
      </c>
      <c r="T101" s="76">
        <f t="shared" si="56"/>
        <v>0</v>
      </c>
      <c r="U101" s="76">
        <f t="shared" si="56"/>
        <v>0</v>
      </c>
      <c r="V101" s="76">
        <f t="shared" si="56"/>
        <v>0</v>
      </c>
      <c r="W101" s="76">
        <f t="shared" si="56"/>
        <v>0</v>
      </c>
      <c r="X101" s="76">
        <f t="shared" si="56"/>
        <v>0</v>
      </c>
      <c r="Y101" s="76">
        <f t="shared" si="56"/>
        <v>0</v>
      </c>
      <c r="Z101" s="76">
        <f t="shared" si="56"/>
        <v>0</v>
      </c>
      <c r="AA101" s="76">
        <f t="shared" si="56"/>
        <v>0</v>
      </c>
      <c r="AB101" s="76">
        <f t="shared" ref="AB101:AC101" si="58">IF(AB84&lt;0,AB84*-1,0)</f>
        <v>0</v>
      </c>
      <c r="AC101" s="76">
        <f t="shared" si="58"/>
        <v>0</v>
      </c>
      <c r="AD101" s="76">
        <f t="shared" ref="AD101:AE101" si="59">IF(AD84&lt;0,AD84*-1,0)</f>
        <v>0</v>
      </c>
      <c r="AE101" s="76">
        <f t="shared" si="59"/>
        <v>0</v>
      </c>
      <c r="AF101" s="76">
        <f t="shared" ref="AF101" si="60">IF(AF84&lt;0,AF84*-1,0)</f>
        <v>0</v>
      </c>
      <c r="AG101" s="52"/>
      <c r="AH101" s="47">
        <f t="shared" si="28"/>
        <v>0</v>
      </c>
      <c r="AI101" s="48">
        <f t="shared" si="29"/>
        <v>0</v>
      </c>
    </row>
    <row r="102" spans="1:37" x14ac:dyDescent="0.25">
      <c r="A102" s="54" t="s">
        <v>82</v>
      </c>
      <c r="B102" s="76">
        <f t="shared" ref="B102" si="61">IF(B82&lt;0,B82*-1,0)</f>
        <v>0</v>
      </c>
      <c r="C102" s="76">
        <f t="shared" ref="C102:AA102" si="62">IF(C82&lt;0,C82*-1,0)</f>
        <v>0</v>
      </c>
      <c r="D102" s="76">
        <f t="shared" si="62"/>
        <v>0</v>
      </c>
      <c r="E102" s="76">
        <f t="shared" si="62"/>
        <v>0</v>
      </c>
      <c r="F102" s="76">
        <f t="shared" si="62"/>
        <v>0</v>
      </c>
      <c r="G102" s="76">
        <f t="shared" si="62"/>
        <v>0</v>
      </c>
      <c r="H102" s="76">
        <f t="shared" si="62"/>
        <v>0</v>
      </c>
      <c r="I102" s="76">
        <f t="shared" si="62"/>
        <v>0</v>
      </c>
      <c r="J102" s="76">
        <f t="shared" si="62"/>
        <v>0</v>
      </c>
      <c r="K102" s="76">
        <f t="shared" si="62"/>
        <v>0</v>
      </c>
      <c r="L102" s="76">
        <f t="shared" si="62"/>
        <v>0</v>
      </c>
      <c r="M102" s="76">
        <f t="shared" ref="M102" si="63">IF(M82&lt;0,M82*-1,0)</f>
        <v>0</v>
      </c>
      <c r="N102" s="76">
        <f t="shared" si="62"/>
        <v>0</v>
      </c>
      <c r="O102" s="76">
        <f t="shared" si="62"/>
        <v>0</v>
      </c>
      <c r="P102" s="76">
        <f t="shared" si="62"/>
        <v>0</v>
      </c>
      <c r="Q102" s="76">
        <f t="shared" si="62"/>
        <v>0</v>
      </c>
      <c r="R102" s="76">
        <f t="shared" si="62"/>
        <v>0</v>
      </c>
      <c r="S102" s="76">
        <f t="shared" si="62"/>
        <v>0</v>
      </c>
      <c r="T102" s="76">
        <f t="shared" si="62"/>
        <v>0</v>
      </c>
      <c r="U102" s="76">
        <f t="shared" si="62"/>
        <v>0</v>
      </c>
      <c r="V102" s="76">
        <f t="shared" si="62"/>
        <v>0</v>
      </c>
      <c r="W102" s="76">
        <f t="shared" si="62"/>
        <v>0</v>
      </c>
      <c r="X102" s="76">
        <f t="shared" si="62"/>
        <v>0</v>
      </c>
      <c r="Y102" s="76">
        <f t="shared" si="62"/>
        <v>0</v>
      </c>
      <c r="Z102" s="76">
        <f t="shared" si="62"/>
        <v>0</v>
      </c>
      <c r="AA102" s="76">
        <f t="shared" si="62"/>
        <v>0</v>
      </c>
      <c r="AB102" s="76">
        <f t="shared" ref="AB102:AC102" si="64">IF(AB82&lt;0,AB82*-1,0)</f>
        <v>0</v>
      </c>
      <c r="AC102" s="76">
        <f t="shared" si="64"/>
        <v>0</v>
      </c>
      <c r="AD102" s="76">
        <f t="shared" ref="AD102:AE102" si="65">IF(AD82&lt;0,AD82*-1,0)</f>
        <v>0</v>
      </c>
      <c r="AE102" s="76">
        <f t="shared" si="65"/>
        <v>0</v>
      </c>
      <c r="AF102" s="76">
        <f t="shared" ref="AF102" si="66">IF(AF82&lt;0,AF82*-1,0)</f>
        <v>0</v>
      </c>
      <c r="AG102" s="55"/>
      <c r="AH102" s="47">
        <f t="shared" si="28"/>
        <v>0</v>
      </c>
      <c r="AI102" s="48">
        <f t="shared" si="29"/>
        <v>0</v>
      </c>
    </row>
    <row r="103" spans="1:37" x14ac:dyDescent="0.25">
      <c r="A103" s="84" t="s">
        <v>104</v>
      </c>
      <c r="B103" s="76">
        <f t="shared" ref="B103" si="67">IF(B85&lt;0,B85*-1,0)</f>
        <v>0</v>
      </c>
      <c r="C103" s="76">
        <f t="shared" ref="C103:AA103" si="68">IF(C85&lt;0,C85*-1,0)</f>
        <v>0</v>
      </c>
      <c r="D103" s="76">
        <f t="shared" si="68"/>
        <v>0</v>
      </c>
      <c r="E103" s="76">
        <f t="shared" si="68"/>
        <v>0</v>
      </c>
      <c r="F103" s="76">
        <f t="shared" si="68"/>
        <v>0</v>
      </c>
      <c r="G103" s="76">
        <f t="shared" si="68"/>
        <v>0</v>
      </c>
      <c r="H103" s="76">
        <f t="shared" si="68"/>
        <v>0</v>
      </c>
      <c r="I103" s="76">
        <f t="shared" si="68"/>
        <v>0</v>
      </c>
      <c r="J103" s="76">
        <f t="shared" si="68"/>
        <v>0</v>
      </c>
      <c r="K103" s="76">
        <f t="shared" si="68"/>
        <v>0</v>
      </c>
      <c r="L103" s="76">
        <f t="shared" si="68"/>
        <v>0</v>
      </c>
      <c r="M103" s="76">
        <f t="shared" ref="M103" si="69">IF(M85&lt;0,M85*-1,0)</f>
        <v>0</v>
      </c>
      <c r="N103" s="76">
        <f t="shared" si="68"/>
        <v>0</v>
      </c>
      <c r="O103" s="76">
        <f t="shared" si="68"/>
        <v>0</v>
      </c>
      <c r="P103" s="76">
        <f t="shared" si="68"/>
        <v>0</v>
      </c>
      <c r="Q103" s="76">
        <f t="shared" si="68"/>
        <v>0</v>
      </c>
      <c r="R103" s="76">
        <f t="shared" si="68"/>
        <v>0</v>
      </c>
      <c r="S103" s="76">
        <f t="shared" si="68"/>
        <v>0</v>
      </c>
      <c r="T103" s="76">
        <f t="shared" si="68"/>
        <v>0</v>
      </c>
      <c r="U103" s="76">
        <f t="shared" si="68"/>
        <v>0</v>
      </c>
      <c r="V103" s="76">
        <f t="shared" si="68"/>
        <v>0</v>
      </c>
      <c r="W103" s="76">
        <f t="shared" si="68"/>
        <v>0</v>
      </c>
      <c r="X103" s="76">
        <f t="shared" si="68"/>
        <v>0</v>
      </c>
      <c r="Y103" s="76">
        <f t="shared" si="68"/>
        <v>0</v>
      </c>
      <c r="Z103" s="76">
        <f t="shared" si="68"/>
        <v>0</v>
      </c>
      <c r="AA103" s="76">
        <f t="shared" si="68"/>
        <v>0</v>
      </c>
      <c r="AB103" s="76">
        <f t="shared" ref="AB103:AC103" si="70">IF(AB85&lt;0,AB85*-1,0)</f>
        <v>0</v>
      </c>
      <c r="AC103" s="76">
        <f t="shared" si="70"/>
        <v>0</v>
      </c>
      <c r="AD103" s="76">
        <f t="shared" ref="AD103:AE103" si="71">IF(AD85&lt;0,AD85*-1,0)</f>
        <v>0</v>
      </c>
      <c r="AE103" s="76">
        <f t="shared" si="71"/>
        <v>0</v>
      </c>
      <c r="AF103" s="76">
        <f t="shared" ref="AF103" si="72">IF(AF85&lt;0,AF85*-1,0)</f>
        <v>0</v>
      </c>
      <c r="AG103" s="98"/>
      <c r="AH103" s="47">
        <f t="shared" si="28"/>
        <v>0</v>
      </c>
      <c r="AI103" s="48">
        <f t="shared" si="29"/>
        <v>0</v>
      </c>
    </row>
    <row r="104" spans="1:37" x14ac:dyDescent="0.25">
      <c r="A104" s="84" t="s">
        <v>105</v>
      </c>
      <c r="B104" s="76">
        <f t="shared" ref="B104" si="73">IF(B83&lt;0,B83*-1,0)</f>
        <v>0</v>
      </c>
      <c r="C104" s="76">
        <f t="shared" ref="C104:AA104" si="74">IF(C83&lt;0,C83*-1,0)</f>
        <v>0</v>
      </c>
      <c r="D104" s="76">
        <f t="shared" si="74"/>
        <v>0</v>
      </c>
      <c r="E104" s="76">
        <f t="shared" si="74"/>
        <v>0</v>
      </c>
      <c r="F104" s="76">
        <f t="shared" si="74"/>
        <v>0</v>
      </c>
      <c r="G104" s="76">
        <f t="shared" si="74"/>
        <v>0</v>
      </c>
      <c r="H104" s="76">
        <f t="shared" si="74"/>
        <v>0</v>
      </c>
      <c r="I104" s="76">
        <f t="shared" si="74"/>
        <v>0</v>
      </c>
      <c r="J104" s="76">
        <f t="shared" si="74"/>
        <v>0</v>
      </c>
      <c r="K104" s="76">
        <f t="shared" si="74"/>
        <v>0</v>
      </c>
      <c r="L104" s="76">
        <f t="shared" si="74"/>
        <v>0</v>
      </c>
      <c r="M104" s="76">
        <f t="shared" ref="M104" si="75">IF(M83&lt;0,M83*-1,0)</f>
        <v>0</v>
      </c>
      <c r="N104" s="76">
        <f t="shared" si="74"/>
        <v>0</v>
      </c>
      <c r="O104" s="76">
        <f t="shared" si="74"/>
        <v>0</v>
      </c>
      <c r="P104" s="76">
        <f t="shared" si="74"/>
        <v>0</v>
      </c>
      <c r="Q104" s="76">
        <f t="shared" si="74"/>
        <v>0</v>
      </c>
      <c r="R104" s="76">
        <f t="shared" si="74"/>
        <v>0</v>
      </c>
      <c r="S104" s="76">
        <f t="shared" si="74"/>
        <v>0</v>
      </c>
      <c r="T104" s="76">
        <f t="shared" si="74"/>
        <v>0</v>
      </c>
      <c r="U104" s="76">
        <f t="shared" si="74"/>
        <v>0</v>
      </c>
      <c r="V104" s="76">
        <f t="shared" si="74"/>
        <v>0</v>
      </c>
      <c r="W104" s="76">
        <f t="shared" si="74"/>
        <v>0</v>
      </c>
      <c r="X104" s="76">
        <f t="shared" si="74"/>
        <v>0</v>
      </c>
      <c r="Y104" s="76">
        <f t="shared" si="74"/>
        <v>0</v>
      </c>
      <c r="Z104" s="76">
        <f t="shared" si="74"/>
        <v>0</v>
      </c>
      <c r="AA104" s="76">
        <f t="shared" si="74"/>
        <v>0</v>
      </c>
      <c r="AB104" s="76">
        <f t="shared" ref="AB104:AC104" si="76">IF(AB83&lt;0,AB83*-1,0)</f>
        <v>0</v>
      </c>
      <c r="AC104" s="76">
        <f t="shared" si="76"/>
        <v>0</v>
      </c>
      <c r="AD104" s="76">
        <f t="shared" ref="AD104:AE104" si="77">IF(AD83&lt;0,AD83*-1,0)</f>
        <v>0</v>
      </c>
      <c r="AE104" s="76">
        <f t="shared" si="77"/>
        <v>0</v>
      </c>
      <c r="AF104" s="76">
        <f t="shared" ref="AF104" si="78">IF(AF83&lt;0,AF83*-1,0)</f>
        <v>0</v>
      </c>
      <c r="AG104" s="98"/>
      <c r="AH104" s="47">
        <f t="shared" si="28"/>
        <v>0</v>
      </c>
      <c r="AI104" s="48">
        <f t="shared" si="29"/>
        <v>0</v>
      </c>
    </row>
    <row r="105" spans="1:37" x14ac:dyDescent="0.25">
      <c r="A105" s="84" t="s">
        <v>81</v>
      </c>
      <c r="B105" s="76">
        <f t="shared" ref="B105" si="79">IF(B81&lt;0,B81*-1,0)</f>
        <v>0</v>
      </c>
      <c r="C105" s="76">
        <f t="shared" ref="C105:AA105" si="80">IF(C81&lt;0,C81*-1,0)</f>
        <v>0</v>
      </c>
      <c r="D105" s="76">
        <f t="shared" si="80"/>
        <v>0</v>
      </c>
      <c r="E105" s="76">
        <f t="shared" si="80"/>
        <v>0</v>
      </c>
      <c r="F105" s="76">
        <f t="shared" si="80"/>
        <v>0</v>
      </c>
      <c r="G105" s="76">
        <f t="shared" si="80"/>
        <v>0</v>
      </c>
      <c r="H105" s="76">
        <f t="shared" si="80"/>
        <v>0</v>
      </c>
      <c r="I105" s="76">
        <f t="shared" si="80"/>
        <v>0</v>
      </c>
      <c r="J105" s="76">
        <f t="shared" si="80"/>
        <v>0</v>
      </c>
      <c r="K105" s="76">
        <f t="shared" si="80"/>
        <v>0</v>
      </c>
      <c r="L105" s="76">
        <f t="shared" si="80"/>
        <v>0</v>
      </c>
      <c r="M105" s="76">
        <f t="shared" ref="M105" si="81">IF(M81&lt;0,M81*-1,0)</f>
        <v>0</v>
      </c>
      <c r="N105" s="76">
        <f t="shared" si="80"/>
        <v>0</v>
      </c>
      <c r="O105" s="76">
        <f t="shared" si="80"/>
        <v>0</v>
      </c>
      <c r="P105" s="76">
        <f t="shared" si="80"/>
        <v>0</v>
      </c>
      <c r="Q105" s="76">
        <f t="shared" si="80"/>
        <v>0</v>
      </c>
      <c r="R105" s="76">
        <f t="shared" si="80"/>
        <v>0</v>
      </c>
      <c r="S105" s="76">
        <f t="shared" si="80"/>
        <v>0</v>
      </c>
      <c r="T105" s="76">
        <f t="shared" si="80"/>
        <v>0</v>
      </c>
      <c r="U105" s="76">
        <f t="shared" si="80"/>
        <v>0</v>
      </c>
      <c r="V105" s="76">
        <f t="shared" si="80"/>
        <v>0</v>
      </c>
      <c r="W105" s="76">
        <f t="shared" si="80"/>
        <v>0</v>
      </c>
      <c r="X105" s="76">
        <f t="shared" si="80"/>
        <v>0</v>
      </c>
      <c r="Y105" s="76">
        <f t="shared" si="80"/>
        <v>0</v>
      </c>
      <c r="Z105" s="76">
        <f t="shared" si="80"/>
        <v>0</v>
      </c>
      <c r="AA105" s="76">
        <f t="shared" si="80"/>
        <v>0</v>
      </c>
      <c r="AB105" s="76">
        <f t="shared" ref="AB105:AC105" si="82">IF(AB81&lt;0,AB81*-1,0)</f>
        <v>0</v>
      </c>
      <c r="AC105" s="76">
        <f t="shared" si="82"/>
        <v>0</v>
      </c>
      <c r="AD105" s="76">
        <f t="shared" ref="AD105:AE105" si="83">IF(AD81&lt;0,AD81*-1,0)</f>
        <v>0</v>
      </c>
      <c r="AE105" s="76">
        <f t="shared" si="83"/>
        <v>0</v>
      </c>
      <c r="AF105" s="76">
        <f t="shared" ref="AF105" si="84">IF(AF81&lt;0,AF81*-1,0)</f>
        <v>0</v>
      </c>
      <c r="AG105" s="98"/>
      <c r="AH105" s="47">
        <f t="shared" si="28"/>
        <v>0</v>
      </c>
      <c r="AI105" s="48">
        <f t="shared" si="29"/>
        <v>0</v>
      </c>
    </row>
    <row r="106" spans="1:37" ht="15.75" thickBot="1" x14ac:dyDescent="0.3">
      <c r="A106" s="84" t="s">
        <v>106</v>
      </c>
      <c r="B106" s="94">
        <v>1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1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1</v>
      </c>
      <c r="AC106" s="94">
        <v>2</v>
      </c>
      <c r="AD106" s="94">
        <v>3</v>
      </c>
      <c r="AE106" s="94">
        <v>4</v>
      </c>
      <c r="AF106" s="94">
        <v>5</v>
      </c>
      <c r="AG106" s="85"/>
      <c r="AH106" s="47">
        <f t="shared" si="28"/>
        <v>5</v>
      </c>
      <c r="AI106" s="48">
        <f t="shared" si="29"/>
        <v>0</v>
      </c>
    </row>
    <row r="107" spans="1:37" ht="15.75" thickBot="1" x14ac:dyDescent="0.3">
      <c r="A107" s="99" t="s">
        <v>107</v>
      </c>
      <c r="B107" s="60">
        <f t="shared" ref="B107" si="85">SUM(B101:B106)</f>
        <v>1</v>
      </c>
      <c r="C107" s="60">
        <f t="shared" ref="C107:AA107" si="86">SUM(C101:C106)</f>
        <v>0</v>
      </c>
      <c r="D107" s="60">
        <f t="shared" si="86"/>
        <v>0</v>
      </c>
      <c r="E107" s="60">
        <f t="shared" si="86"/>
        <v>0</v>
      </c>
      <c r="F107" s="60">
        <f t="shared" si="86"/>
        <v>0</v>
      </c>
      <c r="G107" s="60">
        <f t="shared" si="86"/>
        <v>0</v>
      </c>
      <c r="H107" s="60">
        <f t="shared" si="86"/>
        <v>0</v>
      </c>
      <c r="I107" s="60">
        <f t="shared" si="86"/>
        <v>0</v>
      </c>
      <c r="J107" s="60">
        <f t="shared" si="86"/>
        <v>0</v>
      </c>
      <c r="K107" s="60">
        <f t="shared" si="86"/>
        <v>0</v>
      </c>
      <c r="L107" s="60">
        <f t="shared" si="86"/>
        <v>0</v>
      </c>
      <c r="M107" s="60">
        <f t="shared" ref="M107" si="87">SUM(M101:M106)</f>
        <v>1</v>
      </c>
      <c r="N107" s="60">
        <f t="shared" si="86"/>
        <v>0</v>
      </c>
      <c r="O107" s="60">
        <f t="shared" si="86"/>
        <v>0</v>
      </c>
      <c r="P107" s="60">
        <f t="shared" si="86"/>
        <v>0</v>
      </c>
      <c r="Q107" s="60">
        <f t="shared" si="86"/>
        <v>0</v>
      </c>
      <c r="R107" s="60">
        <f t="shared" si="86"/>
        <v>0</v>
      </c>
      <c r="S107" s="60">
        <f t="shared" si="86"/>
        <v>0</v>
      </c>
      <c r="T107" s="60">
        <f t="shared" si="86"/>
        <v>0</v>
      </c>
      <c r="U107" s="60">
        <f t="shared" si="86"/>
        <v>0</v>
      </c>
      <c r="V107" s="60">
        <f t="shared" si="86"/>
        <v>0</v>
      </c>
      <c r="W107" s="60">
        <f t="shared" si="86"/>
        <v>0</v>
      </c>
      <c r="X107" s="60">
        <f t="shared" si="86"/>
        <v>0</v>
      </c>
      <c r="Y107" s="60">
        <f t="shared" si="86"/>
        <v>0</v>
      </c>
      <c r="Z107" s="60">
        <f t="shared" si="86"/>
        <v>0</v>
      </c>
      <c r="AA107" s="60">
        <f t="shared" si="86"/>
        <v>0</v>
      </c>
      <c r="AB107" s="60">
        <f t="shared" ref="AB107:AC107" si="88">SUM(AB101:AB106)</f>
        <v>1</v>
      </c>
      <c r="AC107" s="60">
        <f t="shared" si="88"/>
        <v>2</v>
      </c>
      <c r="AD107" s="60">
        <f t="shared" ref="AD107:AE107" si="89">SUM(AD101:AD106)</f>
        <v>3</v>
      </c>
      <c r="AE107" s="60">
        <f t="shared" si="89"/>
        <v>4</v>
      </c>
      <c r="AF107" s="60">
        <f t="shared" ref="AF107" si="90">SUM(AF101:AF106)</f>
        <v>5</v>
      </c>
      <c r="AG107" s="88"/>
      <c r="AH107" s="47">
        <f t="shared" si="28"/>
        <v>5</v>
      </c>
      <c r="AI107" s="48">
        <f t="shared" si="29"/>
        <v>0</v>
      </c>
      <c r="AK107" s="50"/>
    </row>
    <row r="108" spans="1:37" ht="15.75" thickBot="1" x14ac:dyDescent="0.3">
      <c r="A108" s="74" t="s">
        <v>108</v>
      </c>
      <c r="B108" s="60">
        <f t="shared" ref="B108" si="91">B92-B107</f>
        <v>187</v>
      </c>
      <c r="C108" s="60">
        <f t="shared" ref="C108:AA108" si="92">C92-C107</f>
        <v>153</v>
      </c>
      <c r="D108" s="60">
        <f t="shared" si="92"/>
        <v>135</v>
      </c>
      <c r="E108" s="60">
        <f t="shared" si="92"/>
        <v>113.4</v>
      </c>
      <c r="F108" s="60">
        <f t="shared" si="92"/>
        <v>115.9</v>
      </c>
      <c r="G108" s="60">
        <f t="shared" si="92"/>
        <v>136.19999999999999</v>
      </c>
      <c r="H108" s="60">
        <f t="shared" si="92"/>
        <v>210.3</v>
      </c>
      <c r="I108" s="60">
        <f t="shared" si="92"/>
        <v>244.3</v>
      </c>
      <c r="J108" s="60">
        <f t="shared" si="92"/>
        <v>287.5</v>
      </c>
      <c r="K108" s="60">
        <f t="shared" si="92"/>
        <v>145.80000000000001</v>
      </c>
      <c r="L108" s="60">
        <f t="shared" si="92"/>
        <v>81</v>
      </c>
      <c r="M108" s="60">
        <f t="shared" ref="M108" si="93">M92-M107</f>
        <v>46.2</v>
      </c>
      <c r="N108" s="60">
        <f t="shared" si="92"/>
        <v>27.7</v>
      </c>
      <c r="O108" s="60">
        <f t="shared" si="92"/>
        <v>15</v>
      </c>
      <c r="P108" s="60">
        <f t="shared" si="92"/>
        <v>103.9</v>
      </c>
      <c r="Q108" s="60">
        <f t="shared" si="92"/>
        <v>220</v>
      </c>
      <c r="R108" s="60">
        <f t="shared" si="92"/>
        <v>242.1</v>
      </c>
      <c r="S108" s="60">
        <f t="shared" si="92"/>
        <v>272.5</v>
      </c>
      <c r="T108" s="60">
        <f t="shared" si="92"/>
        <v>279.5</v>
      </c>
      <c r="U108" s="60">
        <f t="shared" si="92"/>
        <v>287.5</v>
      </c>
      <c r="V108" s="60">
        <f t="shared" si="92"/>
        <v>24.5</v>
      </c>
      <c r="W108" s="60">
        <f t="shared" si="92"/>
        <v>16.399999999999999</v>
      </c>
      <c r="X108" s="60">
        <f t="shared" si="92"/>
        <v>22</v>
      </c>
      <c r="Y108" s="60">
        <f t="shared" si="92"/>
        <v>20.8</v>
      </c>
      <c r="Z108" s="60">
        <f t="shared" si="92"/>
        <v>38.5</v>
      </c>
      <c r="AA108" s="60">
        <f t="shared" si="92"/>
        <v>56.4</v>
      </c>
      <c r="AB108" s="60">
        <f t="shared" ref="AB108:AC108" si="94">AB92-AB107</f>
        <v>97.2</v>
      </c>
      <c r="AC108" s="60">
        <f t="shared" si="94"/>
        <v>175</v>
      </c>
      <c r="AD108" s="60">
        <f t="shared" ref="AD108:AE108" si="95">AD92-AD107</f>
        <v>148</v>
      </c>
      <c r="AE108" s="60">
        <f t="shared" si="95"/>
        <v>133</v>
      </c>
      <c r="AF108" s="60">
        <f t="shared" ref="AF108" si="96">AF92-AF107</f>
        <v>130</v>
      </c>
      <c r="AG108" s="88"/>
      <c r="AH108" s="47">
        <f t="shared" si="28"/>
        <v>287.5</v>
      </c>
      <c r="AI108" s="48">
        <f t="shared" si="29"/>
        <v>15</v>
      </c>
    </row>
    <row r="109" spans="1:37" x14ac:dyDescent="0.25">
      <c r="A109" s="100" t="s">
        <v>109</v>
      </c>
      <c r="B109" s="101">
        <v>49.996000000000002</v>
      </c>
      <c r="C109" s="101">
        <v>49.936999999999998</v>
      </c>
      <c r="D109" s="101">
        <v>49.988999999999997</v>
      </c>
      <c r="E109" s="101">
        <v>49.984999999999999</v>
      </c>
      <c r="F109" s="101">
        <v>49.97</v>
      </c>
      <c r="G109" s="101">
        <v>49.99</v>
      </c>
      <c r="H109" s="101">
        <v>50</v>
      </c>
      <c r="I109" s="101">
        <v>50.085999999999999</v>
      </c>
      <c r="J109" s="101">
        <v>50.1</v>
      </c>
      <c r="K109" s="101">
        <v>50.097999999999999</v>
      </c>
      <c r="L109" s="101">
        <v>50.048000000000002</v>
      </c>
      <c r="M109" s="101">
        <v>50</v>
      </c>
      <c r="N109" s="101">
        <v>49.898000000000003</v>
      </c>
      <c r="O109" s="101">
        <v>49.951000000000001</v>
      </c>
      <c r="P109" s="101">
        <v>49.820999999999998</v>
      </c>
      <c r="Q109" s="101">
        <v>49.820999999999998</v>
      </c>
      <c r="R109" s="101">
        <v>49.987000000000002</v>
      </c>
      <c r="S109" s="101">
        <v>49.854999999999997</v>
      </c>
      <c r="T109" s="101">
        <v>50.052999999999997</v>
      </c>
      <c r="U109" s="101">
        <v>49.960999999999999</v>
      </c>
      <c r="V109" s="101">
        <v>49.901000000000003</v>
      </c>
      <c r="W109" s="101">
        <v>49.896000000000001</v>
      </c>
      <c r="X109" s="101">
        <v>49.923999999999999</v>
      </c>
      <c r="Y109" s="101">
        <v>49.941000000000003</v>
      </c>
      <c r="Z109" s="101">
        <v>49.993000000000002</v>
      </c>
      <c r="AA109" s="101">
        <v>49.976999999999997</v>
      </c>
      <c r="AB109" s="101">
        <v>50.01</v>
      </c>
      <c r="AC109" s="101">
        <v>50.06</v>
      </c>
      <c r="AD109" s="101">
        <v>49.89</v>
      </c>
      <c r="AE109" s="101">
        <v>50.05</v>
      </c>
      <c r="AF109" s="101">
        <v>50.045000000000002</v>
      </c>
      <c r="AG109" s="102"/>
      <c r="AH109" s="47">
        <f t="shared" si="28"/>
        <v>50.1</v>
      </c>
      <c r="AI109" s="48">
        <f t="shared" si="29"/>
        <v>49.820999999999998</v>
      </c>
    </row>
    <row r="110" spans="1:37" x14ac:dyDescent="0.25">
      <c r="A110" s="103" t="s">
        <v>110</v>
      </c>
      <c r="B110" s="65">
        <v>130.80000000000001</v>
      </c>
      <c r="C110" s="65">
        <v>131.69999999999999</v>
      </c>
      <c r="D110" s="65">
        <v>132</v>
      </c>
      <c r="E110" s="65">
        <v>132</v>
      </c>
      <c r="F110" s="65">
        <v>132</v>
      </c>
      <c r="G110" s="65">
        <v>131.6</v>
      </c>
      <c r="H110" s="65">
        <v>131.6</v>
      </c>
      <c r="I110" s="65">
        <v>129.6</v>
      </c>
      <c r="J110" s="65">
        <v>129.6</v>
      </c>
      <c r="K110" s="65">
        <v>127.6</v>
      </c>
      <c r="L110" s="65">
        <v>125.6</v>
      </c>
      <c r="M110" s="65">
        <v>124.5</v>
      </c>
      <c r="N110" s="65">
        <v>125.1</v>
      </c>
      <c r="O110" s="65">
        <v>126</v>
      </c>
      <c r="P110" s="65">
        <v>127.5</v>
      </c>
      <c r="Q110" s="65">
        <v>127.5</v>
      </c>
      <c r="R110" s="65">
        <v>127.9</v>
      </c>
      <c r="S110" s="65">
        <v>127.2</v>
      </c>
      <c r="T110" s="65">
        <v>127.4</v>
      </c>
      <c r="U110" s="65">
        <v>128.1</v>
      </c>
      <c r="V110" s="65">
        <v>127.7</v>
      </c>
      <c r="W110" s="65">
        <v>126.4</v>
      </c>
      <c r="X110" s="65">
        <v>126.4</v>
      </c>
      <c r="Y110" s="65">
        <v>128.4</v>
      </c>
      <c r="Z110" s="65">
        <v>128.5</v>
      </c>
      <c r="AA110" s="65">
        <v>128.1</v>
      </c>
      <c r="AB110" s="65">
        <v>128.30000000000001</v>
      </c>
      <c r="AC110" s="65">
        <v>129</v>
      </c>
      <c r="AD110" s="65">
        <v>129</v>
      </c>
      <c r="AE110" s="65">
        <v>131</v>
      </c>
      <c r="AF110" s="65">
        <v>132</v>
      </c>
      <c r="AG110" s="104"/>
      <c r="AH110" s="47">
        <f t="shared" si="28"/>
        <v>132</v>
      </c>
      <c r="AI110" s="48">
        <f t="shared" si="29"/>
        <v>124.5</v>
      </c>
    </row>
    <row r="111" spans="1:37" x14ac:dyDescent="0.25">
      <c r="A111" s="103" t="s">
        <v>111</v>
      </c>
      <c r="B111" s="65">
        <v>134.4</v>
      </c>
      <c r="C111" s="65">
        <v>135.19999999999999</v>
      </c>
      <c r="D111" s="65">
        <v>135</v>
      </c>
      <c r="E111" s="65">
        <v>135</v>
      </c>
      <c r="F111" s="65">
        <v>135</v>
      </c>
      <c r="G111" s="65">
        <v>134.6</v>
      </c>
      <c r="H111" s="65">
        <v>134.6</v>
      </c>
      <c r="I111" s="65">
        <v>132.80000000000001</v>
      </c>
      <c r="J111" s="65">
        <v>132.80000000000001</v>
      </c>
      <c r="K111" s="65">
        <v>130</v>
      </c>
      <c r="L111" s="65">
        <v>128</v>
      </c>
      <c r="M111" s="65">
        <v>127</v>
      </c>
      <c r="N111" s="65">
        <v>127.3</v>
      </c>
      <c r="O111" s="65">
        <v>128.5</v>
      </c>
      <c r="P111" s="65">
        <v>130.19999999999999</v>
      </c>
      <c r="Q111" s="65">
        <v>130.19999999999999</v>
      </c>
      <c r="R111" s="65">
        <v>130.69999999999999</v>
      </c>
      <c r="S111" s="65">
        <v>130.6</v>
      </c>
      <c r="T111" s="65">
        <v>130.9</v>
      </c>
      <c r="U111" s="65">
        <v>131.30000000000001</v>
      </c>
      <c r="V111" s="65">
        <v>130.6</v>
      </c>
      <c r="W111" s="65">
        <v>129.1</v>
      </c>
      <c r="X111" s="65">
        <v>128.80000000000001</v>
      </c>
      <c r="Y111" s="65">
        <v>130.1</v>
      </c>
      <c r="Z111" s="65">
        <v>130.4</v>
      </c>
      <c r="AA111" s="65">
        <v>130.19999999999999</v>
      </c>
      <c r="AB111" s="65">
        <v>130.4</v>
      </c>
      <c r="AC111" s="65">
        <v>131</v>
      </c>
      <c r="AD111" s="65">
        <v>131</v>
      </c>
      <c r="AE111" s="65">
        <v>133</v>
      </c>
      <c r="AF111" s="65">
        <v>135</v>
      </c>
      <c r="AG111" s="104"/>
      <c r="AH111" s="47">
        <f t="shared" si="28"/>
        <v>135.19999999999999</v>
      </c>
      <c r="AI111" s="48">
        <f t="shared" si="29"/>
        <v>127</v>
      </c>
    </row>
    <row r="112" spans="1:37" x14ac:dyDescent="0.25">
      <c r="A112" s="103" t="s">
        <v>112</v>
      </c>
      <c r="B112" s="65">
        <v>129.4</v>
      </c>
      <c r="C112" s="65">
        <v>130</v>
      </c>
      <c r="D112" s="65">
        <v>130</v>
      </c>
      <c r="E112" s="65">
        <v>130</v>
      </c>
      <c r="F112" s="65">
        <v>130.80000000000001</v>
      </c>
      <c r="G112" s="65">
        <v>130</v>
      </c>
      <c r="H112" s="65">
        <v>130</v>
      </c>
      <c r="I112" s="65">
        <v>126.6</v>
      </c>
      <c r="J112" s="65">
        <v>126.6</v>
      </c>
      <c r="K112" s="65">
        <v>128</v>
      </c>
      <c r="L112" s="65">
        <v>128.6</v>
      </c>
      <c r="M112" s="65">
        <v>124.7</v>
      </c>
      <c r="N112" s="65">
        <v>127.9</v>
      </c>
      <c r="O112" s="65">
        <v>126.2</v>
      </c>
      <c r="P112" s="65">
        <v>130.30000000000001</v>
      </c>
      <c r="Q112" s="65">
        <v>130.30000000000001</v>
      </c>
      <c r="R112" s="65">
        <v>131.5</v>
      </c>
      <c r="S112" s="65">
        <v>129.4</v>
      </c>
      <c r="T112" s="65">
        <v>131</v>
      </c>
      <c r="U112" s="65">
        <v>130.69999999999999</v>
      </c>
      <c r="V112" s="65">
        <v>131.5</v>
      </c>
      <c r="W112" s="65">
        <v>126</v>
      </c>
      <c r="X112" s="65">
        <v>128</v>
      </c>
      <c r="Y112" s="65">
        <v>129.32</v>
      </c>
      <c r="Z112" s="65">
        <v>130.80000000000001</v>
      </c>
      <c r="AA112" s="65">
        <v>131.4</v>
      </c>
      <c r="AB112" s="65">
        <v>131.80000000000001</v>
      </c>
      <c r="AC112" s="65">
        <v>131</v>
      </c>
      <c r="AD112" s="65">
        <v>131</v>
      </c>
      <c r="AE112" s="65">
        <v>131</v>
      </c>
      <c r="AF112" s="65">
        <v>131</v>
      </c>
      <c r="AG112" s="104"/>
      <c r="AH112" s="47">
        <f t="shared" si="28"/>
        <v>131.80000000000001</v>
      </c>
      <c r="AI112" s="48">
        <f t="shared" si="29"/>
        <v>124.7</v>
      </c>
    </row>
    <row r="113" spans="1:35" x14ac:dyDescent="0.25">
      <c r="A113" s="105" t="s">
        <v>113</v>
      </c>
      <c r="B113" s="65">
        <v>131.19999999999999</v>
      </c>
      <c r="C113" s="65">
        <v>133.6</v>
      </c>
      <c r="D113" s="65">
        <v>133</v>
      </c>
      <c r="E113" s="65">
        <v>133</v>
      </c>
      <c r="F113" s="65">
        <v>132.9</v>
      </c>
      <c r="G113" s="65">
        <v>132</v>
      </c>
      <c r="H113" s="65">
        <v>132</v>
      </c>
      <c r="I113" s="65">
        <v>128.96</v>
      </c>
      <c r="J113" s="65">
        <v>128.96</v>
      </c>
      <c r="K113" s="65">
        <v>130.9</v>
      </c>
      <c r="L113" s="65">
        <v>130</v>
      </c>
      <c r="M113" s="65">
        <v>127</v>
      </c>
      <c r="N113" s="65">
        <v>130.19999999999999</v>
      </c>
      <c r="O113" s="65">
        <v>129.19999999999999</v>
      </c>
      <c r="P113" s="65">
        <v>132.19999999999999</v>
      </c>
      <c r="Q113" s="65">
        <v>131.69999999999999</v>
      </c>
      <c r="R113" s="65">
        <v>131.69999999999999</v>
      </c>
      <c r="S113" s="65">
        <v>130.4</v>
      </c>
      <c r="T113" s="65">
        <v>130.30000000000001</v>
      </c>
      <c r="U113" s="65">
        <v>130.19999999999999</v>
      </c>
      <c r="V113" s="65">
        <v>132.4</v>
      </c>
      <c r="W113" s="65">
        <v>126.9</v>
      </c>
      <c r="X113" s="65">
        <v>128.5</v>
      </c>
      <c r="Y113" s="65">
        <v>130.9</v>
      </c>
      <c r="Z113" s="65">
        <v>133.1</v>
      </c>
      <c r="AA113" s="65">
        <v>132.80000000000001</v>
      </c>
      <c r="AB113" s="65">
        <v>133.30000000000001</v>
      </c>
      <c r="AC113" s="65">
        <v>131</v>
      </c>
      <c r="AD113" s="65">
        <v>131</v>
      </c>
      <c r="AE113" s="65">
        <v>131</v>
      </c>
      <c r="AF113" s="65">
        <v>131</v>
      </c>
      <c r="AG113" s="104"/>
      <c r="AH113" s="47">
        <f t="shared" si="28"/>
        <v>133.6</v>
      </c>
      <c r="AI113" s="48">
        <f t="shared" si="29"/>
        <v>126.9</v>
      </c>
    </row>
    <row r="114" spans="1:35" x14ac:dyDescent="0.25">
      <c r="A114" s="105" t="s">
        <v>114</v>
      </c>
      <c r="B114" s="106">
        <v>135.69999999999999</v>
      </c>
      <c r="C114" s="106">
        <v>136</v>
      </c>
      <c r="D114" s="106">
        <v>136</v>
      </c>
      <c r="E114" s="106">
        <v>136</v>
      </c>
      <c r="F114" s="106">
        <v>136</v>
      </c>
      <c r="G114" s="106">
        <v>135</v>
      </c>
      <c r="H114" s="106">
        <v>135</v>
      </c>
      <c r="I114" s="106">
        <v>133</v>
      </c>
      <c r="J114" s="106">
        <v>133</v>
      </c>
      <c r="K114" s="106">
        <v>131</v>
      </c>
      <c r="L114" s="106">
        <v>130.69999999999999</v>
      </c>
      <c r="M114" s="106">
        <v>131.4</v>
      </c>
      <c r="N114" s="106">
        <v>132.19999999999999</v>
      </c>
      <c r="O114" s="106">
        <v>134</v>
      </c>
      <c r="P114" s="106">
        <v>135.5</v>
      </c>
      <c r="Q114" s="106">
        <v>134.80000000000001</v>
      </c>
      <c r="R114" s="106">
        <v>134.80000000000001</v>
      </c>
      <c r="S114" s="106">
        <v>132.69999999999999</v>
      </c>
      <c r="T114" s="106">
        <v>132.5</v>
      </c>
      <c r="U114" s="106">
        <v>133.6</v>
      </c>
      <c r="V114" s="106">
        <v>133.6</v>
      </c>
      <c r="W114" s="106">
        <v>133.30000000000001</v>
      </c>
      <c r="X114" s="106">
        <v>133.1</v>
      </c>
      <c r="Y114" s="106">
        <v>136.1</v>
      </c>
      <c r="Z114" s="106">
        <v>135.69999999999999</v>
      </c>
      <c r="AA114" s="106">
        <v>134.80000000000001</v>
      </c>
      <c r="AB114" s="106">
        <v>134.9</v>
      </c>
      <c r="AC114" s="106">
        <v>135</v>
      </c>
      <c r="AD114" s="106">
        <v>135</v>
      </c>
      <c r="AE114" s="106">
        <v>135</v>
      </c>
      <c r="AF114" s="106">
        <v>135</v>
      </c>
      <c r="AG114" s="107"/>
      <c r="AH114" s="47">
        <f t="shared" si="28"/>
        <v>136.1</v>
      </c>
      <c r="AI114" s="48">
        <f t="shared" si="29"/>
        <v>130.69999999999999</v>
      </c>
    </row>
    <row r="115" spans="1:35" x14ac:dyDescent="0.25">
      <c r="A115" s="103" t="s">
        <v>115</v>
      </c>
      <c r="B115" s="65">
        <v>132.69999999999999</v>
      </c>
      <c r="C115" s="65">
        <v>137.69999999999999</v>
      </c>
      <c r="D115" s="65">
        <v>133</v>
      </c>
      <c r="E115" s="65">
        <v>133</v>
      </c>
      <c r="F115" s="65">
        <v>130</v>
      </c>
      <c r="G115" s="65">
        <v>128.69999999999999</v>
      </c>
      <c r="H115" s="65">
        <v>128.69999999999999</v>
      </c>
      <c r="I115" s="65">
        <v>130</v>
      </c>
      <c r="J115" s="65">
        <v>130</v>
      </c>
      <c r="K115" s="65">
        <v>129.6</v>
      </c>
      <c r="L115" s="65">
        <v>128.69999999999999</v>
      </c>
      <c r="M115" s="65">
        <v>131.69999999999999</v>
      </c>
      <c r="N115" s="65">
        <v>132</v>
      </c>
      <c r="O115" s="65">
        <v>131.80000000000001</v>
      </c>
      <c r="P115" s="65">
        <v>136.80000000000001</v>
      </c>
      <c r="Q115" s="65">
        <v>137</v>
      </c>
      <c r="R115" s="65">
        <v>137</v>
      </c>
      <c r="S115" s="65">
        <v>131.4</v>
      </c>
      <c r="T115" s="65">
        <v>133.80000000000001</v>
      </c>
      <c r="U115" s="65">
        <v>135</v>
      </c>
      <c r="V115" s="65">
        <v>128.5</v>
      </c>
      <c r="W115" s="65">
        <v>130</v>
      </c>
      <c r="X115" s="65">
        <v>130.19999999999999</v>
      </c>
      <c r="Y115" s="65">
        <v>134</v>
      </c>
      <c r="Z115" s="65">
        <v>135.30000000000001</v>
      </c>
      <c r="AA115" s="65">
        <v>134.6</v>
      </c>
      <c r="AB115" s="65">
        <v>131</v>
      </c>
      <c r="AC115" s="65">
        <v>133</v>
      </c>
      <c r="AD115" s="65">
        <v>133</v>
      </c>
      <c r="AE115" s="65">
        <v>133</v>
      </c>
      <c r="AF115" s="65">
        <v>133</v>
      </c>
      <c r="AG115" s="104"/>
      <c r="AH115" s="47">
        <f t="shared" si="28"/>
        <v>137.69999999999999</v>
      </c>
      <c r="AI115" s="48">
        <f t="shared" si="29"/>
        <v>128.5</v>
      </c>
    </row>
    <row r="116" spans="1:35" ht="15.75" thickBot="1" x14ac:dyDescent="0.3">
      <c r="A116" s="103" t="s">
        <v>116</v>
      </c>
      <c r="B116" s="92">
        <v>67.3</v>
      </c>
      <c r="C116" s="92">
        <v>67.7</v>
      </c>
      <c r="D116" s="92">
        <v>68</v>
      </c>
      <c r="E116" s="92">
        <v>68</v>
      </c>
      <c r="F116" s="92">
        <v>67.900000000000006</v>
      </c>
      <c r="G116" s="92">
        <v>67.5</v>
      </c>
      <c r="H116" s="92">
        <v>67.5</v>
      </c>
      <c r="I116" s="92">
        <v>66.400000000000006</v>
      </c>
      <c r="J116" s="92">
        <v>66.400000000000006</v>
      </c>
      <c r="K116" s="92">
        <v>65.2</v>
      </c>
      <c r="L116" s="92">
        <v>64</v>
      </c>
      <c r="M116" s="92">
        <v>63.4</v>
      </c>
      <c r="N116" s="92">
        <v>63.7</v>
      </c>
      <c r="O116" s="92">
        <v>64.7</v>
      </c>
      <c r="P116" s="92">
        <v>65</v>
      </c>
      <c r="Q116" s="92">
        <v>65.5</v>
      </c>
      <c r="R116" s="92">
        <v>65.5</v>
      </c>
      <c r="S116" s="92">
        <v>65.400000000000006</v>
      </c>
      <c r="T116" s="92">
        <v>65.599999999999994</v>
      </c>
      <c r="U116" s="92">
        <v>66</v>
      </c>
      <c r="V116" s="92">
        <v>65.400000000000006</v>
      </c>
      <c r="W116" s="92">
        <v>64.8</v>
      </c>
      <c r="X116" s="92">
        <v>64.7</v>
      </c>
      <c r="Y116" s="92">
        <v>65.2</v>
      </c>
      <c r="Z116" s="92">
        <v>65.5</v>
      </c>
      <c r="AA116" s="92">
        <v>65.400000000000006</v>
      </c>
      <c r="AB116" s="92">
        <v>65.599999999999994</v>
      </c>
      <c r="AC116" s="92">
        <v>65.599999999999994</v>
      </c>
      <c r="AD116" s="92">
        <v>65.599999999999994</v>
      </c>
      <c r="AE116" s="92">
        <v>65.599999999999994</v>
      </c>
      <c r="AF116" s="92">
        <v>65.599999999999994</v>
      </c>
      <c r="AG116" s="108"/>
      <c r="AH116" s="47">
        <f t="shared" si="28"/>
        <v>68</v>
      </c>
      <c r="AI116" s="48">
        <f t="shared" si="29"/>
        <v>63.4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8"/>
        <v>0</v>
      </c>
      <c r="AI117" s="48">
        <f t="shared" si="29"/>
        <v>0</v>
      </c>
    </row>
    <row r="118" spans="1:35" ht="15.75" thickBot="1" x14ac:dyDescent="0.3">
      <c r="A118" s="110" t="s">
        <v>118</v>
      </c>
      <c r="B118" s="111">
        <f t="shared" ref="B118" si="97">SUM(B22,B28,B31:B32,B66,B68:B69,B71,B73,B119:B123,B148,B154,B160,B169,B171,B183,B190,B193:B194,B201,B203,B205,B209:B211,B213:B215,B220,B226:B227,B229:B231,B239,B244)</f>
        <v>104.85200000000003</v>
      </c>
      <c r="C118" s="111">
        <f t="shared" ref="C118:O118" si="98">SUM(C22,C28,C31:C32,C66,C68:C69,C71,C73,C119:C123,C148,C154,C160,C169,C171,C183,C190,C193:C194,C201,C203,C205,C209:C211,C213:C215,C220,C226:C227,C229:C231,C239,C244)</f>
        <v>88.27200000000002</v>
      </c>
      <c r="D118" s="111">
        <f t="shared" si="98"/>
        <v>87.840000000000018</v>
      </c>
      <c r="E118" s="111">
        <f t="shared" si="98"/>
        <v>81.540000000000006</v>
      </c>
      <c r="F118" s="111">
        <f t="shared" si="98"/>
        <v>82.539999999999992</v>
      </c>
      <c r="G118" s="111">
        <f t="shared" si="98"/>
        <v>99.54000000000002</v>
      </c>
      <c r="H118" s="111">
        <f t="shared" si="98"/>
        <v>132.94</v>
      </c>
      <c r="I118" s="111">
        <f t="shared" si="98"/>
        <v>155.04000000000002</v>
      </c>
      <c r="J118" s="111">
        <f t="shared" si="98"/>
        <v>183.34000000000003</v>
      </c>
      <c r="K118" s="111">
        <f t="shared" si="98"/>
        <v>212.84</v>
      </c>
      <c r="L118" s="111">
        <f t="shared" si="98"/>
        <v>258.04000000000002</v>
      </c>
      <c r="M118" s="111">
        <f t="shared" ref="M118" si="99">SUM(M22,M28,M31:M32,M66,M68:M69,M71,M73,M119:M123,M148,M154,M160,M169,M171,M183,M190,M193:M194,M201,M203,M205,M209:M211,M213:M215,M220,M226:M227,M229:M231,M239,M244)</f>
        <v>272.29000000000002</v>
      </c>
      <c r="N118" s="111">
        <f t="shared" si="98"/>
        <v>279.54000000000002</v>
      </c>
      <c r="O118" s="111">
        <f t="shared" si="98"/>
        <v>259.33999999999997</v>
      </c>
      <c r="P118" s="111">
        <v>42</v>
      </c>
      <c r="Q118" s="111">
        <f t="shared" ref="Q118:AA118" si="100">SUM(Q22,Q28,Q31:Q32,Q66,Q68:Q69,Q71,Q73,Q119:Q123,Q148,Q154,Q160,Q169,Q171,Q183,Q190,Q193:Q194,Q201,Q203,Q205,Q209:Q211,Q213:Q215,Q220,Q226:Q227,Q229:Q231,Q239,Q244)</f>
        <v>214.04000000000002</v>
      </c>
      <c r="R118" s="111">
        <f t="shared" si="100"/>
        <v>189.74</v>
      </c>
      <c r="S118" s="111">
        <f t="shared" si="100"/>
        <v>167.64000000000001</v>
      </c>
      <c r="T118" s="111">
        <f t="shared" si="100"/>
        <v>174.64</v>
      </c>
      <c r="U118" s="111">
        <f t="shared" si="100"/>
        <v>182.14</v>
      </c>
      <c r="V118" s="111">
        <f t="shared" si="100"/>
        <v>206.95999999999998</v>
      </c>
      <c r="W118" s="111">
        <f t="shared" si="100"/>
        <v>235.04000000000002</v>
      </c>
      <c r="X118" s="111">
        <f t="shared" si="100"/>
        <v>299.74</v>
      </c>
      <c r="Y118" s="111">
        <f t="shared" si="100"/>
        <v>308.82</v>
      </c>
      <c r="Z118" s="111">
        <f t="shared" si="100"/>
        <v>297.94</v>
      </c>
      <c r="AA118" s="111">
        <f t="shared" si="100"/>
        <v>275.44</v>
      </c>
      <c r="AB118" s="111">
        <f t="shared" ref="AB118:AC118" si="101">SUM(AB22,AB28,AB31:AB32,AB66,AB68:AB69,AB71,AB73,AB119:AB123,AB148,AB154,AB160,AB169,AB171,AB183,AB190,AB193:AB194,AB201,AB203,AB205,AB209:AB211,AB213:AB215,AB220,AB226:AB227,AB229:AB231,AB239,AB244)</f>
        <v>274.49</v>
      </c>
      <c r="AC118" s="111">
        <f t="shared" si="101"/>
        <v>223.84</v>
      </c>
      <c r="AD118" s="111">
        <f t="shared" ref="AD118:AE118" si="102">SUM(AD22,AD28,AD31:AD32,AD66,AD68:AD69,AD71,AD73,AD119:AD123,AD148,AD154,AD160,AD169,AD171,AD183,AD190,AD193:AD194,AD201,AD203,AD205,AD209:AD211,AD213:AD215,AD220,AD226:AD227,AD229:AD231,AD239,AD244)</f>
        <v>196.84</v>
      </c>
      <c r="AE118" s="111">
        <f t="shared" si="102"/>
        <v>137.84</v>
      </c>
      <c r="AF118" s="111">
        <f t="shared" ref="AF118" si="103">SUM(AF22,AF28,AF31:AF32,AF66,AF68:AF69,AF71,AF73,AF119:AF123,AF148,AF154,AF160,AF169,AF171,AF183,AF190,AF193:AF194,AF201,AF203,AF205,AF209:AF211,AF213:AF215,AF220,AF226:AF227,AF229:AF231,AF239,AF244)</f>
        <v>137.84</v>
      </c>
      <c r="AG118" s="112"/>
      <c r="AH118" s="47">
        <f t="shared" si="28"/>
        <v>308.82</v>
      </c>
      <c r="AI118" s="48">
        <f t="shared" si="29"/>
        <v>42</v>
      </c>
    </row>
    <row r="119" spans="1:35" x14ac:dyDescent="0.25">
      <c r="A119" s="181" t="s">
        <v>119</v>
      </c>
      <c r="B119" s="113">
        <v>0</v>
      </c>
      <c r="C119" s="113">
        <v>0</v>
      </c>
      <c r="D119" s="113">
        <v>0</v>
      </c>
      <c r="E119" s="113">
        <v>0</v>
      </c>
      <c r="F119" s="113">
        <v>0</v>
      </c>
      <c r="G119" s="113">
        <v>0</v>
      </c>
      <c r="H119" s="113">
        <v>0</v>
      </c>
      <c r="I119" s="113">
        <v>0</v>
      </c>
      <c r="J119" s="113">
        <v>0</v>
      </c>
      <c r="K119" s="113"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  <c r="Z119" s="113">
        <v>0</v>
      </c>
      <c r="AA119" s="113">
        <v>0</v>
      </c>
      <c r="AB119" s="113">
        <v>0</v>
      </c>
      <c r="AC119" s="113">
        <v>0</v>
      </c>
      <c r="AD119" s="113">
        <v>0</v>
      </c>
      <c r="AE119" s="113">
        <v>0</v>
      </c>
      <c r="AF119" s="113">
        <v>0</v>
      </c>
      <c r="AG119" s="114">
        <v>75</v>
      </c>
      <c r="AH119" s="47">
        <f t="shared" si="28"/>
        <v>0</v>
      </c>
      <c r="AI119" s="48">
        <f t="shared" si="29"/>
        <v>0</v>
      </c>
    </row>
    <row r="120" spans="1:35" x14ac:dyDescent="0.25">
      <c r="A120" s="182" t="s">
        <v>120</v>
      </c>
      <c r="B120" s="115">
        <v>4.5</v>
      </c>
      <c r="C120" s="115">
        <v>2.4</v>
      </c>
      <c r="D120" s="115">
        <v>1.9</v>
      </c>
      <c r="E120" s="115">
        <v>4.3</v>
      </c>
      <c r="F120" s="115">
        <v>5.9</v>
      </c>
      <c r="G120" s="115">
        <v>13.9</v>
      </c>
      <c r="H120" s="115">
        <v>9.1999999999999993</v>
      </c>
      <c r="I120" s="115">
        <v>13.1</v>
      </c>
      <c r="J120" s="115">
        <v>16.3</v>
      </c>
      <c r="K120" s="115">
        <v>34.799999999999997</v>
      </c>
      <c r="L120" s="115">
        <v>40.9</v>
      </c>
      <c r="M120" s="115">
        <v>43.6</v>
      </c>
      <c r="N120" s="115">
        <v>43.8</v>
      </c>
      <c r="O120" s="115">
        <v>47.3</v>
      </c>
      <c r="P120" s="115">
        <v>53.9</v>
      </c>
      <c r="Q120" s="115">
        <v>54.9</v>
      </c>
      <c r="R120" s="115">
        <v>27.2</v>
      </c>
      <c r="S120" s="115">
        <v>22.3</v>
      </c>
      <c r="T120" s="115">
        <v>17.3</v>
      </c>
      <c r="U120" s="115">
        <v>16.899999999999999</v>
      </c>
      <c r="V120" s="115">
        <v>38.6</v>
      </c>
      <c r="W120" s="115">
        <v>55.2</v>
      </c>
      <c r="X120" s="115">
        <v>42.3</v>
      </c>
      <c r="Y120" s="115">
        <v>46.1</v>
      </c>
      <c r="Z120" s="115">
        <v>51.1</v>
      </c>
      <c r="AA120" s="115">
        <v>62.3</v>
      </c>
      <c r="AB120" s="115">
        <v>64.5</v>
      </c>
      <c r="AC120" s="115">
        <v>70</v>
      </c>
      <c r="AD120" s="115">
        <v>65</v>
      </c>
      <c r="AE120" s="115">
        <v>30</v>
      </c>
      <c r="AF120" s="115">
        <v>30</v>
      </c>
      <c r="AG120" s="114">
        <v>240</v>
      </c>
      <c r="AH120" s="47">
        <f t="shared" si="28"/>
        <v>70</v>
      </c>
      <c r="AI120" s="48">
        <f t="shared" si="29"/>
        <v>1.9</v>
      </c>
    </row>
    <row r="121" spans="1:35" x14ac:dyDescent="0.25">
      <c r="A121" s="182" t="s">
        <v>121</v>
      </c>
      <c r="B121" s="115">
        <v>-54.6</v>
      </c>
      <c r="C121" s="115">
        <v>-56.6</v>
      </c>
      <c r="D121" s="115">
        <v>-54.8</v>
      </c>
      <c r="E121" s="115">
        <v>-58.8</v>
      </c>
      <c r="F121" s="115">
        <v>-56.4</v>
      </c>
      <c r="G121" s="115">
        <v>-54</v>
      </c>
      <c r="H121" s="115">
        <v>-44</v>
      </c>
      <c r="I121" s="115">
        <v>-36</v>
      </c>
      <c r="J121" s="115">
        <v>-27</v>
      </c>
      <c r="K121" s="115">
        <v>-23</v>
      </c>
      <c r="L121" s="115">
        <v>-17.2</v>
      </c>
      <c r="M121" s="115">
        <f>-4.3-6</f>
        <v>-10.3</v>
      </c>
      <c r="N121" s="115">
        <f>-3.8-5</f>
        <v>-8.8000000000000007</v>
      </c>
      <c r="O121" s="115">
        <f>-7-8.5</f>
        <v>-15.5</v>
      </c>
      <c r="P121" s="115">
        <f>-15-18</f>
        <v>-33</v>
      </c>
      <c r="Q121" s="115">
        <f>-15-18</f>
        <v>-33</v>
      </c>
      <c r="R121" s="115">
        <f>-15-17</f>
        <v>-32</v>
      </c>
      <c r="S121" s="115">
        <v>-34</v>
      </c>
      <c r="T121" s="115">
        <v>-28</v>
      </c>
      <c r="U121" s="115">
        <v>-24</v>
      </c>
      <c r="V121" s="115">
        <v>-26</v>
      </c>
      <c r="W121" s="115">
        <v>-20</v>
      </c>
      <c r="X121" s="115">
        <v>0</v>
      </c>
      <c r="Y121" s="115">
        <v>14</v>
      </c>
      <c r="Z121" s="115">
        <v>6.6</v>
      </c>
      <c r="AA121" s="115">
        <v>2.1</v>
      </c>
      <c r="AB121" s="115">
        <v>14.5</v>
      </c>
      <c r="AC121" s="115">
        <v>-10</v>
      </c>
      <c r="AD121" s="115">
        <v>-23</v>
      </c>
      <c r="AE121" s="115">
        <v>-40</v>
      </c>
      <c r="AF121" s="115">
        <v>-40</v>
      </c>
      <c r="AG121" s="114">
        <v>240</v>
      </c>
      <c r="AH121" s="47">
        <f t="shared" si="28"/>
        <v>14.5</v>
      </c>
      <c r="AI121" s="48">
        <f t="shared" si="29"/>
        <v>-58.8</v>
      </c>
    </row>
    <row r="122" spans="1:35" ht="15.75" thickBot="1" x14ac:dyDescent="0.3">
      <c r="A122" s="182" t="s">
        <v>122</v>
      </c>
      <c r="B122" s="115">
        <v>1.5</v>
      </c>
      <c r="C122" s="115">
        <v>0.2</v>
      </c>
      <c r="D122" s="115">
        <v>0.7</v>
      </c>
      <c r="E122" s="115">
        <v>0</v>
      </c>
      <c r="F122" s="115">
        <v>0</v>
      </c>
      <c r="G122" s="115">
        <v>1.9</v>
      </c>
      <c r="H122" s="115">
        <v>4</v>
      </c>
      <c r="I122" s="115">
        <v>5.9</v>
      </c>
      <c r="J122" s="115">
        <v>8.3000000000000007</v>
      </c>
      <c r="K122" s="115">
        <v>10.5</v>
      </c>
      <c r="L122" s="115">
        <v>12.2</v>
      </c>
      <c r="M122" s="115">
        <v>14.4</v>
      </c>
      <c r="N122" s="115">
        <v>15.3</v>
      </c>
      <c r="O122" s="115">
        <v>14.6</v>
      </c>
      <c r="P122" s="115">
        <v>11.3</v>
      </c>
      <c r="Q122" s="115">
        <v>12.3</v>
      </c>
      <c r="R122" s="115">
        <v>12</v>
      </c>
      <c r="S122" s="115">
        <v>5.0999999999999996</v>
      </c>
      <c r="T122" s="115">
        <v>6.1</v>
      </c>
      <c r="U122" s="115">
        <v>7</v>
      </c>
      <c r="V122" s="115">
        <v>10.199999999999999</v>
      </c>
      <c r="W122" s="115">
        <v>12.8</v>
      </c>
      <c r="X122" s="115">
        <v>32</v>
      </c>
      <c r="Y122" s="115">
        <v>50</v>
      </c>
      <c r="Z122" s="115">
        <v>37.200000000000003</v>
      </c>
      <c r="AA122" s="115">
        <v>20</v>
      </c>
      <c r="AB122" s="115">
        <v>19.3</v>
      </c>
      <c r="AC122" s="115">
        <v>20</v>
      </c>
      <c r="AD122" s="115">
        <v>16</v>
      </c>
      <c r="AE122" s="115">
        <v>10</v>
      </c>
      <c r="AF122" s="115">
        <v>10</v>
      </c>
      <c r="AG122" s="114">
        <v>60</v>
      </c>
      <c r="AH122" s="47">
        <f t="shared" si="28"/>
        <v>50</v>
      </c>
      <c r="AI122" s="48">
        <f t="shared" si="29"/>
        <v>0</v>
      </c>
    </row>
    <row r="123" spans="1:35" x14ac:dyDescent="0.25">
      <c r="A123" s="181" t="s">
        <v>267</v>
      </c>
      <c r="B123" s="117">
        <f>1.64*15.8</f>
        <v>25.911999999999999</v>
      </c>
      <c r="C123" s="117">
        <f>1.64*11.3</f>
        <v>18.532</v>
      </c>
      <c r="D123" s="117">
        <v>16</v>
      </c>
      <c r="E123" s="117">
        <v>12</v>
      </c>
      <c r="F123" s="117">
        <v>9</v>
      </c>
      <c r="G123" s="117">
        <v>14</v>
      </c>
      <c r="H123" s="117">
        <v>38</v>
      </c>
      <c r="I123" s="117">
        <v>47</v>
      </c>
      <c r="J123" s="117">
        <v>64</v>
      </c>
      <c r="K123" s="117">
        <v>67</v>
      </c>
      <c r="L123" s="117">
        <v>98</v>
      </c>
      <c r="M123" s="117">
        <f>67.5*1.5</f>
        <v>101.25</v>
      </c>
      <c r="N123" s="117">
        <f>70*1.5</f>
        <v>105</v>
      </c>
      <c r="O123" s="117">
        <f>57*1.5</f>
        <v>85.5</v>
      </c>
      <c r="P123" s="117">
        <f>29*1.5</f>
        <v>43.5</v>
      </c>
      <c r="Q123" s="117">
        <f>29*1.5</f>
        <v>43.5</v>
      </c>
      <c r="R123" s="117">
        <f>32*1.5</f>
        <v>48</v>
      </c>
      <c r="S123" s="117">
        <f>29*1.5</f>
        <v>43.5</v>
      </c>
      <c r="T123" s="117">
        <f>35.8*1.5</f>
        <v>53.699999999999996</v>
      </c>
      <c r="U123" s="117">
        <f>38*1.65</f>
        <v>62.699999999999996</v>
      </c>
      <c r="V123" s="117">
        <f>45.2*1.6</f>
        <v>72.320000000000007</v>
      </c>
      <c r="W123" s="117">
        <f>47*1.6</f>
        <v>75.2</v>
      </c>
      <c r="X123" s="117">
        <v>113.60000000000001</v>
      </c>
      <c r="Y123" s="117">
        <f>54.3*1.6</f>
        <v>86.88</v>
      </c>
      <c r="Z123" s="117">
        <f>57*1.6</f>
        <v>91.2</v>
      </c>
      <c r="AA123" s="117">
        <f>49.5*1.6</f>
        <v>79.2</v>
      </c>
      <c r="AB123" s="117">
        <f>42.9*1.5</f>
        <v>64.349999999999994</v>
      </c>
      <c r="AC123" s="117">
        <v>32</v>
      </c>
      <c r="AD123" s="117">
        <v>22</v>
      </c>
      <c r="AE123" s="117">
        <v>20</v>
      </c>
      <c r="AF123" s="117">
        <v>20</v>
      </c>
      <c r="AG123" s="118">
        <v>120</v>
      </c>
      <c r="AH123" s="47">
        <f t="shared" si="28"/>
        <v>113.60000000000001</v>
      </c>
      <c r="AI123" s="48">
        <f t="shared" si="29"/>
        <v>9</v>
      </c>
    </row>
    <row r="124" spans="1:35" x14ac:dyDescent="0.25">
      <c r="A124" s="182" t="s">
        <v>266</v>
      </c>
      <c r="B124" s="117">
        <v>48.5</v>
      </c>
      <c r="C124" s="117">
        <v>44.5</v>
      </c>
      <c r="D124" s="117">
        <v>41.2</v>
      </c>
      <c r="E124" s="117">
        <v>39.1</v>
      </c>
      <c r="F124" s="117">
        <v>39.799999999999997</v>
      </c>
      <c r="G124" s="117">
        <v>41.7</v>
      </c>
      <c r="H124" s="117">
        <v>51.5</v>
      </c>
      <c r="I124" s="117">
        <v>59.6</v>
      </c>
      <c r="J124" s="117">
        <v>66</v>
      </c>
      <c r="K124" s="117">
        <v>65.7</v>
      </c>
      <c r="L124" s="117">
        <v>83.9</v>
      </c>
      <c r="M124" s="117">
        <v>87.9</v>
      </c>
      <c r="N124" s="117">
        <v>88.8</v>
      </c>
      <c r="O124" s="117">
        <v>78.599999999999994</v>
      </c>
      <c r="P124" s="117">
        <v>55.7</v>
      </c>
      <c r="Q124" s="117">
        <v>58</v>
      </c>
      <c r="R124" s="117">
        <v>58</v>
      </c>
      <c r="S124" s="117">
        <v>56</v>
      </c>
      <c r="T124" s="117">
        <v>63</v>
      </c>
      <c r="U124" s="117">
        <v>64.2</v>
      </c>
      <c r="V124" s="117">
        <v>72.099999999999994</v>
      </c>
      <c r="W124" s="117">
        <v>72</v>
      </c>
      <c r="X124" s="117">
        <v>93</v>
      </c>
      <c r="Y124" s="117">
        <v>77</v>
      </c>
      <c r="Z124" s="117">
        <v>79</v>
      </c>
      <c r="AA124" s="117">
        <v>74.099999999999994</v>
      </c>
      <c r="AB124" s="117">
        <v>68.7</v>
      </c>
      <c r="AC124" s="117">
        <v>56</v>
      </c>
      <c r="AD124" s="117">
        <v>50</v>
      </c>
      <c r="AE124" s="117">
        <v>47</v>
      </c>
      <c r="AF124" s="117">
        <v>47</v>
      </c>
      <c r="AG124" s="118"/>
      <c r="AH124" s="47"/>
      <c r="AI124" s="48"/>
    </row>
    <row r="125" spans="1:35" x14ac:dyDescent="0.25">
      <c r="A125" s="182" t="s">
        <v>263</v>
      </c>
      <c r="B125" s="117">
        <v>19.399999999999999</v>
      </c>
      <c r="C125" s="117">
        <v>21.6</v>
      </c>
      <c r="D125" s="117">
        <v>20.399999999999999</v>
      </c>
      <c r="E125" s="117">
        <v>17.600000000000001</v>
      </c>
      <c r="F125" s="117">
        <v>19</v>
      </c>
      <c r="G125" s="117">
        <v>6.7</v>
      </c>
      <c r="H125" s="117">
        <v>8.9</v>
      </c>
      <c r="I125" s="117">
        <v>9.1999999999999993</v>
      </c>
      <c r="J125" s="117">
        <v>-0.2</v>
      </c>
      <c r="K125" s="117">
        <v>-25.3</v>
      </c>
      <c r="L125" s="117">
        <v>-24.8</v>
      </c>
      <c r="M125" s="117">
        <v>-30.3</v>
      </c>
      <c r="N125" s="117">
        <v>-32.6</v>
      </c>
      <c r="O125" s="117">
        <v>-37</v>
      </c>
      <c r="P125" s="117">
        <v>-39.6</v>
      </c>
      <c r="Q125" s="117">
        <v>-16.5</v>
      </c>
      <c r="R125" s="117">
        <v>-16.5</v>
      </c>
      <c r="S125" s="117">
        <v>-6</v>
      </c>
      <c r="T125" s="117">
        <v>3</v>
      </c>
      <c r="U125" s="117">
        <v>-0.6</v>
      </c>
      <c r="V125" s="117">
        <v>-24</v>
      </c>
      <c r="W125" s="117">
        <v>-47</v>
      </c>
      <c r="X125" s="117">
        <v>-40.299999999999997</v>
      </c>
      <c r="Y125" s="117">
        <v>-71</v>
      </c>
      <c r="Z125" s="117">
        <v>-65</v>
      </c>
      <c r="AA125" s="117">
        <v>-66.2</v>
      </c>
      <c r="AB125" s="117">
        <v>-68.900000000000006</v>
      </c>
      <c r="AC125" s="117">
        <v>-80</v>
      </c>
      <c r="AD125" s="117">
        <v>-70</v>
      </c>
      <c r="AE125" s="117">
        <v>-24</v>
      </c>
      <c r="AF125" s="117">
        <v>-24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38.299999999999997</v>
      </c>
      <c r="C126" s="117">
        <v>28.4</v>
      </c>
      <c r="D126" s="117">
        <v>27.5</v>
      </c>
      <c r="E126" s="117">
        <v>24.3</v>
      </c>
      <c r="F126" s="117">
        <v>25.6</v>
      </c>
      <c r="G126" s="117">
        <v>27.7</v>
      </c>
      <c r="H126" s="117">
        <v>37.200000000000003</v>
      </c>
      <c r="I126" s="117">
        <v>47.6</v>
      </c>
      <c r="J126" s="117">
        <v>55.2</v>
      </c>
      <c r="K126" s="117">
        <v>48.4</v>
      </c>
      <c r="L126" s="117">
        <v>59.8</v>
      </c>
      <c r="M126" s="117">
        <v>62.5</v>
      </c>
      <c r="N126" s="117">
        <v>62.4</v>
      </c>
      <c r="O126" s="117">
        <v>53</v>
      </c>
      <c r="P126" s="117">
        <v>35</v>
      </c>
      <c r="Q126" s="117">
        <v>49.4</v>
      </c>
      <c r="R126" s="117">
        <v>49.4</v>
      </c>
      <c r="S126" s="117">
        <v>49</v>
      </c>
      <c r="T126" s="117">
        <v>57</v>
      </c>
      <c r="U126" s="117">
        <v>57</v>
      </c>
      <c r="V126" s="117">
        <v>48</v>
      </c>
      <c r="W126" s="117">
        <v>42</v>
      </c>
      <c r="X126" s="117">
        <v>65</v>
      </c>
      <c r="Y126" s="117">
        <v>46</v>
      </c>
      <c r="Z126" s="117">
        <v>54</v>
      </c>
      <c r="AA126" s="117">
        <v>46.3</v>
      </c>
      <c r="AB126" s="117">
        <v>43.4</v>
      </c>
      <c r="AC126" s="117">
        <v>33</v>
      </c>
      <c r="AD126" s="117">
        <v>28</v>
      </c>
      <c r="AE126" s="117">
        <v>31</v>
      </c>
      <c r="AF126" s="117">
        <v>31</v>
      </c>
      <c r="AG126" s="114"/>
      <c r="AH126" s="47">
        <f t="shared" si="28"/>
        <v>65</v>
      </c>
      <c r="AI126" s="48">
        <f t="shared" si="29"/>
        <v>24.3</v>
      </c>
    </row>
    <row r="127" spans="1:35" x14ac:dyDescent="0.25">
      <c r="A127" s="181" t="s">
        <v>264</v>
      </c>
      <c r="B127" s="117">
        <v>7.6</v>
      </c>
      <c r="C127" s="117">
        <v>11.7</v>
      </c>
      <c r="D127" s="117">
        <v>11.3</v>
      </c>
      <c r="E127" s="117">
        <v>10</v>
      </c>
      <c r="F127" s="117">
        <v>9.3000000000000007</v>
      </c>
      <c r="G127" s="117">
        <v>12.5</v>
      </c>
      <c r="H127" s="117">
        <v>17.899999999999999</v>
      </c>
      <c r="I127" s="117">
        <v>18.96</v>
      </c>
      <c r="J127" s="117">
        <v>11.1</v>
      </c>
      <c r="K127" s="117">
        <v>8.1</v>
      </c>
      <c r="L127" s="117">
        <v>6.9</v>
      </c>
      <c r="M127" s="117">
        <v>5.0999999999999996</v>
      </c>
      <c r="N127" s="117">
        <v>3.1</v>
      </c>
      <c r="O127" s="117">
        <v>-1.8</v>
      </c>
      <c r="P127" s="117">
        <v>-10</v>
      </c>
      <c r="Q127" s="117">
        <v>-3</v>
      </c>
      <c r="R127" s="117">
        <v>-3</v>
      </c>
      <c r="S127" s="117">
        <v>3</v>
      </c>
      <c r="T127" s="117">
        <v>5</v>
      </c>
      <c r="U127" s="117">
        <v>2.1</v>
      </c>
      <c r="V127" s="117">
        <v>2</v>
      </c>
      <c r="W127" s="117">
        <v>-5</v>
      </c>
      <c r="X127" s="117">
        <v>7.6</v>
      </c>
      <c r="Y127" s="117">
        <v>6</v>
      </c>
      <c r="Z127" s="117">
        <v>1</v>
      </c>
      <c r="AA127" s="117">
        <v>-9.3000000000000007</v>
      </c>
      <c r="AB127" s="117">
        <v>-11.7</v>
      </c>
      <c r="AC127" s="117">
        <v>-16</v>
      </c>
      <c r="AD127" s="117">
        <v>-19</v>
      </c>
      <c r="AE127" s="117">
        <v>4</v>
      </c>
      <c r="AF127" s="117">
        <v>4</v>
      </c>
      <c r="AG127" s="114"/>
      <c r="AH127" s="47">
        <f t="shared" si="28"/>
        <v>18.96</v>
      </c>
      <c r="AI127" s="48">
        <f t="shared" si="29"/>
        <v>-19</v>
      </c>
    </row>
    <row r="128" spans="1:35" x14ac:dyDescent="0.25">
      <c r="A128" s="182" t="s">
        <v>126</v>
      </c>
      <c r="B128" s="106">
        <v>5.6</v>
      </c>
      <c r="C128" s="106">
        <v>6.1</v>
      </c>
      <c r="D128" s="106">
        <v>6.3</v>
      </c>
      <c r="E128" s="106">
        <v>6.2</v>
      </c>
      <c r="F128" s="106">
        <v>5.4</v>
      </c>
      <c r="G128" s="106">
        <v>1</v>
      </c>
      <c r="H128" s="106">
        <v>-1.3</v>
      </c>
      <c r="I128" s="106">
        <v>-6.3</v>
      </c>
      <c r="J128" s="106">
        <v>-14.5</v>
      </c>
      <c r="K128" s="106">
        <v>-17</v>
      </c>
      <c r="L128" s="106">
        <v>-19.7</v>
      </c>
      <c r="M128" s="106">
        <v>-20.3</v>
      </c>
      <c r="N128" s="106">
        <v>-20.2</v>
      </c>
      <c r="O128" s="106">
        <v>-15.4</v>
      </c>
      <c r="P128" s="106">
        <v>-12.8</v>
      </c>
      <c r="Q128" s="106">
        <v>-5</v>
      </c>
      <c r="R128" s="106">
        <v>-5</v>
      </c>
      <c r="S128" s="106">
        <v>-4.2</v>
      </c>
      <c r="T128" s="106">
        <v>-7.5</v>
      </c>
      <c r="U128" s="106">
        <v>-12</v>
      </c>
      <c r="V128" s="106">
        <v>-55.2</v>
      </c>
      <c r="W128" s="106">
        <v>-56.5</v>
      </c>
      <c r="X128" s="106">
        <v>-34.700000000000003</v>
      </c>
      <c r="Y128" s="106">
        <v>-28.1</v>
      </c>
      <c r="Z128" s="106">
        <v>-20</v>
      </c>
      <c r="AA128" s="106">
        <v>-15.5</v>
      </c>
      <c r="AB128" s="106">
        <v>-13.2</v>
      </c>
      <c r="AC128" s="106">
        <v>-11</v>
      </c>
      <c r="AD128" s="106">
        <v>-5</v>
      </c>
      <c r="AE128" s="106">
        <v>5</v>
      </c>
      <c r="AF128" s="106">
        <v>5</v>
      </c>
      <c r="AG128" s="114"/>
      <c r="AH128" s="47">
        <f t="shared" si="28"/>
        <v>6.3</v>
      </c>
      <c r="AI128" s="48">
        <f t="shared" si="29"/>
        <v>-56.5</v>
      </c>
    </row>
    <row r="129" spans="1:37" x14ac:dyDescent="0.25">
      <c r="A129" s="182" t="s">
        <v>268</v>
      </c>
      <c r="B129" s="106">
        <v>41</v>
      </c>
      <c r="C129" s="106">
        <v>38.5</v>
      </c>
      <c r="D129" s="106">
        <v>39.299999999999997</v>
      </c>
      <c r="E129" s="106">
        <v>44.2</v>
      </c>
      <c r="F129" s="106">
        <v>42.5</v>
      </c>
      <c r="G129" s="106">
        <v>41.8</v>
      </c>
      <c r="H129" s="106">
        <v>31.6</v>
      </c>
      <c r="I129" s="106">
        <v>26.5</v>
      </c>
      <c r="J129" s="106">
        <v>19.3</v>
      </c>
      <c r="K129" s="106">
        <v>29</v>
      </c>
      <c r="L129" s="106">
        <v>25.2</v>
      </c>
      <c r="M129" s="106">
        <v>26.4</v>
      </c>
      <c r="N129" s="106">
        <v>20.5</v>
      </c>
      <c r="O129" s="106">
        <v>26.5</v>
      </c>
      <c r="P129" s="106">
        <v>44.2</v>
      </c>
      <c r="Q129" s="106">
        <v>29.8</v>
      </c>
      <c r="R129" s="106">
        <v>29.8</v>
      </c>
      <c r="S129" s="106">
        <v>31</v>
      </c>
      <c r="T129" s="106">
        <v>25</v>
      </c>
      <c r="U129" s="106">
        <v>23</v>
      </c>
      <c r="V129" s="106">
        <v>32.1</v>
      </c>
      <c r="W129" s="106">
        <v>37.299999999999997</v>
      </c>
      <c r="X129" s="106">
        <v>24</v>
      </c>
      <c r="Y129" s="106">
        <v>38</v>
      </c>
      <c r="Z129" s="106">
        <v>35</v>
      </c>
      <c r="AA129" s="106">
        <v>32.4</v>
      </c>
      <c r="AB129" s="106">
        <v>37.6</v>
      </c>
      <c r="AC129" s="106">
        <v>41</v>
      </c>
      <c r="AD129" s="106">
        <v>49</v>
      </c>
      <c r="AE129" s="106">
        <v>43</v>
      </c>
      <c r="AF129" s="106">
        <v>43</v>
      </c>
      <c r="AG129" s="114"/>
      <c r="AH129" s="47">
        <f t="shared" si="28"/>
        <v>49</v>
      </c>
      <c r="AI129" s="48">
        <f t="shared" si="29"/>
        <v>19.3</v>
      </c>
    </row>
    <row r="130" spans="1:37" x14ac:dyDescent="0.25">
      <c r="A130" s="182" t="s">
        <v>265</v>
      </c>
      <c r="B130" s="106">
        <v>49</v>
      </c>
      <c r="C130" s="106">
        <v>45.5</v>
      </c>
      <c r="D130" s="106">
        <v>67.7</v>
      </c>
      <c r="E130" s="106">
        <v>66.8</v>
      </c>
      <c r="F130" s="106">
        <v>70.2</v>
      </c>
      <c r="G130" s="106">
        <v>66.900000000000006</v>
      </c>
      <c r="H130" s="106">
        <v>83.4</v>
      </c>
      <c r="I130" s="106">
        <v>81.8</v>
      </c>
      <c r="J130" s="106">
        <v>92.9</v>
      </c>
      <c r="K130" s="106">
        <v>95.7</v>
      </c>
      <c r="L130" s="106">
        <v>99.3</v>
      </c>
      <c r="M130" s="106">
        <v>110.6</v>
      </c>
      <c r="N130" s="106">
        <v>101</v>
      </c>
      <c r="O130" s="106">
        <v>100.8</v>
      </c>
      <c r="P130" s="106">
        <v>94.1</v>
      </c>
      <c r="Q130" s="106">
        <v>77.2</v>
      </c>
      <c r="R130" s="106">
        <v>77.2</v>
      </c>
      <c r="S130" s="106">
        <v>83</v>
      </c>
      <c r="T130" s="106">
        <v>55</v>
      </c>
      <c r="U130" s="106">
        <v>79</v>
      </c>
      <c r="V130" s="106">
        <v>104</v>
      </c>
      <c r="W130" s="106">
        <v>107</v>
      </c>
      <c r="X130" s="106">
        <v>112</v>
      </c>
      <c r="Y130" s="106">
        <v>102</v>
      </c>
      <c r="Z130" s="106">
        <v>96</v>
      </c>
      <c r="AA130" s="106">
        <v>92.7</v>
      </c>
      <c r="AB130" s="106">
        <v>91.2</v>
      </c>
      <c r="AC130" s="106">
        <v>85</v>
      </c>
      <c r="AD130" s="106">
        <v>73</v>
      </c>
      <c r="AE130" s="106">
        <v>64</v>
      </c>
      <c r="AF130" s="106">
        <v>64</v>
      </c>
      <c r="AG130" s="114"/>
      <c r="AH130" s="47">
        <f t="shared" si="28"/>
        <v>112</v>
      </c>
      <c r="AI130" s="48">
        <f t="shared" si="29"/>
        <v>45.5</v>
      </c>
    </row>
    <row r="131" spans="1:37" ht="15.75" thickBot="1" x14ac:dyDescent="0.3">
      <c r="A131" s="122" t="s">
        <v>129</v>
      </c>
      <c r="B131" s="123"/>
      <c r="C131" s="123"/>
      <c r="D131" s="123"/>
      <c r="E131" s="123"/>
      <c r="F131" s="176" t="s">
        <v>258</v>
      </c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83"/>
      <c r="AH131" s="47"/>
      <c r="AI131" s="48"/>
      <c r="AK131" s="50"/>
    </row>
    <row r="132" spans="1:37" x14ac:dyDescent="0.25">
      <c r="A132" s="125" t="s">
        <v>130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>
        <v>9.94</v>
      </c>
      <c r="AH132" s="47"/>
      <c r="AI132" s="48"/>
      <c r="AK132" s="50"/>
    </row>
    <row r="133" spans="1:37" x14ac:dyDescent="0.25">
      <c r="A133" s="103" t="s">
        <v>131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50"/>
    </row>
    <row r="134" spans="1:37" x14ac:dyDescent="0.25">
      <c r="A134" s="103" t="s">
        <v>132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50"/>
    </row>
    <row r="135" spans="1:37" x14ac:dyDescent="0.25">
      <c r="A135" s="103" t="s">
        <v>133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50"/>
    </row>
    <row r="136" spans="1:37" x14ac:dyDescent="0.25">
      <c r="A136" s="103" t="s">
        <v>134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50"/>
    </row>
    <row r="137" spans="1:37" x14ac:dyDescent="0.25">
      <c r="A137" s="103" t="s">
        <v>135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50"/>
    </row>
    <row r="138" spans="1:37" x14ac:dyDescent="0.25">
      <c r="A138" s="103" t="s">
        <v>136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137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138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139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140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141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142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143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144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145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146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1">
        <v>9.9</v>
      </c>
      <c r="AH148" s="47"/>
      <c r="AI148" s="48"/>
      <c r="AK148" s="50"/>
    </row>
    <row r="149" spans="1:37" x14ac:dyDescent="0.25">
      <c r="A149" s="116" t="s">
        <v>147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9.6579999999999995</v>
      </c>
      <c r="AH149" s="47"/>
      <c r="AI149" s="48"/>
      <c r="AK149" s="50"/>
    </row>
    <row r="150" spans="1:37" x14ac:dyDescent="0.25">
      <c r="A150" s="116" t="s">
        <v>148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9.6</v>
      </c>
      <c r="AH150" s="47"/>
      <c r="AI150" s="48"/>
      <c r="AK150" s="50"/>
    </row>
    <row r="151" spans="1:37" x14ac:dyDescent="0.25">
      <c r="A151" s="116" t="s">
        <v>149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9.51</v>
      </c>
      <c r="AH151" s="47"/>
      <c r="AI151" s="48"/>
      <c r="AK151" s="50"/>
    </row>
    <row r="152" spans="1:37" x14ac:dyDescent="0.25">
      <c r="A152" s="116" t="s">
        <v>150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9.4</v>
      </c>
      <c r="AH152" s="47"/>
      <c r="AI152" s="48"/>
      <c r="AK152" s="50"/>
    </row>
    <row r="153" spans="1:37" x14ac:dyDescent="0.25">
      <c r="A153" s="116" t="s">
        <v>151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8.8000000000000007</v>
      </c>
      <c r="AH153" s="47"/>
      <c r="AI153" s="48"/>
      <c r="AK153" s="50"/>
    </row>
    <row r="154" spans="1:37" x14ac:dyDescent="0.25">
      <c r="A154" s="116" t="s">
        <v>152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8.5</v>
      </c>
      <c r="AH154" s="47"/>
      <c r="AI154" s="48"/>
      <c r="AK154" s="50"/>
    </row>
    <row r="155" spans="1:37" x14ac:dyDescent="0.25">
      <c r="A155" s="116" t="s">
        <v>153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8.5</v>
      </c>
      <c r="AH155" s="47"/>
      <c r="AI155" s="48"/>
      <c r="AK155" s="50"/>
    </row>
    <row r="156" spans="1:37" x14ac:dyDescent="0.25">
      <c r="A156" s="116" t="s">
        <v>154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8.4</v>
      </c>
      <c r="AH156" s="47"/>
      <c r="AI156" s="48"/>
      <c r="AK156" s="50"/>
    </row>
    <row r="157" spans="1:37" ht="13.5" customHeight="1" x14ac:dyDescent="0.25">
      <c r="A157" s="116" t="s">
        <v>155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8</v>
      </c>
      <c r="AH157" s="47"/>
      <c r="AI157" s="48"/>
      <c r="AK157" s="50"/>
    </row>
    <row r="158" spans="1:37" x14ac:dyDescent="0.25">
      <c r="A158" s="116" t="s">
        <v>156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</v>
      </c>
      <c r="AH158" s="47"/>
      <c r="AI158" s="48"/>
      <c r="AK158" s="50"/>
    </row>
    <row r="159" spans="1:37" x14ac:dyDescent="0.25">
      <c r="A159" s="116" t="s">
        <v>157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</v>
      </c>
      <c r="AH159" s="47"/>
      <c r="AI159" s="48"/>
      <c r="AK159" s="50"/>
    </row>
    <row r="160" spans="1:37" x14ac:dyDescent="0.25">
      <c r="A160" s="116" t="s">
        <v>158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7.8</v>
      </c>
      <c r="AH160" s="47"/>
      <c r="AI160" s="48"/>
      <c r="AK160" s="50"/>
    </row>
    <row r="161" spans="1:37" x14ac:dyDescent="0.25">
      <c r="A161" s="116" t="s">
        <v>159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7.6</v>
      </c>
      <c r="AH161" s="47"/>
      <c r="AI161" s="48"/>
      <c r="AK161" s="50"/>
    </row>
    <row r="162" spans="1:37" x14ac:dyDescent="0.25">
      <c r="A162" s="116" t="s">
        <v>160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7.5</v>
      </c>
      <c r="AH162" s="47"/>
      <c r="AI162" s="48"/>
      <c r="AK162" s="50"/>
    </row>
    <row r="163" spans="1:37" x14ac:dyDescent="0.25">
      <c r="A163" s="116" t="s">
        <v>161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7.5</v>
      </c>
      <c r="AH163" s="47"/>
      <c r="AI163" s="48"/>
      <c r="AK163" s="50"/>
    </row>
    <row r="164" spans="1:37" x14ac:dyDescent="0.25">
      <c r="A164" s="116" t="s">
        <v>162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7</v>
      </c>
      <c r="AH164" s="47"/>
      <c r="AI164" s="48"/>
      <c r="AK164" s="50"/>
    </row>
    <row r="165" spans="1:37" x14ac:dyDescent="0.25">
      <c r="A165" s="116" t="s">
        <v>163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</v>
      </c>
      <c r="AH165" s="47"/>
      <c r="AI165" s="48"/>
      <c r="AK165" s="50"/>
    </row>
    <row r="166" spans="1:37" x14ac:dyDescent="0.25">
      <c r="A166" s="116" t="s">
        <v>164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</v>
      </c>
      <c r="AH166" s="47"/>
      <c r="AI166" s="48"/>
      <c r="AK166" s="50"/>
    </row>
    <row r="167" spans="1:37" x14ac:dyDescent="0.25">
      <c r="A167" s="116" t="s">
        <v>165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</v>
      </c>
      <c r="AH167" s="47"/>
      <c r="AI167" s="48"/>
      <c r="AK167" s="50"/>
    </row>
    <row r="168" spans="1:37" x14ac:dyDescent="0.25">
      <c r="A168" s="116" t="s">
        <v>166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6.6</v>
      </c>
      <c r="AH168" s="47"/>
      <c r="AI168" s="48"/>
      <c r="AK168" s="50"/>
    </row>
    <row r="169" spans="1:37" x14ac:dyDescent="0.25">
      <c r="A169" s="116" t="s">
        <v>167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6.6</v>
      </c>
      <c r="AH169" s="47"/>
      <c r="AI169" s="48"/>
      <c r="AK169" s="50"/>
    </row>
    <row r="170" spans="1:37" x14ac:dyDescent="0.25">
      <c r="A170" s="116" t="s">
        <v>168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6.4</v>
      </c>
      <c r="AH170" s="47"/>
      <c r="AI170" s="48"/>
      <c r="AK170" s="50"/>
    </row>
    <row r="171" spans="1:37" x14ac:dyDescent="0.25">
      <c r="A171" s="116" t="s">
        <v>169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6</v>
      </c>
      <c r="AH171" s="47"/>
      <c r="AI171" s="48"/>
      <c r="AK171" s="50"/>
    </row>
    <row r="172" spans="1:37" x14ac:dyDescent="0.25">
      <c r="A172" s="116" t="s">
        <v>170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5.0999999999999996</v>
      </c>
      <c r="AH172" s="47"/>
      <c r="AI172" s="48"/>
      <c r="AK172" s="50"/>
    </row>
    <row r="173" spans="1:37" x14ac:dyDescent="0.25">
      <c r="A173" s="116" t="s">
        <v>171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5</v>
      </c>
      <c r="AH173" s="47"/>
      <c r="AI173" s="48"/>
      <c r="AK173" s="50"/>
    </row>
    <row r="174" spans="1:37" x14ac:dyDescent="0.25">
      <c r="A174" s="103" t="s">
        <v>172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1">
        <v>5</v>
      </c>
      <c r="AH174" s="47"/>
      <c r="AI174" s="48"/>
      <c r="AK174" s="50"/>
    </row>
    <row r="175" spans="1:37" x14ac:dyDescent="0.25">
      <c r="A175" s="116" t="s">
        <v>173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5</v>
      </c>
      <c r="AH175" s="47"/>
      <c r="AI175" s="48"/>
      <c r="AK175" s="50"/>
    </row>
    <row r="176" spans="1:37" x14ac:dyDescent="0.25">
      <c r="A176" s="116" t="s">
        <v>174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5</v>
      </c>
      <c r="AH176" s="47"/>
      <c r="AI176" s="48"/>
      <c r="AK176" s="50"/>
    </row>
    <row r="177" spans="1:37" x14ac:dyDescent="0.25">
      <c r="A177" s="116" t="s">
        <v>175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</v>
      </c>
      <c r="AH177" s="47"/>
      <c r="AI177" s="48"/>
      <c r="AK177" s="50"/>
    </row>
    <row r="178" spans="1:37" x14ac:dyDescent="0.25">
      <c r="A178" s="116" t="s">
        <v>176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16" t="s">
        <v>177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</v>
      </c>
      <c r="AH179" s="47"/>
      <c r="AI179" s="48"/>
      <c r="AK179" s="50"/>
    </row>
    <row r="180" spans="1:37" x14ac:dyDescent="0.25">
      <c r="A180" s="116" t="s">
        <v>178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4.9930000000000003</v>
      </c>
      <c r="AH180" s="47"/>
      <c r="AI180" s="48"/>
      <c r="AK180" s="50"/>
    </row>
    <row r="181" spans="1:37" x14ac:dyDescent="0.25">
      <c r="A181" s="116" t="s">
        <v>179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4.9800000000000004</v>
      </c>
      <c r="AH181" s="47"/>
      <c r="AI181" s="48"/>
      <c r="AK181" s="50"/>
    </row>
    <row r="182" spans="1:37" x14ac:dyDescent="0.25">
      <c r="A182" s="116" t="s">
        <v>180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4.95</v>
      </c>
      <c r="AH182" s="47"/>
      <c r="AI182" s="48"/>
      <c r="AK182" s="50"/>
    </row>
    <row r="183" spans="1:37" x14ac:dyDescent="0.25">
      <c r="A183" s="116" t="s">
        <v>181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4.95</v>
      </c>
      <c r="AH183" s="47"/>
      <c r="AI183" s="48"/>
      <c r="AK183" s="50"/>
    </row>
    <row r="184" spans="1:37" x14ac:dyDescent="0.25">
      <c r="A184" s="116" t="s">
        <v>182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4.8</v>
      </c>
      <c r="AH184" s="47"/>
      <c r="AI184" s="48"/>
      <c r="AK184" s="50"/>
    </row>
    <row r="185" spans="1:37" x14ac:dyDescent="0.25">
      <c r="A185" s="116" t="s">
        <v>183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4.8</v>
      </c>
      <c r="AH185" s="47"/>
      <c r="AI185" s="48"/>
      <c r="AK185" s="50"/>
    </row>
    <row r="186" spans="1:37" x14ac:dyDescent="0.25">
      <c r="A186" s="116" t="s">
        <v>184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4.8</v>
      </c>
      <c r="AH186" s="47"/>
      <c r="AI186" s="48"/>
      <c r="AK186" s="50"/>
    </row>
    <row r="187" spans="1:37" x14ac:dyDescent="0.25">
      <c r="A187" s="116" t="s">
        <v>185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4.5</v>
      </c>
      <c r="AH187" s="47"/>
      <c r="AI187" s="48"/>
      <c r="AK187" s="50"/>
    </row>
    <row r="188" spans="1:37" x14ac:dyDescent="0.25">
      <c r="A188" s="116" t="s">
        <v>186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4.5</v>
      </c>
      <c r="AH188" s="47"/>
      <c r="AI188" s="48"/>
      <c r="AK188" s="50"/>
    </row>
    <row r="189" spans="1:37" x14ac:dyDescent="0.25">
      <c r="A189" s="116" t="s">
        <v>187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4.4550000000000001</v>
      </c>
      <c r="AH189" s="47"/>
      <c r="AI189" s="48"/>
      <c r="AK189" s="50"/>
    </row>
    <row r="190" spans="1:37" x14ac:dyDescent="0.25">
      <c r="A190" s="116" t="s">
        <v>188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4.41</v>
      </c>
      <c r="AH190" s="47"/>
      <c r="AI190" s="48"/>
      <c r="AK190" s="50"/>
    </row>
    <row r="191" spans="1:37" x14ac:dyDescent="0.25">
      <c r="A191" s="116" t="s">
        <v>189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4.4000000000000004</v>
      </c>
      <c r="AH191" s="47"/>
      <c r="AI191" s="48"/>
      <c r="AK191" s="50"/>
    </row>
    <row r="192" spans="1:37" x14ac:dyDescent="0.25">
      <c r="A192" s="116" t="s">
        <v>190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4.3600000000000003</v>
      </c>
      <c r="AH192" s="47"/>
      <c r="AI192" s="48"/>
      <c r="AK192" s="50"/>
    </row>
    <row r="193" spans="1:37" x14ac:dyDescent="0.25">
      <c r="A193" s="116" t="s">
        <v>191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4.2</v>
      </c>
      <c r="AH193" s="47"/>
      <c r="AI193" s="48"/>
      <c r="AK193" s="50"/>
    </row>
    <row r="194" spans="1:37" x14ac:dyDescent="0.25">
      <c r="A194" s="116" t="s">
        <v>192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</v>
      </c>
      <c r="AH194" s="47"/>
      <c r="AI194" s="48"/>
      <c r="AK194" s="50"/>
    </row>
    <row r="195" spans="1:37" x14ac:dyDescent="0.25">
      <c r="A195" s="116" t="s">
        <v>193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</v>
      </c>
      <c r="AH195" s="47"/>
      <c r="AI195" s="48"/>
      <c r="AK195" s="50"/>
    </row>
    <row r="196" spans="1:37" x14ac:dyDescent="0.25">
      <c r="A196" s="116" t="s">
        <v>194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</v>
      </c>
      <c r="AH196" s="47"/>
      <c r="AI196" s="48"/>
      <c r="AK196" s="50"/>
    </row>
    <row r="197" spans="1:37" x14ac:dyDescent="0.25">
      <c r="A197" s="116" t="s">
        <v>195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</v>
      </c>
      <c r="AH197" s="47"/>
      <c r="AI197" s="48"/>
      <c r="AK197" s="50"/>
    </row>
    <row r="198" spans="1:37" x14ac:dyDescent="0.25">
      <c r="A198" s="116" t="s">
        <v>196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</v>
      </c>
      <c r="AH198" s="47"/>
      <c r="AI198" s="48"/>
      <c r="AK198" s="50"/>
    </row>
    <row r="199" spans="1:37" x14ac:dyDescent="0.25">
      <c r="A199" s="116" t="s">
        <v>197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198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199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200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3.75</v>
      </c>
      <c r="AH202" s="47"/>
      <c r="AI202" s="48"/>
      <c r="AK202" s="50"/>
    </row>
    <row r="203" spans="1:37" x14ac:dyDescent="0.25">
      <c r="A203" s="116" t="s">
        <v>201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3.52</v>
      </c>
      <c r="AH203" s="47"/>
      <c r="AI203" s="48"/>
      <c r="AK203" s="50"/>
    </row>
    <row r="204" spans="1:37" x14ac:dyDescent="0.25">
      <c r="A204" s="116" t="s">
        <v>202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3.33</v>
      </c>
      <c r="AH204" s="47"/>
      <c r="AI204" s="48"/>
      <c r="AK204" s="50"/>
    </row>
    <row r="205" spans="1:37" x14ac:dyDescent="0.25">
      <c r="A205" s="116" t="s">
        <v>203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3.2</v>
      </c>
      <c r="AH205" s="47"/>
      <c r="AI205" s="48"/>
      <c r="AK205" s="50"/>
    </row>
    <row r="206" spans="1:37" x14ac:dyDescent="0.25">
      <c r="A206" s="116" t="s">
        <v>204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3</v>
      </c>
      <c r="AH206" s="47"/>
      <c r="AI206" s="48"/>
      <c r="AK206" s="50"/>
    </row>
    <row r="207" spans="1:37" x14ac:dyDescent="0.25">
      <c r="A207" s="116" t="s">
        <v>205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</v>
      </c>
      <c r="AH207" s="47"/>
      <c r="AI207" s="48"/>
      <c r="AK207" s="50"/>
    </row>
    <row r="208" spans="1:37" x14ac:dyDescent="0.25">
      <c r="A208" s="116" t="s">
        <v>206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</v>
      </c>
      <c r="AH208" s="47"/>
      <c r="AI208" s="48"/>
      <c r="AK208" s="50"/>
    </row>
    <row r="209" spans="1:37" x14ac:dyDescent="0.25">
      <c r="A209" s="116" t="s">
        <v>207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</v>
      </c>
      <c r="AH209" s="47"/>
      <c r="AI209" s="48"/>
      <c r="AK209" s="50"/>
    </row>
    <row r="210" spans="1:37" x14ac:dyDescent="0.25">
      <c r="A210" s="116" t="s">
        <v>208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</v>
      </c>
      <c r="AH210" s="47"/>
      <c r="AI210" s="48"/>
      <c r="AK210" s="50"/>
    </row>
    <row r="211" spans="1:37" x14ac:dyDescent="0.25">
      <c r="A211" s="116" t="s">
        <v>209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210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211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212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2.83</v>
      </c>
      <c r="AH214" s="47"/>
      <c r="AI214" s="48"/>
      <c r="AK214" s="50"/>
    </row>
    <row r="215" spans="1:37" x14ac:dyDescent="0.25">
      <c r="A215" s="116" t="s">
        <v>213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2.5</v>
      </c>
      <c r="AH215" s="47"/>
      <c r="AI215" s="48"/>
      <c r="AK215" s="50"/>
    </row>
    <row r="216" spans="1:37" x14ac:dyDescent="0.25">
      <c r="A216" s="116" t="s">
        <v>214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2.5</v>
      </c>
      <c r="AH216" s="47"/>
      <c r="AI216" s="48"/>
      <c r="AK216" s="50"/>
    </row>
    <row r="217" spans="1:37" x14ac:dyDescent="0.25">
      <c r="A217" s="116" t="s">
        <v>215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2.4</v>
      </c>
      <c r="AH217" s="47"/>
      <c r="AI217" s="48"/>
      <c r="AK217" s="50"/>
    </row>
    <row r="218" spans="1:37" x14ac:dyDescent="0.25">
      <c r="A218" s="116" t="s">
        <v>216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2.4</v>
      </c>
      <c r="AH218" s="47"/>
      <c r="AI218" s="48"/>
      <c r="AK218" s="50"/>
    </row>
    <row r="219" spans="1:37" x14ac:dyDescent="0.25">
      <c r="A219" s="116" t="s">
        <v>217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2.2000000000000002</v>
      </c>
      <c r="AH219" s="47"/>
      <c r="AI219" s="48"/>
      <c r="AK219" s="50"/>
    </row>
    <row r="220" spans="1:37" x14ac:dyDescent="0.25">
      <c r="A220" s="116" t="s">
        <v>218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</v>
      </c>
      <c r="AH220" s="47"/>
      <c r="AI220" s="48"/>
      <c r="AK220" s="50"/>
    </row>
    <row r="221" spans="1:37" x14ac:dyDescent="0.25">
      <c r="A221" s="116" t="s">
        <v>219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</v>
      </c>
      <c r="AH221" s="47"/>
      <c r="AI221" s="48"/>
      <c r="AK221" s="50"/>
    </row>
    <row r="222" spans="1:37" x14ac:dyDescent="0.25">
      <c r="A222" s="116" t="s">
        <v>220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</v>
      </c>
      <c r="AH222" s="47"/>
      <c r="AI222" s="48"/>
      <c r="AK222" s="50"/>
    </row>
    <row r="223" spans="1:37" x14ac:dyDescent="0.25">
      <c r="A223" s="116" t="s">
        <v>221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1.8</v>
      </c>
      <c r="AH223" s="47"/>
      <c r="AI223" s="48"/>
      <c r="AK223" s="50"/>
    </row>
    <row r="224" spans="1:37" x14ac:dyDescent="0.25">
      <c r="A224" s="116" t="s">
        <v>222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1.8</v>
      </c>
      <c r="AH224" s="47"/>
      <c r="AI224" s="48"/>
      <c r="AK224" s="50"/>
    </row>
    <row r="225" spans="1:37" x14ac:dyDescent="0.25">
      <c r="A225" s="116" t="s">
        <v>223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1.65</v>
      </c>
      <c r="AH225" s="47"/>
      <c r="AI225" s="48"/>
      <c r="AK225" s="50"/>
    </row>
    <row r="226" spans="1:37" x14ac:dyDescent="0.25">
      <c r="A226" s="116" t="s">
        <v>224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1.5</v>
      </c>
      <c r="AH226" s="47"/>
      <c r="AI226" s="48"/>
      <c r="AK226" s="50"/>
    </row>
    <row r="227" spans="1:37" x14ac:dyDescent="0.25">
      <c r="A227" s="116" t="s">
        <v>225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0.998</v>
      </c>
      <c r="AH227" s="47"/>
      <c r="AI227" s="48"/>
      <c r="AK227" s="50"/>
    </row>
    <row r="228" spans="1:37" x14ac:dyDescent="0.25">
      <c r="A228" s="116" t="s">
        <v>226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0.997</v>
      </c>
      <c r="AH228" s="47"/>
      <c r="AI228" s="48"/>
      <c r="AK228" s="50"/>
    </row>
    <row r="229" spans="1:37" x14ac:dyDescent="0.25">
      <c r="A229" s="116" t="s">
        <v>227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0.997</v>
      </c>
      <c r="AH229" s="47"/>
      <c r="AI229" s="48"/>
      <c r="AK229" s="50"/>
    </row>
    <row r="230" spans="1:37" x14ac:dyDescent="0.25">
      <c r="A230" s="116" t="s">
        <v>228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0.996</v>
      </c>
      <c r="AH230" s="47"/>
      <c r="AI230" s="48"/>
      <c r="AK230" s="50"/>
    </row>
    <row r="231" spans="1:37" x14ac:dyDescent="0.25">
      <c r="A231" s="116" t="s">
        <v>229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0.996</v>
      </c>
      <c r="AH231" s="47"/>
      <c r="AI231" s="48"/>
      <c r="AK231" s="50"/>
    </row>
    <row r="232" spans="1:37" x14ac:dyDescent="0.25">
      <c r="A232" s="116" t="s">
        <v>230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0.996</v>
      </c>
      <c r="AH232" s="47"/>
      <c r="AI232" s="48"/>
      <c r="AK232" s="50"/>
    </row>
    <row r="233" spans="1:37" x14ac:dyDescent="0.25">
      <c r="A233" s="116" t="s">
        <v>231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0.995</v>
      </c>
      <c r="AH233" s="47"/>
      <c r="AI233" s="48"/>
      <c r="AK233" s="50"/>
    </row>
    <row r="234" spans="1:37" x14ac:dyDescent="0.25">
      <c r="A234" s="116" t="s">
        <v>232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0.99299999999999999</v>
      </c>
      <c r="AH234" s="47"/>
      <c r="AI234" s="48"/>
      <c r="AK234" s="50"/>
    </row>
    <row r="235" spans="1:37" x14ac:dyDescent="0.25">
      <c r="A235" s="116" t="s">
        <v>233</v>
      </c>
      <c r="B235" s="129"/>
      <c r="C235" s="127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</v>
      </c>
      <c r="AH235" s="47"/>
      <c r="AI235" s="48"/>
      <c r="AK235" s="50"/>
    </row>
    <row r="236" spans="1:37" ht="15.75" thickBot="1" x14ac:dyDescent="0.3">
      <c r="A236" s="116" t="s">
        <v>234</v>
      </c>
      <c r="B236" s="133"/>
      <c r="C236" s="134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2">
        <v>0.97899999999999998</v>
      </c>
      <c r="AH236" s="47"/>
      <c r="AI236" s="48"/>
      <c r="AK236" s="50"/>
    </row>
    <row r="237" spans="1:37" ht="15.75" thickBot="1" x14ac:dyDescent="0.3">
      <c r="A237" s="135" t="s">
        <v>235</v>
      </c>
      <c r="B237" s="136">
        <f t="shared" ref="B237:AG237" si="104">SUM(B132:B236)</f>
        <v>0</v>
      </c>
      <c r="C237" s="137">
        <f t="shared" si="104"/>
        <v>0</v>
      </c>
      <c r="D237" s="137">
        <f t="shared" si="104"/>
        <v>0</v>
      </c>
      <c r="E237" s="137">
        <f t="shared" si="104"/>
        <v>0</v>
      </c>
      <c r="F237" s="137">
        <f t="shared" si="104"/>
        <v>0</v>
      </c>
      <c r="G237" s="137">
        <f t="shared" si="104"/>
        <v>0</v>
      </c>
      <c r="H237" s="137">
        <f t="shared" si="104"/>
        <v>0</v>
      </c>
      <c r="I237" s="137">
        <f t="shared" si="104"/>
        <v>0</v>
      </c>
      <c r="J237" s="137">
        <f t="shared" si="104"/>
        <v>0</v>
      </c>
      <c r="K237" s="137">
        <f t="shared" si="104"/>
        <v>0</v>
      </c>
      <c r="L237" s="137">
        <f t="shared" si="104"/>
        <v>0</v>
      </c>
      <c r="M237" s="137">
        <f t="shared" si="104"/>
        <v>0</v>
      </c>
      <c r="N237" s="137">
        <f t="shared" si="104"/>
        <v>0</v>
      </c>
      <c r="O237" s="137">
        <f t="shared" si="104"/>
        <v>0</v>
      </c>
      <c r="P237" s="137">
        <f t="shared" si="104"/>
        <v>0</v>
      </c>
      <c r="Q237" s="137">
        <f t="shared" si="104"/>
        <v>0</v>
      </c>
      <c r="R237" s="137">
        <f t="shared" si="104"/>
        <v>0</v>
      </c>
      <c r="S237" s="137">
        <f t="shared" si="104"/>
        <v>0</v>
      </c>
      <c r="T237" s="137">
        <f t="shared" si="104"/>
        <v>0</v>
      </c>
      <c r="U237" s="137">
        <f t="shared" si="104"/>
        <v>0</v>
      </c>
      <c r="V237" s="137">
        <f t="shared" si="104"/>
        <v>0</v>
      </c>
      <c r="W237" s="137">
        <f t="shared" si="104"/>
        <v>0</v>
      </c>
      <c r="X237" s="137">
        <f t="shared" si="104"/>
        <v>0</v>
      </c>
      <c r="Y237" s="137">
        <f t="shared" si="104"/>
        <v>0</v>
      </c>
      <c r="Z237" s="137">
        <f t="shared" si="104"/>
        <v>0</v>
      </c>
      <c r="AA237" s="137">
        <f t="shared" si="104"/>
        <v>0</v>
      </c>
      <c r="AB237" s="137">
        <f t="shared" si="104"/>
        <v>0</v>
      </c>
      <c r="AC237" s="137">
        <f t="shared" si="104"/>
        <v>0</v>
      </c>
      <c r="AD237" s="137">
        <f t="shared" si="104"/>
        <v>0</v>
      </c>
      <c r="AE237" s="137">
        <f t="shared" si="104"/>
        <v>0</v>
      </c>
      <c r="AF237" s="138">
        <f t="shared" si="104"/>
        <v>0</v>
      </c>
      <c r="AG237" s="139">
        <f t="shared" si="104"/>
        <v>412.72299999999984</v>
      </c>
      <c r="AH237" s="47"/>
      <c r="AI237" s="48"/>
      <c r="AK237" s="50"/>
    </row>
    <row r="238" spans="1:37" ht="15.75" thickBot="1" x14ac:dyDescent="0.3">
      <c r="A238" s="26" t="s">
        <v>75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19"/>
      <c r="AH238" s="47"/>
      <c r="AI238" s="48"/>
      <c r="AK238" s="50"/>
    </row>
    <row r="239" spans="1:37" x14ac:dyDescent="0.25">
      <c r="A239" s="100" t="s">
        <v>236</v>
      </c>
      <c r="B239" s="141">
        <f t="shared" ref="B239:B244" si="105">AF239</f>
        <v>0.3</v>
      </c>
      <c r="C239" s="141">
        <v>0.3</v>
      </c>
      <c r="D239" s="141">
        <f t="shared" ref="D239:S244" si="106">C239</f>
        <v>0.3</v>
      </c>
      <c r="E239" s="141">
        <f t="shared" si="106"/>
        <v>0.3</v>
      </c>
      <c r="F239" s="141">
        <f t="shared" si="106"/>
        <v>0.3</v>
      </c>
      <c r="G239" s="141">
        <f t="shared" si="106"/>
        <v>0.3</v>
      </c>
      <c r="H239" s="141">
        <f t="shared" si="106"/>
        <v>0.3</v>
      </c>
      <c r="I239" s="141">
        <f t="shared" si="106"/>
        <v>0.3</v>
      </c>
      <c r="J239" s="141">
        <f t="shared" si="106"/>
        <v>0.3</v>
      </c>
      <c r="K239" s="141">
        <f t="shared" si="106"/>
        <v>0.3</v>
      </c>
      <c r="L239" s="141">
        <f t="shared" si="106"/>
        <v>0.3</v>
      </c>
      <c r="M239" s="141">
        <f t="shared" si="106"/>
        <v>0.3</v>
      </c>
      <c r="N239" s="141">
        <f t="shared" si="106"/>
        <v>0.3</v>
      </c>
      <c r="O239" s="141">
        <f t="shared" si="106"/>
        <v>0.3</v>
      </c>
      <c r="P239" s="141">
        <f t="shared" si="106"/>
        <v>0.3</v>
      </c>
      <c r="Q239" s="141">
        <f t="shared" si="106"/>
        <v>0.3</v>
      </c>
      <c r="R239" s="141">
        <f t="shared" si="106"/>
        <v>0.3</v>
      </c>
      <c r="S239" s="141">
        <f t="shared" si="106"/>
        <v>0.3</v>
      </c>
      <c r="T239" s="141">
        <f t="shared" ref="T239:AF244" si="107">S239</f>
        <v>0.3</v>
      </c>
      <c r="U239" s="141">
        <f t="shared" si="107"/>
        <v>0.3</v>
      </c>
      <c r="V239" s="141">
        <f t="shared" si="107"/>
        <v>0.3</v>
      </c>
      <c r="W239" s="141">
        <f t="shared" si="107"/>
        <v>0.3</v>
      </c>
      <c r="X239" s="141">
        <f t="shared" si="107"/>
        <v>0.3</v>
      </c>
      <c r="Y239" s="141">
        <f t="shared" si="107"/>
        <v>0.3</v>
      </c>
      <c r="Z239" s="141">
        <f t="shared" si="107"/>
        <v>0.3</v>
      </c>
      <c r="AA239" s="141">
        <f t="shared" si="107"/>
        <v>0.3</v>
      </c>
      <c r="AB239" s="141">
        <f t="shared" si="107"/>
        <v>0.3</v>
      </c>
      <c r="AC239" s="141">
        <f t="shared" si="107"/>
        <v>0.3</v>
      </c>
      <c r="AD239" s="141">
        <f t="shared" si="107"/>
        <v>0.3</v>
      </c>
      <c r="AE239" s="141">
        <f t="shared" si="107"/>
        <v>0.3</v>
      </c>
      <c r="AF239" s="141">
        <f t="shared" si="107"/>
        <v>0.3</v>
      </c>
      <c r="AG239" s="142">
        <v>2.4</v>
      </c>
      <c r="AH239" s="47"/>
      <c r="AI239" s="48"/>
      <c r="AK239" s="50"/>
    </row>
    <row r="240" spans="1:37" x14ac:dyDescent="0.25">
      <c r="A240" s="103" t="s">
        <v>237</v>
      </c>
      <c r="B240" s="129">
        <f t="shared" si="105"/>
        <v>0.4</v>
      </c>
      <c r="C240" s="129">
        <v>0.4</v>
      </c>
      <c r="D240" s="129">
        <f t="shared" si="106"/>
        <v>0.4</v>
      </c>
      <c r="E240" s="129">
        <f t="shared" si="106"/>
        <v>0.4</v>
      </c>
      <c r="F240" s="129">
        <f t="shared" si="106"/>
        <v>0.4</v>
      </c>
      <c r="G240" s="129">
        <f t="shared" si="106"/>
        <v>0.4</v>
      </c>
      <c r="H240" s="129">
        <f t="shared" si="106"/>
        <v>0.4</v>
      </c>
      <c r="I240" s="129">
        <f t="shared" si="106"/>
        <v>0.4</v>
      </c>
      <c r="J240" s="129">
        <f t="shared" si="106"/>
        <v>0.4</v>
      </c>
      <c r="K240" s="129">
        <f t="shared" si="106"/>
        <v>0.4</v>
      </c>
      <c r="L240" s="129">
        <f t="shared" si="106"/>
        <v>0.4</v>
      </c>
      <c r="M240" s="129">
        <f t="shared" si="106"/>
        <v>0.4</v>
      </c>
      <c r="N240" s="129">
        <f t="shared" si="106"/>
        <v>0.4</v>
      </c>
      <c r="O240" s="129">
        <f t="shared" si="106"/>
        <v>0.4</v>
      </c>
      <c r="P240" s="129">
        <f t="shared" si="106"/>
        <v>0.4</v>
      </c>
      <c r="Q240" s="129">
        <f t="shared" si="106"/>
        <v>0.4</v>
      </c>
      <c r="R240" s="129">
        <f t="shared" si="106"/>
        <v>0.4</v>
      </c>
      <c r="S240" s="129">
        <f t="shared" si="106"/>
        <v>0.4</v>
      </c>
      <c r="T240" s="129">
        <f t="shared" si="107"/>
        <v>0.4</v>
      </c>
      <c r="U240" s="129">
        <f t="shared" si="107"/>
        <v>0.4</v>
      </c>
      <c r="V240" s="129">
        <f t="shared" si="107"/>
        <v>0.4</v>
      </c>
      <c r="W240" s="129">
        <f t="shared" si="107"/>
        <v>0.4</v>
      </c>
      <c r="X240" s="129">
        <f t="shared" si="107"/>
        <v>0.4</v>
      </c>
      <c r="Y240" s="129">
        <f t="shared" si="107"/>
        <v>0.4</v>
      </c>
      <c r="Z240" s="129">
        <f t="shared" si="107"/>
        <v>0.4</v>
      </c>
      <c r="AA240" s="129">
        <f t="shared" si="107"/>
        <v>0.4</v>
      </c>
      <c r="AB240" s="129">
        <f t="shared" si="107"/>
        <v>0.4</v>
      </c>
      <c r="AC240" s="129">
        <f t="shared" si="107"/>
        <v>0.4</v>
      </c>
      <c r="AD240" s="129">
        <f t="shared" si="107"/>
        <v>0.4</v>
      </c>
      <c r="AE240" s="129">
        <f t="shared" si="107"/>
        <v>0.4</v>
      </c>
      <c r="AF240" s="129">
        <f t="shared" si="107"/>
        <v>0.4</v>
      </c>
      <c r="AG240" s="143">
        <v>2</v>
      </c>
      <c r="AH240" s="47"/>
      <c r="AI240" s="48"/>
      <c r="AK240" s="50"/>
    </row>
    <row r="241" spans="1:37" x14ac:dyDescent="0.25">
      <c r="A241" s="103" t="s">
        <v>238</v>
      </c>
      <c r="B241" s="129">
        <f t="shared" si="105"/>
        <v>1.5</v>
      </c>
      <c r="C241" s="129">
        <v>1.5</v>
      </c>
      <c r="D241" s="129">
        <f t="shared" si="106"/>
        <v>1.5</v>
      </c>
      <c r="E241" s="129">
        <f t="shared" si="106"/>
        <v>1.5</v>
      </c>
      <c r="F241" s="129">
        <f t="shared" si="106"/>
        <v>1.5</v>
      </c>
      <c r="G241" s="129">
        <f t="shared" si="106"/>
        <v>1.5</v>
      </c>
      <c r="H241" s="129">
        <f t="shared" si="106"/>
        <v>1.5</v>
      </c>
      <c r="I241" s="129">
        <f t="shared" si="106"/>
        <v>1.5</v>
      </c>
      <c r="J241" s="129">
        <f t="shared" si="106"/>
        <v>1.5</v>
      </c>
      <c r="K241" s="129">
        <f t="shared" si="106"/>
        <v>1.5</v>
      </c>
      <c r="L241" s="129">
        <f t="shared" si="106"/>
        <v>1.5</v>
      </c>
      <c r="M241" s="129">
        <f t="shared" si="106"/>
        <v>1.5</v>
      </c>
      <c r="N241" s="129">
        <f t="shared" si="106"/>
        <v>1.5</v>
      </c>
      <c r="O241" s="129">
        <f t="shared" si="106"/>
        <v>1.5</v>
      </c>
      <c r="P241" s="129">
        <f t="shared" si="106"/>
        <v>1.5</v>
      </c>
      <c r="Q241" s="129">
        <f t="shared" si="106"/>
        <v>1.5</v>
      </c>
      <c r="R241" s="129">
        <f t="shared" si="106"/>
        <v>1.5</v>
      </c>
      <c r="S241" s="129">
        <f t="shared" si="106"/>
        <v>1.5</v>
      </c>
      <c r="T241" s="129">
        <f t="shared" si="107"/>
        <v>1.5</v>
      </c>
      <c r="U241" s="129">
        <f t="shared" si="107"/>
        <v>1.5</v>
      </c>
      <c r="V241" s="129">
        <f t="shared" si="107"/>
        <v>1.5</v>
      </c>
      <c r="W241" s="129">
        <f t="shared" si="107"/>
        <v>1.5</v>
      </c>
      <c r="X241" s="129">
        <f t="shared" si="107"/>
        <v>1.5</v>
      </c>
      <c r="Y241" s="129">
        <f t="shared" si="107"/>
        <v>1.5</v>
      </c>
      <c r="Z241" s="129">
        <f t="shared" si="107"/>
        <v>1.5</v>
      </c>
      <c r="AA241" s="129">
        <f t="shared" si="107"/>
        <v>1.5</v>
      </c>
      <c r="AB241" s="129">
        <f t="shared" si="107"/>
        <v>1.5</v>
      </c>
      <c r="AC241" s="129">
        <f t="shared" si="107"/>
        <v>1.5</v>
      </c>
      <c r="AD241" s="129">
        <f t="shared" si="107"/>
        <v>1.5</v>
      </c>
      <c r="AE241" s="129">
        <f t="shared" si="107"/>
        <v>1.5</v>
      </c>
      <c r="AF241" s="129">
        <f t="shared" si="107"/>
        <v>1.5</v>
      </c>
      <c r="AG241" s="143">
        <v>1.5</v>
      </c>
      <c r="AH241" s="47"/>
      <c r="AI241" s="48"/>
      <c r="AK241" s="50"/>
    </row>
    <row r="242" spans="1:37" x14ac:dyDescent="0.25">
      <c r="A242" s="103" t="s">
        <v>239</v>
      </c>
      <c r="B242" s="129">
        <f t="shared" si="105"/>
        <v>0.3</v>
      </c>
      <c r="C242" s="129">
        <v>0.3</v>
      </c>
      <c r="D242" s="129">
        <f t="shared" si="106"/>
        <v>0.3</v>
      </c>
      <c r="E242" s="129">
        <f t="shared" si="106"/>
        <v>0.3</v>
      </c>
      <c r="F242" s="129">
        <f t="shared" si="106"/>
        <v>0.3</v>
      </c>
      <c r="G242" s="129">
        <f t="shared" si="106"/>
        <v>0.3</v>
      </c>
      <c r="H242" s="129">
        <f t="shared" si="106"/>
        <v>0.3</v>
      </c>
      <c r="I242" s="129">
        <f t="shared" si="106"/>
        <v>0.3</v>
      </c>
      <c r="J242" s="129">
        <f t="shared" si="106"/>
        <v>0.3</v>
      </c>
      <c r="K242" s="129">
        <f t="shared" si="106"/>
        <v>0.3</v>
      </c>
      <c r="L242" s="129">
        <f t="shared" si="106"/>
        <v>0.3</v>
      </c>
      <c r="M242" s="129">
        <f t="shared" si="106"/>
        <v>0.3</v>
      </c>
      <c r="N242" s="129">
        <f t="shared" si="106"/>
        <v>0.3</v>
      </c>
      <c r="O242" s="129">
        <f t="shared" si="106"/>
        <v>0.3</v>
      </c>
      <c r="P242" s="129">
        <f t="shared" si="106"/>
        <v>0.3</v>
      </c>
      <c r="Q242" s="129">
        <f t="shared" si="106"/>
        <v>0.3</v>
      </c>
      <c r="R242" s="129">
        <f t="shared" si="106"/>
        <v>0.3</v>
      </c>
      <c r="S242" s="129">
        <f t="shared" si="106"/>
        <v>0.3</v>
      </c>
      <c r="T242" s="129">
        <f t="shared" si="107"/>
        <v>0.3</v>
      </c>
      <c r="U242" s="129">
        <f t="shared" si="107"/>
        <v>0.3</v>
      </c>
      <c r="V242" s="129">
        <f t="shared" si="107"/>
        <v>0.3</v>
      </c>
      <c r="W242" s="129">
        <f t="shared" si="107"/>
        <v>0.3</v>
      </c>
      <c r="X242" s="129">
        <f t="shared" si="107"/>
        <v>0.3</v>
      </c>
      <c r="Y242" s="129">
        <f t="shared" si="107"/>
        <v>0.3</v>
      </c>
      <c r="Z242" s="129">
        <f t="shared" si="107"/>
        <v>0.3</v>
      </c>
      <c r="AA242" s="129">
        <f t="shared" si="107"/>
        <v>0.3</v>
      </c>
      <c r="AB242" s="129">
        <f t="shared" si="107"/>
        <v>0.3</v>
      </c>
      <c r="AC242" s="129">
        <f t="shared" si="107"/>
        <v>0.3</v>
      </c>
      <c r="AD242" s="129">
        <f t="shared" si="107"/>
        <v>0.3</v>
      </c>
      <c r="AE242" s="129">
        <f t="shared" si="107"/>
        <v>0.3</v>
      </c>
      <c r="AF242" s="129">
        <f t="shared" si="107"/>
        <v>0.3</v>
      </c>
      <c r="AG242" s="143">
        <v>1</v>
      </c>
      <c r="AH242" s="47"/>
      <c r="AI242" s="48"/>
      <c r="AK242" s="50"/>
    </row>
    <row r="243" spans="1:37" x14ac:dyDescent="0.25">
      <c r="A243" s="103" t="s">
        <v>240</v>
      </c>
      <c r="B243" s="129">
        <f t="shared" si="105"/>
        <v>0.4</v>
      </c>
      <c r="C243" s="129">
        <v>0.4</v>
      </c>
      <c r="D243" s="129">
        <f t="shared" si="106"/>
        <v>0.4</v>
      </c>
      <c r="E243" s="129">
        <f t="shared" si="106"/>
        <v>0.4</v>
      </c>
      <c r="F243" s="129">
        <f t="shared" si="106"/>
        <v>0.4</v>
      </c>
      <c r="G243" s="129">
        <f t="shared" si="106"/>
        <v>0.4</v>
      </c>
      <c r="H243" s="129">
        <f t="shared" si="106"/>
        <v>0.4</v>
      </c>
      <c r="I243" s="129">
        <f t="shared" si="106"/>
        <v>0.4</v>
      </c>
      <c r="J243" s="129">
        <f t="shared" si="106"/>
        <v>0.4</v>
      </c>
      <c r="K243" s="129">
        <f t="shared" si="106"/>
        <v>0.4</v>
      </c>
      <c r="L243" s="129">
        <f t="shared" si="106"/>
        <v>0.4</v>
      </c>
      <c r="M243" s="129">
        <f t="shared" si="106"/>
        <v>0.4</v>
      </c>
      <c r="N243" s="129">
        <f t="shared" si="106"/>
        <v>0.4</v>
      </c>
      <c r="O243" s="129">
        <f t="shared" si="106"/>
        <v>0.4</v>
      </c>
      <c r="P243" s="129">
        <f t="shared" si="106"/>
        <v>0.4</v>
      </c>
      <c r="Q243" s="129">
        <f t="shared" si="106"/>
        <v>0.4</v>
      </c>
      <c r="R243" s="129">
        <f t="shared" si="106"/>
        <v>0.4</v>
      </c>
      <c r="S243" s="129">
        <f t="shared" si="106"/>
        <v>0.4</v>
      </c>
      <c r="T243" s="129">
        <f t="shared" si="107"/>
        <v>0.4</v>
      </c>
      <c r="U243" s="129">
        <f t="shared" si="107"/>
        <v>0.4</v>
      </c>
      <c r="V243" s="129">
        <f t="shared" si="107"/>
        <v>0.4</v>
      </c>
      <c r="W243" s="129">
        <f t="shared" si="107"/>
        <v>0.4</v>
      </c>
      <c r="X243" s="129">
        <f t="shared" si="107"/>
        <v>0.4</v>
      </c>
      <c r="Y243" s="129">
        <f t="shared" si="107"/>
        <v>0.4</v>
      </c>
      <c r="Z243" s="129">
        <f t="shared" si="107"/>
        <v>0.4</v>
      </c>
      <c r="AA243" s="129">
        <f t="shared" si="107"/>
        <v>0.4</v>
      </c>
      <c r="AB243" s="129">
        <f t="shared" si="107"/>
        <v>0.4</v>
      </c>
      <c r="AC243" s="129">
        <f t="shared" si="107"/>
        <v>0.4</v>
      </c>
      <c r="AD243" s="129">
        <f t="shared" si="107"/>
        <v>0.4</v>
      </c>
      <c r="AE243" s="129">
        <f t="shared" si="107"/>
        <v>0.4</v>
      </c>
      <c r="AF243" s="129">
        <f t="shared" si="107"/>
        <v>0.4</v>
      </c>
      <c r="AG243" s="143">
        <v>1</v>
      </c>
      <c r="AH243" s="47"/>
      <c r="AI243" s="48"/>
      <c r="AK243" s="50"/>
    </row>
    <row r="244" spans="1:37" ht="15.75" thickBot="1" x14ac:dyDescent="0.3">
      <c r="A244" s="116" t="s">
        <v>241</v>
      </c>
      <c r="B244" s="133">
        <f t="shared" si="105"/>
        <v>0.64</v>
      </c>
      <c r="C244" s="133">
        <v>0.64</v>
      </c>
      <c r="D244" s="133">
        <f t="shared" si="106"/>
        <v>0.64</v>
      </c>
      <c r="E244" s="133">
        <f t="shared" si="106"/>
        <v>0.64</v>
      </c>
      <c r="F244" s="133">
        <f t="shared" si="106"/>
        <v>0.64</v>
      </c>
      <c r="G244" s="133">
        <f t="shared" si="106"/>
        <v>0.64</v>
      </c>
      <c r="H244" s="133">
        <f t="shared" si="106"/>
        <v>0.64</v>
      </c>
      <c r="I244" s="133">
        <f t="shared" si="106"/>
        <v>0.64</v>
      </c>
      <c r="J244" s="133">
        <f t="shared" si="106"/>
        <v>0.64</v>
      </c>
      <c r="K244" s="133">
        <f t="shared" si="106"/>
        <v>0.64</v>
      </c>
      <c r="L244" s="133">
        <f t="shared" si="106"/>
        <v>0.64</v>
      </c>
      <c r="M244" s="133">
        <f t="shared" si="106"/>
        <v>0.64</v>
      </c>
      <c r="N244" s="133">
        <f t="shared" si="106"/>
        <v>0.64</v>
      </c>
      <c r="O244" s="133">
        <f t="shared" si="106"/>
        <v>0.64</v>
      </c>
      <c r="P244" s="133">
        <f t="shared" si="106"/>
        <v>0.64</v>
      </c>
      <c r="Q244" s="133">
        <f t="shared" si="106"/>
        <v>0.64</v>
      </c>
      <c r="R244" s="133">
        <f t="shared" si="106"/>
        <v>0.64</v>
      </c>
      <c r="S244" s="133">
        <f t="shared" si="106"/>
        <v>0.64</v>
      </c>
      <c r="T244" s="133">
        <f t="shared" si="107"/>
        <v>0.64</v>
      </c>
      <c r="U244" s="133">
        <f t="shared" si="107"/>
        <v>0.64</v>
      </c>
      <c r="V244" s="133">
        <f t="shared" si="107"/>
        <v>0.64</v>
      </c>
      <c r="W244" s="133">
        <f t="shared" si="107"/>
        <v>0.64</v>
      </c>
      <c r="X244" s="133">
        <f t="shared" si="107"/>
        <v>0.64</v>
      </c>
      <c r="Y244" s="133">
        <f t="shared" si="107"/>
        <v>0.64</v>
      </c>
      <c r="Z244" s="133">
        <f t="shared" si="107"/>
        <v>0.64</v>
      </c>
      <c r="AA244" s="133">
        <f t="shared" si="107"/>
        <v>0.64</v>
      </c>
      <c r="AB244" s="133">
        <f t="shared" si="107"/>
        <v>0.64</v>
      </c>
      <c r="AC244" s="133">
        <f t="shared" si="107"/>
        <v>0.64</v>
      </c>
      <c r="AD244" s="133">
        <f t="shared" si="107"/>
        <v>0.64</v>
      </c>
      <c r="AE244" s="133">
        <f t="shared" si="107"/>
        <v>0.64</v>
      </c>
      <c r="AF244" s="133">
        <f t="shared" si="107"/>
        <v>0.64</v>
      </c>
      <c r="AG244" s="144">
        <v>0.66</v>
      </c>
      <c r="AH244" s="47"/>
      <c r="AI244" s="48"/>
    </row>
    <row r="245" spans="1:37" ht="15.75" thickBot="1" x14ac:dyDescent="0.3">
      <c r="A245" s="145" t="s">
        <v>75</v>
      </c>
      <c r="B245" s="137">
        <f t="shared" ref="B245:AG245" si="108">SUM(B239:B244)</f>
        <v>3.54</v>
      </c>
      <c r="C245" s="137">
        <f t="shared" si="108"/>
        <v>3.54</v>
      </c>
      <c r="D245" s="137">
        <f t="shared" si="108"/>
        <v>3.54</v>
      </c>
      <c r="E245" s="137">
        <f t="shared" si="108"/>
        <v>3.54</v>
      </c>
      <c r="F245" s="137">
        <f t="shared" si="108"/>
        <v>3.54</v>
      </c>
      <c r="G245" s="137">
        <f t="shared" si="108"/>
        <v>3.54</v>
      </c>
      <c r="H245" s="137">
        <f t="shared" si="108"/>
        <v>3.54</v>
      </c>
      <c r="I245" s="137">
        <f t="shared" si="108"/>
        <v>3.54</v>
      </c>
      <c r="J245" s="137">
        <f t="shared" si="108"/>
        <v>3.54</v>
      </c>
      <c r="K245" s="137">
        <f t="shared" si="108"/>
        <v>3.54</v>
      </c>
      <c r="L245" s="137">
        <f t="shared" si="108"/>
        <v>3.54</v>
      </c>
      <c r="M245" s="137">
        <f t="shared" si="108"/>
        <v>3.54</v>
      </c>
      <c r="N245" s="137">
        <f t="shared" si="108"/>
        <v>3.54</v>
      </c>
      <c r="O245" s="137">
        <f t="shared" si="108"/>
        <v>3.54</v>
      </c>
      <c r="P245" s="137">
        <f t="shared" si="108"/>
        <v>3.54</v>
      </c>
      <c r="Q245" s="137">
        <f t="shared" si="108"/>
        <v>3.54</v>
      </c>
      <c r="R245" s="137">
        <f t="shared" si="108"/>
        <v>3.54</v>
      </c>
      <c r="S245" s="137">
        <f t="shared" si="108"/>
        <v>3.54</v>
      </c>
      <c r="T245" s="137">
        <f t="shared" si="108"/>
        <v>3.54</v>
      </c>
      <c r="U245" s="137">
        <f t="shared" si="108"/>
        <v>3.54</v>
      </c>
      <c r="V245" s="137">
        <f t="shared" si="108"/>
        <v>3.54</v>
      </c>
      <c r="W245" s="137">
        <f t="shared" si="108"/>
        <v>3.54</v>
      </c>
      <c r="X245" s="137">
        <f t="shared" si="108"/>
        <v>3.54</v>
      </c>
      <c r="Y245" s="137">
        <f t="shared" si="108"/>
        <v>3.54</v>
      </c>
      <c r="Z245" s="137">
        <f t="shared" si="108"/>
        <v>3.54</v>
      </c>
      <c r="AA245" s="137">
        <f t="shared" si="108"/>
        <v>3.54</v>
      </c>
      <c r="AB245" s="137">
        <f t="shared" si="108"/>
        <v>3.54</v>
      </c>
      <c r="AC245" s="137">
        <f t="shared" si="108"/>
        <v>3.54</v>
      </c>
      <c r="AD245" s="137">
        <f t="shared" si="108"/>
        <v>3.54</v>
      </c>
      <c r="AE245" s="137">
        <f t="shared" si="108"/>
        <v>3.54</v>
      </c>
      <c r="AF245" s="137">
        <f t="shared" si="108"/>
        <v>3.54</v>
      </c>
      <c r="AG245" s="146">
        <f t="shared" si="108"/>
        <v>8.56</v>
      </c>
      <c r="AH245" s="47"/>
      <c r="AI245" s="48"/>
    </row>
    <row r="246" spans="1:37" ht="15.75" thickBot="1" x14ac:dyDescent="0.3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140"/>
      <c r="AH246" s="43"/>
    </row>
    <row r="247" spans="1:37" x14ac:dyDescent="0.25">
      <c r="A247" s="147" t="s">
        <v>242</v>
      </c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9"/>
      <c r="AG247" s="43"/>
      <c r="AH247" s="47"/>
      <c r="AI247" s="48"/>
    </row>
    <row r="248" spans="1:37" x14ac:dyDescent="0.25">
      <c r="A248" s="150" t="s">
        <v>243</v>
      </c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2"/>
      <c r="AG248" s="153"/>
      <c r="AH248" s="47"/>
      <c r="AI248" s="48"/>
    </row>
    <row r="249" spans="1:37" x14ac:dyDescent="0.25">
      <c r="A249" s="154" t="s">
        <v>244</v>
      </c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6"/>
      <c r="AG249" s="153"/>
      <c r="AH249" s="47"/>
      <c r="AI249" s="48"/>
    </row>
    <row r="250" spans="1:37" x14ac:dyDescent="0.25">
      <c r="A250" s="154" t="s">
        <v>245</v>
      </c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6"/>
      <c r="AG250" s="153"/>
      <c r="AH250" s="47"/>
      <c r="AI250" s="48"/>
    </row>
    <row r="251" spans="1:37" ht="15.75" thickBot="1" x14ac:dyDescent="0.3">
      <c r="A251" s="157" t="s">
        <v>246</v>
      </c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9"/>
      <c r="AG251" s="153"/>
      <c r="AH251" s="47"/>
      <c r="AI251" s="48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1515.8270833333333</v>
      </c>
      <c r="C254" s="162">
        <f>INDEX(G9:N9,1,MATCH(MAX(G99:N99),G99:N99,0))</f>
        <v>0.33333333333333331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14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2080/09/14)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2080/09/14)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109">B99</f>
        <v>1010.7400000000001</v>
      </c>
      <c r="U259" s="171">
        <f t="shared" si="109"/>
        <v>970.94000000000017</v>
      </c>
      <c r="V259" s="171">
        <f t="shared" si="109"/>
        <v>955.54000000000019</v>
      </c>
      <c r="W259" s="171">
        <f t="shared" si="109"/>
        <v>948.84000000000015</v>
      </c>
      <c r="X259" s="171">
        <f t="shared" si="109"/>
        <v>956.34000000000015</v>
      </c>
      <c r="Y259" s="171">
        <f t="shared" si="109"/>
        <v>1023.2400000000002</v>
      </c>
      <c r="Z259" s="171">
        <f t="shared" si="109"/>
        <v>1096.6400000000001</v>
      </c>
      <c r="AA259" s="171">
        <f t="shared" si="109"/>
        <v>1169.74</v>
      </c>
      <c r="AB259" s="171">
        <f t="shared" si="109"/>
        <v>1285.6400000000001</v>
      </c>
      <c r="AC259" s="171">
        <f t="shared" si="109"/>
        <v>1379.0400000000002</v>
      </c>
      <c r="AD259" s="171">
        <f t="shared" si="109"/>
        <v>1494.8400000000001</v>
      </c>
      <c r="AE259" s="171">
        <f t="shared" si="109"/>
        <v>1515.8270833333333</v>
      </c>
      <c r="AF259" s="171">
        <f t="shared" si="109"/>
        <v>1484.4270833333335</v>
      </c>
      <c r="AG259" s="171">
        <f t="shared" si="109"/>
        <v>1428.6270833333333</v>
      </c>
      <c r="AH259" s="171">
        <f t="shared" si="109"/>
        <v>1276.3270833333333</v>
      </c>
      <c r="AI259" s="171">
        <f t="shared" si="109"/>
        <v>1228.3270833333333</v>
      </c>
      <c r="AJ259" s="171">
        <f t="shared" si="109"/>
        <v>1166.5270833333332</v>
      </c>
      <c r="AK259" s="171">
        <f t="shared" si="109"/>
        <v>1150.6270833333333</v>
      </c>
      <c r="AL259" s="171">
        <f t="shared" si="109"/>
        <v>1138.8270833333333</v>
      </c>
      <c r="AM259" s="171">
        <f t="shared" si="109"/>
        <v>1152.8270833333333</v>
      </c>
      <c r="AN259" s="171">
        <f t="shared" si="109"/>
        <v>1274.5270833333334</v>
      </c>
      <c r="AO259" s="171">
        <f t="shared" si="109"/>
        <v>1407.5670833333336</v>
      </c>
      <c r="AP259" s="171">
        <f t="shared" si="109"/>
        <v>1575.9670833333332</v>
      </c>
      <c r="AQ259" s="171">
        <f t="shared" si="109"/>
        <v>1524.7670833333332</v>
      </c>
      <c r="AR259" s="171">
        <f t="shared" si="109"/>
        <v>1468.4670833333334</v>
      </c>
      <c r="AS259" s="171">
        <f t="shared" si="109"/>
        <v>1375.8670833333335</v>
      </c>
      <c r="AT259" s="171">
        <f t="shared" si="109"/>
        <v>1362.0670833333334</v>
      </c>
      <c r="AU259" s="171">
        <f t="shared" si="109"/>
        <v>1283.7670833333334</v>
      </c>
      <c r="AV259" s="171">
        <f t="shared" si="109"/>
        <v>1195.0670833333334</v>
      </c>
      <c r="AW259" s="171">
        <f t="shared" si="109"/>
        <v>1041.0670833333334</v>
      </c>
      <c r="AX259" s="171">
        <f t="shared" si="109"/>
        <v>957.2670833333334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110">C244</f>
        <v>0.64</v>
      </c>
      <c r="C280" s="174">
        <f t="shared" si="110"/>
        <v>0.64</v>
      </c>
      <c r="D280" s="174">
        <f t="shared" si="110"/>
        <v>0.64</v>
      </c>
      <c r="E280" s="174">
        <f t="shared" si="110"/>
        <v>0.64</v>
      </c>
      <c r="F280" s="174">
        <f t="shared" si="110"/>
        <v>0.64</v>
      </c>
      <c r="G280" s="174">
        <f t="shared" si="110"/>
        <v>0.64</v>
      </c>
      <c r="H280" s="174">
        <f t="shared" si="110"/>
        <v>0.64</v>
      </c>
      <c r="I280" s="174">
        <f t="shared" si="110"/>
        <v>0.64</v>
      </c>
      <c r="J280" s="174">
        <f t="shared" si="110"/>
        <v>0.64</v>
      </c>
      <c r="K280" s="174">
        <f t="shared" si="110"/>
        <v>0.64</v>
      </c>
      <c r="L280" s="174">
        <f t="shared" si="110"/>
        <v>0.64</v>
      </c>
      <c r="M280" s="174">
        <f t="shared" si="110"/>
        <v>0.64</v>
      </c>
      <c r="N280" s="174">
        <f t="shared" si="110"/>
        <v>0.64</v>
      </c>
      <c r="O280" s="174">
        <f t="shared" si="110"/>
        <v>0.64</v>
      </c>
      <c r="P280" s="174">
        <f t="shared" si="110"/>
        <v>0.64</v>
      </c>
      <c r="Q280" s="174">
        <f t="shared" si="110"/>
        <v>0.64</v>
      </c>
      <c r="R280" s="174">
        <f t="shared" si="110"/>
        <v>0.64</v>
      </c>
      <c r="S280" s="174">
        <f t="shared" si="110"/>
        <v>0.64</v>
      </c>
      <c r="T280" s="174">
        <f t="shared" si="110"/>
        <v>0.64</v>
      </c>
      <c r="U280" s="174">
        <f t="shared" si="110"/>
        <v>0.64</v>
      </c>
      <c r="V280" s="174">
        <f t="shared" si="110"/>
        <v>0.64</v>
      </c>
      <c r="W280" s="174">
        <f t="shared" si="110"/>
        <v>0.64</v>
      </c>
      <c r="X280" s="174">
        <f t="shared" si="110"/>
        <v>0.64</v>
      </c>
      <c r="Y280" s="174">
        <f t="shared" si="110"/>
        <v>0.64</v>
      </c>
      <c r="Z280" s="174">
        <f t="shared" si="110"/>
        <v>0.64</v>
      </c>
      <c r="AA280" s="174">
        <f t="shared" si="110"/>
        <v>0.64</v>
      </c>
      <c r="AB280" s="174">
        <f t="shared" si="110"/>
        <v>0.64</v>
      </c>
      <c r="AC280" s="174">
        <f t="shared" si="110"/>
        <v>0.64</v>
      </c>
      <c r="AD280" s="174">
        <f t="shared" si="110"/>
        <v>0.64</v>
      </c>
      <c r="AE280" s="174">
        <f t="shared" si="110"/>
        <v>0.64</v>
      </c>
      <c r="AF280" s="174">
        <f>B244</f>
        <v>0.64</v>
      </c>
      <c r="AG280" s="43"/>
      <c r="AH280" s="43"/>
    </row>
    <row r="281" spans="1:34" x14ac:dyDescent="0.25">
      <c r="A281" s="175" t="str">
        <f>A248</f>
        <v>KGA</v>
      </c>
      <c r="B281" s="175" t="str">
        <f t="shared" ref="B281:AF281" si="111">IF(B248&lt;100,"",B248-520)</f>
        <v/>
      </c>
      <c r="C281" s="175" t="str">
        <f t="shared" si="111"/>
        <v/>
      </c>
      <c r="D281" s="175" t="str">
        <f t="shared" si="111"/>
        <v/>
      </c>
      <c r="E281" s="175" t="str">
        <f t="shared" si="111"/>
        <v/>
      </c>
      <c r="F281" s="175" t="str">
        <f t="shared" si="111"/>
        <v/>
      </c>
      <c r="G281" s="175" t="str">
        <f t="shared" si="111"/>
        <v/>
      </c>
      <c r="H281" s="175" t="str">
        <f t="shared" si="111"/>
        <v/>
      </c>
      <c r="I281" s="175" t="str">
        <f t="shared" si="111"/>
        <v/>
      </c>
      <c r="J281" s="175" t="str">
        <f t="shared" si="111"/>
        <v/>
      </c>
      <c r="K281" s="175" t="str">
        <f t="shared" si="111"/>
        <v/>
      </c>
      <c r="L281" s="175" t="str">
        <f t="shared" si="111"/>
        <v/>
      </c>
      <c r="M281" s="175" t="str">
        <f t="shared" si="111"/>
        <v/>
      </c>
      <c r="N281" s="175" t="str">
        <f t="shared" si="111"/>
        <v/>
      </c>
      <c r="O281" s="175" t="str">
        <f t="shared" si="111"/>
        <v/>
      </c>
      <c r="P281" s="175" t="str">
        <f t="shared" si="111"/>
        <v/>
      </c>
      <c r="Q281" s="175" t="str">
        <f t="shared" si="111"/>
        <v/>
      </c>
      <c r="R281" s="175" t="str">
        <f t="shared" si="111"/>
        <v/>
      </c>
      <c r="S281" s="175" t="str">
        <f t="shared" si="111"/>
        <v/>
      </c>
      <c r="T281" s="175" t="str">
        <f t="shared" si="111"/>
        <v/>
      </c>
      <c r="U281" s="175" t="str">
        <f t="shared" si="111"/>
        <v/>
      </c>
      <c r="V281" s="175" t="str">
        <f t="shared" si="111"/>
        <v/>
      </c>
      <c r="W281" s="175" t="str">
        <f t="shared" si="111"/>
        <v/>
      </c>
      <c r="X281" s="175" t="str">
        <f t="shared" si="111"/>
        <v/>
      </c>
      <c r="Y281" s="175" t="str">
        <f t="shared" si="111"/>
        <v/>
      </c>
      <c r="Z281" s="175" t="str">
        <f t="shared" si="111"/>
        <v/>
      </c>
      <c r="AA281" s="175" t="str">
        <f t="shared" si="111"/>
        <v/>
      </c>
      <c r="AB281" s="175" t="str">
        <f t="shared" si="111"/>
        <v/>
      </c>
      <c r="AC281" s="175" t="str">
        <f t="shared" si="111"/>
        <v/>
      </c>
      <c r="AD281" s="175" t="str">
        <f t="shared" si="111"/>
        <v/>
      </c>
      <c r="AE281" s="175" t="str">
        <f t="shared" si="111"/>
        <v/>
      </c>
      <c r="AF281" s="175" t="str">
        <f t="shared" si="111"/>
        <v/>
      </c>
      <c r="AG281" s="43"/>
      <c r="AH281" s="43"/>
    </row>
    <row r="282" spans="1:34" x14ac:dyDescent="0.25">
      <c r="A282" s="175" t="str">
        <f>A249</f>
        <v>MMRS</v>
      </c>
      <c r="B282" s="175" t="str">
        <f t="shared" ref="B282:AF282" si="112">IF(B249&lt;100,"",B249-620)</f>
        <v/>
      </c>
      <c r="C282" s="175" t="str">
        <f t="shared" si="112"/>
        <v/>
      </c>
      <c r="D282" s="175" t="str">
        <f t="shared" si="112"/>
        <v/>
      </c>
      <c r="E282" s="175" t="str">
        <f t="shared" si="112"/>
        <v/>
      </c>
      <c r="F282" s="175" t="str">
        <f t="shared" si="112"/>
        <v/>
      </c>
      <c r="G282" s="175" t="str">
        <f t="shared" si="112"/>
        <v/>
      </c>
      <c r="H282" s="175" t="str">
        <f t="shared" si="112"/>
        <v/>
      </c>
      <c r="I282" s="175" t="str">
        <f t="shared" si="112"/>
        <v/>
      </c>
      <c r="J282" s="175" t="str">
        <f t="shared" si="112"/>
        <v/>
      </c>
      <c r="K282" s="175" t="str">
        <f t="shared" si="112"/>
        <v/>
      </c>
      <c r="L282" s="175" t="str">
        <f t="shared" si="112"/>
        <v/>
      </c>
      <c r="M282" s="175" t="str">
        <f t="shared" si="112"/>
        <v/>
      </c>
      <c r="N282" s="175" t="str">
        <f t="shared" si="112"/>
        <v/>
      </c>
      <c r="O282" s="175" t="str">
        <f t="shared" si="112"/>
        <v/>
      </c>
      <c r="P282" s="175" t="str">
        <f t="shared" si="112"/>
        <v/>
      </c>
      <c r="Q282" s="175" t="str">
        <f t="shared" si="112"/>
        <v/>
      </c>
      <c r="R282" s="175" t="str">
        <f t="shared" si="112"/>
        <v/>
      </c>
      <c r="S282" s="175" t="str">
        <f t="shared" si="112"/>
        <v/>
      </c>
      <c r="T282" s="175" t="str">
        <f t="shared" si="112"/>
        <v/>
      </c>
      <c r="U282" s="175" t="str">
        <f t="shared" si="112"/>
        <v/>
      </c>
      <c r="V282" s="175" t="str">
        <f t="shared" si="112"/>
        <v/>
      </c>
      <c r="W282" s="175" t="str">
        <f t="shared" si="112"/>
        <v/>
      </c>
      <c r="X282" s="175" t="str">
        <f t="shared" si="112"/>
        <v/>
      </c>
      <c r="Y282" s="175" t="str">
        <f t="shared" si="112"/>
        <v/>
      </c>
      <c r="Z282" s="175" t="str">
        <f t="shared" si="112"/>
        <v/>
      </c>
      <c r="AA282" s="175" t="str">
        <f t="shared" si="112"/>
        <v/>
      </c>
      <c r="AB282" s="175" t="str">
        <f t="shared" si="112"/>
        <v/>
      </c>
      <c r="AC282" s="175" t="str">
        <f t="shared" si="112"/>
        <v/>
      </c>
      <c r="AD282" s="175" t="str">
        <f t="shared" si="112"/>
        <v/>
      </c>
      <c r="AE282" s="175" t="str">
        <f t="shared" si="112"/>
        <v/>
      </c>
      <c r="AF282" s="175" t="str">
        <f t="shared" si="112"/>
        <v/>
      </c>
      <c r="AG282" s="43"/>
      <c r="AH282" s="43"/>
    </row>
    <row r="283" spans="1:34" x14ac:dyDescent="0.25">
      <c r="A283" s="175" t="str">
        <f>A250</f>
        <v>MRS</v>
      </c>
      <c r="B283" s="175" t="str">
        <f t="shared" ref="B283:AF283" si="113">IF(B250&lt;100,"",B250-330)</f>
        <v/>
      </c>
      <c r="C283" s="175" t="str">
        <f t="shared" si="113"/>
        <v/>
      </c>
      <c r="D283" s="175" t="str">
        <f t="shared" si="113"/>
        <v/>
      </c>
      <c r="E283" s="175" t="str">
        <f t="shared" si="113"/>
        <v/>
      </c>
      <c r="F283" s="175" t="str">
        <f t="shared" si="113"/>
        <v/>
      </c>
      <c r="G283" s="175" t="str">
        <f t="shared" si="113"/>
        <v/>
      </c>
      <c r="H283" s="175" t="str">
        <f t="shared" si="113"/>
        <v/>
      </c>
      <c r="I283" s="175" t="str">
        <f t="shared" si="113"/>
        <v/>
      </c>
      <c r="J283" s="175" t="str">
        <f t="shared" si="113"/>
        <v/>
      </c>
      <c r="K283" s="175" t="str">
        <f t="shared" si="113"/>
        <v/>
      </c>
      <c r="L283" s="175" t="str">
        <f t="shared" si="113"/>
        <v/>
      </c>
      <c r="M283" s="175" t="str">
        <f t="shared" si="113"/>
        <v/>
      </c>
      <c r="N283" s="175" t="str">
        <f t="shared" si="113"/>
        <v/>
      </c>
      <c r="O283" s="175" t="str">
        <f t="shared" si="113"/>
        <v/>
      </c>
      <c r="P283" s="175" t="str">
        <f t="shared" si="113"/>
        <v/>
      </c>
      <c r="Q283" s="175" t="str">
        <f t="shared" si="113"/>
        <v/>
      </c>
      <c r="R283" s="175" t="str">
        <f t="shared" si="113"/>
        <v/>
      </c>
      <c r="S283" s="175" t="str">
        <f t="shared" si="113"/>
        <v/>
      </c>
      <c r="T283" s="175" t="str">
        <f t="shared" si="113"/>
        <v/>
      </c>
      <c r="U283" s="175" t="str">
        <f t="shared" si="113"/>
        <v/>
      </c>
      <c r="V283" s="175" t="str">
        <f t="shared" si="113"/>
        <v/>
      </c>
      <c r="W283" s="175" t="str">
        <f t="shared" si="113"/>
        <v/>
      </c>
      <c r="X283" s="175" t="str">
        <f t="shared" si="113"/>
        <v/>
      </c>
      <c r="Y283" s="175" t="str">
        <f t="shared" si="113"/>
        <v/>
      </c>
      <c r="Z283" s="175" t="str">
        <f t="shared" si="113"/>
        <v/>
      </c>
      <c r="AA283" s="175" t="str">
        <f t="shared" si="113"/>
        <v/>
      </c>
      <c r="AB283" s="175" t="str">
        <f t="shared" si="113"/>
        <v/>
      </c>
      <c r="AC283" s="175" t="str">
        <f t="shared" si="113"/>
        <v/>
      </c>
      <c r="AD283" s="175" t="str">
        <f t="shared" si="113"/>
        <v/>
      </c>
      <c r="AE283" s="175" t="str">
        <f t="shared" si="113"/>
        <v/>
      </c>
      <c r="AF283" s="175" t="str">
        <f t="shared" si="113"/>
        <v/>
      </c>
      <c r="AG283" s="43"/>
      <c r="AH283" s="43"/>
    </row>
    <row r="284" spans="1:34" x14ac:dyDescent="0.25">
      <c r="A284" s="175" t="str">
        <f>A251</f>
        <v>KL 1</v>
      </c>
      <c r="B284" s="175" t="str">
        <f t="shared" ref="B284:AF284" si="114">IF(B251&lt;100,"",B251-1500)</f>
        <v/>
      </c>
      <c r="C284" s="175" t="str">
        <f t="shared" si="114"/>
        <v/>
      </c>
      <c r="D284" s="175" t="str">
        <f t="shared" si="114"/>
        <v/>
      </c>
      <c r="E284" s="175" t="str">
        <f t="shared" si="114"/>
        <v/>
      </c>
      <c r="F284" s="175" t="str">
        <f t="shared" si="114"/>
        <v/>
      </c>
      <c r="G284" s="175" t="str">
        <f t="shared" si="114"/>
        <v/>
      </c>
      <c r="H284" s="175" t="str">
        <f t="shared" si="114"/>
        <v/>
      </c>
      <c r="I284" s="175" t="str">
        <f t="shared" si="114"/>
        <v/>
      </c>
      <c r="J284" s="175" t="str">
        <f t="shared" si="114"/>
        <v/>
      </c>
      <c r="K284" s="175" t="str">
        <f t="shared" si="114"/>
        <v/>
      </c>
      <c r="L284" s="175" t="str">
        <f t="shared" si="114"/>
        <v/>
      </c>
      <c r="M284" s="175" t="str">
        <f t="shared" si="114"/>
        <v/>
      </c>
      <c r="N284" s="175" t="str">
        <f t="shared" si="114"/>
        <v/>
      </c>
      <c r="O284" s="175" t="str">
        <f t="shared" si="114"/>
        <v/>
      </c>
      <c r="P284" s="175" t="str">
        <f t="shared" si="114"/>
        <v/>
      </c>
      <c r="Q284" s="175" t="str">
        <f t="shared" si="114"/>
        <v/>
      </c>
      <c r="R284" s="175" t="str">
        <f t="shared" si="114"/>
        <v/>
      </c>
      <c r="S284" s="175" t="str">
        <f t="shared" si="114"/>
        <v/>
      </c>
      <c r="T284" s="175" t="str">
        <f t="shared" si="114"/>
        <v/>
      </c>
      <c r="U284" s="175" t="str">
        <f t="shared" si="114"/>
        <v/>
      </c>
      <c r="V284" s="175" t="str">
        <f t="shared" si="114"/>
        <v/>
      </c>
      <c r="W284" s="175" t="str">
        <f t="shared" si="114"/>
        <v/>
      </c>
      <c r="X284" s="175" t="str">
        <f t="shared" si="114"/>
        <v/>
      </c>
      <c r="Y284" s="175" t="str">
        <f t="shared" si="114"/>
        <v/>
      </c>
      <c r="Z284" s="175" t="str">
        <f t="shared" si="114"/>
        <v/>
      </c>
      <c r="AA284" s="175" t="str">
        <f t="shared" si="114"/>
        <v/>
      </c>
      <c r="AB284" s="175" t="str">
        <f t="shared" si="114"/>
        <v/>
      </c>
      <c r="AC284" s="175" t="str">
        <f t="shared" si="114"/>
        <v/>
      </c>
      <c r="AD284" s="175" t="str">
        <f t="shared" si="114"/>
        <v/>
      </c>
      <c r="AE284" s="175" t="str">
        <f t="shared" si="114"/>
        <v/>
      </c>
      <c r="AF284" s="175" t="str">
        <f t="shared" si="114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46">
    <cfRule type="expression" dxfId="2180" priority="53">
      <formula>$AH11=0</formula>
    </cfRule>
  </conditionalFormatting>
  <conditionalFormatting sqref="B8 M8 S8 AB8">
    <cfRule type="expression" dxfId="2179" priority="113">
      <formula>AND(C$9&gt;=14/24,C$9&lt;20/24)</formula>
    </cfRule>
    <cfRule type="expression" dxfId="2178" priority="115">
      <formula>C$9&lt;8/24</formula>
    </cfRule>
    <cfRule type="expression" dxfId="2177" priority="114">
      <formula>AND(C$9&gt;=8/24,C$9&lt;14/24)</formula>
    </cfRule>
  </conditionalFormatting>
  <conditionalFormatting sqref="B63:I74 J64:J74 E69:O74 P70:W74">
    <cfRule type="expression" dxfId="2176" priority="17">
      <formula>AND(B$9&gt;=8/24,B$9&lt;14/24)</formula>
    </cfRule>
    <cfRule type="expression" dxfId="2175" priority="15">
      <formula>B$9&gt;=20/24</formula>
    </cfRule>
    <cfRule type="expression" dxfId="2174" priority="16">
      <formula>AND(B$9&gt;=14/24,B$9&lt;20/24)</formula>
    </cfRule>
    <cfRule type="expression" dxfId="2173" priority="18">
      <formula>B$9&lt;8/24</formula>
    </cfRule>
  </conditionalFormatting>
  <conditionalFormatting sqref="B9:AF52">
    <cfRule type="expression" dxfId="2172" priority="24">
      <formula>B$9&gt;=20/24</formula>
    </cfRule>
    <cfRule type="expression" dxfId="2171" priority="25">
      <formula>AND(B$9&gt;=14/24,B$9&lt;20/24)</formula>
    </cfRule>
    <cfRule type="expression" dxfId="2170" priority="26">
      <formula>AND(B$9&gt;=8/24,B$9&lt;14/24)</formula>
    </cfRule>
    <cfRule type="expression" dxfId="2169" priority="27">
      <formula>B$9&lt;8/24</formula>
    </cfRule>
  </conditionalFormatting>
  <conditionalFormatting sqref="B11:AF54">
    <cfRule type="expression" dxfId="2168" priority="9">
      <formula>B11&gt;$AG11</formula>
    </cfRule>
  </conditionalFormatting>
  <conditionalFormatting sqref="B53:AF54">
    <cfRule type="expression" dxfId="2167" priority="5">
      <formula>B$9&gt;=20/24</formula>
    </cfRule>
    <cfRule type="expression" dxfId="2166" priority="6">
      <formula>AND(B$9&gt;=14/24,B$9&lt;20/24)</formula>
    </cfRule>
    <cfRule type="expression" dxfId="2165" priority="7">
      <formula>AND(B$9&gt;=8/24,B$9&lt;14/24)</formula>
    </cfRule>
    <cfRule type="expression" dxfId="2164" priority="8">
      <formula>B$9&lt;8/24</formula>
    </cfRule>
  </conditionalFormatting>
  <conditionalFormatting sqref="B55:AF55">
    <cfRule type="expression" dxfId="2163" priority="33">
      <formula>B55&gt;$AG55</formula>
    </cfRule>
  </conditionalFormatting>
  <conditionalFormatting sqref="B55:AF57">
    <cfRule type="expression" dxfId="2162" priority="32">
      <formula>B$9&lt;8/24</formula>
    </cfRule>
    <cfRule type="expression" dxfId="2161" priority="31">
      <formula>AND(B$9&gt;=8/24,B$9&lt;14/24)</formula>
    </cfRule>
    <cfRule type="expression" dxfId="2160" priority="29">
      <formula>B$9&gt;=20/24</formula>
    </cfRule>
    <cfRule type="expression" dxfId="2159" priority="30">
      <formula>AND(B$9&gt;=14/24,B$9&lt;20/24)</formula>
    </cfRule>
  </conditionalFormatting>
  <conditionalFormatting sqref="B56:AF61">
    <cfRule type="expression" dxfId="2158" priority="28">
      <formula>B56&gt;$AG56</formula>
    </cfRule>
  </conditionalFormatting>
  <conditionalFormatting sqref="B59:AF61">
    <cfRule type="expression" dxfId="2157" priority="42">
      <formula>B$9&lt;8/24</formula>
    </cfRule>
    <cfRule type="expression" dxfId="2156" priority="41">
      <formula>AND(B$9&gt;=8/24,B$9&lt;14/24)</formula>
    </cfRule>
    <cfRule type="expression" dxfId="2155" priority="40">
      <formula>AND(B$9&gt;=14/24,B$9&lt;20/24)</formula>
    </cfRule>
    <cfRule type="expression" dxfId="2154" priority="39">
      <formula>B$9&gt;=20/24</formula>
    </cfRule>
  </conditionalFormatting>
  <conditionalFormatting sqref="B63:AF74">
    <cfRule type="expression" dxfId="2153" priority="14">
      <formula>B63&gt;$AG63</formula>
    </cfRule>
  </conditionalFormatting>
  <conditionalFormatting sqref="B77:AF79">
    <cfRule type="expression" dxfId="2152" priority="47">
      <formula>B$9&lt;8/24</formula>
    </cfRule>
    <cfRule type="expression" dxfId="2151" priority="43">
      <formula>B77&gt;$AG77</formula>
    </cfRule>
    <cfRule type="expression" dxfId="2150" priority="45">
      <formula>AND(B$9&gt;=14/24,B$9&lt;20/24)</formula>
    </cfRule>
    <cfRule type="expression" dxfId="2149" priority="44">
      <formula>B$9&gt;=20/24</formula>
    </cfRule>
    <cfRule type="expression" dxfId="2148" priority="46">
      <formula>AND(B$9&gt;=8/24,B$9&lt;14/24)</formula>
    </cfRule>
  </conditionalFormatting>
  <conditionalFormatting sqref="B81:AF99">
    <cfRule type="expression" dxfId="2147" priority="12">
      <formula>AND(B$9&gt;=8/24,B$9&lt;14/24)</formula>
    </cfRule>
    <cfRule type="expression" dxfId="2146" priority="13">
      <formula>B$9&lt;8/24</formula>
    </cfRule>
    <cfRule type="expression" dxfId="2145" priority="11">
      <formula>AND(B$9&gt;=14/24,B$9&lt;20/24)</formula>
    </cfRule>
    <cfRule type="expression" dxfId="2144" priority="10">
      <formula>B$9&gt;=20/24</formula>
    </cfRule>
  </conditionalFormatting>
  <conditionalFormatting sqref="B101:AF117">
    <cfRule type="expression" dxfId="2143" priority="1">
      <formula>B$9&gt;=20/24</formula>
    </cfRule>
    <cfRule type="expression" dxfId="2142" priority="4">
      <formula>B$9&lt;8/24</formula>
    </cfRule>
    <cfRule type="expression" dxfId="2141" priority="3">
      <formula>AND(B$9&gt;=8/24,B$9&lt;14/24)</formula>
    </cfRule>
    <cfRule type="expression" dxfId="2140" priority="2">
      <formula>AND(B$9&gt;=14/24,B$9&lt;20/24)</formula>
    </cfRule>
  </conditionalFormatting>
  <conditionalFormatting sqref="B119:AF130">
    <cfRule type="expression" dxfId="2139" priority="22">
      <formula>B$9&lt;8/24</formula>
    </cfRule>
    <cfRule type="expression" dxfId="2138" priority="21">
      <formula>AND(B$9&gt;=8/24,B$9&lt;14/24)</formula>
    </cfRule>
    <cfRule type="expression" dxfId="2137" priority="20">
      <formula>AND(B$9&gt;=14/24,B$9&lt;20/24)</formula>
    </cfRule>
    <cfRule type="expression" dxfId="2136" priority="19">
      <formula>B$9&gt;=20/24</formula>
    </cfRule>
  </conditionalFormatting>
  <conditionalFormatting sqref="B237:AF237 B239:B245 D239:AF245 U258:AF258">
    <cfRule type="expression" dxfId="2135" priority="106">
      <formula>B$9&gt;=20/24</formula>
    </cfRule>
    <cfRule type="expression" dxfId="2134" priority="107">
      <formula>AND(B$9&gt;=14/24,B$9&lt;20/24)</formula>
    </cfRule>
    <cfRule type="expression" dxfId="2133" priority="109">
      <formula>B$9&lt;8/24</formula>
    </cfRule>
    <cfRule type="expression" dxfId="2132" priority="108">
      <formula>AND(B$9&gt;=8/24,B$9&lt;14/24)</formula>
    </cfRule>
  </conditionalFormatting>
  <conditionalFormatting sqref="B62:AG62">
    <cfRule type="expression" dxfId="2131" priority="48">
      <formula>B62&gt;$AG62</formula>
    </cfRule>
    <cfRule type="expression" dxfId="2130" priority="49">
      <formula>B$9&gt;=20/24</formula>
    </cfRule>
    <cfRule type="expression" dxfId="2129" priority="50">
      <formula>AND(B$9&gt;=14/24,B$9&lt;20/24)</formula>
    </cfRule>
    <cfRule type="expression" dxfId="2128" priority="51">
      <formula>AND(B$9&gt;=8/24,B$9&lt;14/24)</formula>
    </cfRule>
    <cfRule type="expression" dxfId="2127" priority="52">
      <formula>B$9&lt;8/24</formula>
    </cfRule>
  </conditionalFormatting>
  <conditionalFormatting sqref="B75:AG76 B80:AG80">
    <cfRule type="expression" dxfId="2126" priority="34">
      <formula>B75&gt;$AG75</formula>
    </cfRule>
  </conditionalFormatting>
  <conditionalFormatting sqref="B80:AG80">
    <cfRule type="expression" dxfId="2125" priority="38">
      <formula>B$9&lt;8/24</formula>
    </cfRule>
    <cfRule type="expression" dxfId="2124" priority="35">
      <formula>B$9&gt;=20/24</formula>
    </cfRule>
    <cfRule type="expression" dxfId="2123" priority="36">
      <formula>AND(B$9&gt;=14/24,B$9&lt;20/24)</formula>
    </cfRule>
    <cfRule type="expression" dxfId="2122" priority="37">
      <formula>AND(B$9&gt;=8/24,B$9&lt;14/24)</formula>
    </cfRule>
  </conditionalFormatting>
  <conditionalFormatting sqref="F63:M65">
    <cfRule type="expression" dxfId="2121" priority="87">
      <formula>F$9&gt;=20/24</formula>
    </cfRule>
    <cfRule type="expression" dxfId="2120" priority="88">
      <formula>AND(F$9&gt;=14/24,F$9&lt;20/24)</formula>
    </cfRule>
    <cfRule type="expression" dxfId="2119" priority="89">
      <formula>AND(F$9&gt;=8/24,F$9&lt;14/24)</formula>
    </cfRule>
    <cfRule type="expression" dxfId="2118" priority="90">
      <formula>F$9&lt;8/24</formula>
    </cfRule>
  </conditionalFormatting>
  <conditionalFormatting sqref="F68:W68">
    <cfRule type="expression" dxfId="2117" priority="64">
      <formula>F$9&gt;=20/24</formula>
    </cfRule>
    <cfRule type="expression" dxfId="2116" priority="65">
      <formula>AND(F$9&gt;=14/24,F$9&lt;20/24)</formula>
    </cfRule>
    <cfRule type="expression" dxfId="2115" priority="66">
      <formula>AND(F$9&gt;=8/24,F$9&lt;14/24)</formula>
    </cfRule>
    <cfRule type="expression" dxfId="2114" priority="67">
      <formula>F$9&lt;8/24</formula>
    </cfRule>
  </conditionalFormatting>
  <conditionalFormatting sqref="F69:AF74">
    <cfRule type="expression" dxfId="2113" priority="56">
      <formula>AND(F$9&gt;=8/24,F$9&lt;14/24)</formula>
    </cfRule>
    <cfRule type="expression" dxfId="2112" priority="54">
      <formula>F$9&gt;=20/24</formula>
    </cfRule>
    <cfRule type="expression" dxfId="2111" priority="55">
      <formula>AND(F$9&gt;=14/24,F$9&lt;20/24)</formula>
    </cfRule>
    <cfRule type="expression" dxfId="2110" priority="57">
      <formula>F$9&lt;8/24</formula>
    </cfRule>
  </conditionalFormatting>
  <conditionalFormatting sqref="N63:W67">
    <cfRule type="expression" dxfId="2109" priority="91">
      <formula>N$9&gt;=20/24</formula>
    </cfRule>
    <cfRule type="expression" dxfId="2108" priority="92">
      <formula>AND(N$9&gt;=14/24,N$9&lt;20/24)</formula>
    </cfRule>
    <cfRule type="expression" dxfId="2107" priority="93">
      <formula>AND(N$9&gt;=8/24,N$9&lt;14/24)</formula>
    </cfRule>
    <cfRule type="expression" dxfId="2106" priority="94">
      <formula>N$9&lt;8/24</formula>
    </cfRule>
  </conditionalFormatting>
  <conditionalFormatting sqref="O3:P3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105" priority="112">
      <formula>C$9&gt;=20/24</formula>
    </cfRule>
  </conditionalFormatting>
  <conditionalFormatting sqref="S8">
    <cfRule type="expression" dxfId="2104" priority="99">
      <formula>U$9&gt;=20/24</formula>
    </cfRule>
    <cfRule type="expression" dxfId="2103" priority="102">
      <formula>U$9&lt;8/24</formula>
    </cfRule>
    <cfRule type="expression" dxfId="2102" priority="101">
      <formula>AND(U$9&gt;=8/24,U$9&lt;14/24)</formula>
    </cfRule>
    <cfRule type="expression" dxfId="2101" priority="100">
      <formula>AND(U$9&gt;=14/24,U$9&lt;20/24)</formula>
    </cfRule>
  </conditionalFormatting>
  <conditionalFormatting sqref="S63:AF68">
    <cfRule type="expression" dxfId="2100" priority="61">
      <formula>S$9&lt;8/24</formula>
    </cfRule>
    <cfRule type="expression" dxfId="2099" priority="58">
      <formula>S$9&gt;=20/24</formula>
    </cfRule>
    <cfRule type="expression" dxfId="2098" priority="59">
      <formula>AND(S$9&gt;=14/24,S$9&lt;20/24)</formula>
    </cfRule>
    <cfRule type="expression" dxfId="2097" priority="60">
      <formula>AND(S$9&gt;=8/24,S$9&lt;14/24)</formula>
    </cfRule>
  </conditionalFormatting>
  <conditionalFormatting sqref="T258">
    <cfRule type="expression" dxfId="2096" priority="124">
      <formula>AX$9&gt;=20/24</formula>
    </cfRule>
    <cfRule type="expression" dxfId="2095" priority="125">
      <formula>AND(AX$9&gt;=14/24,AX$9&lt;20/24)</formula>
    </cfRule>
    <cfRule type="expression" dxfId="2094" priority="126">
      <formula>AND(AX$9&gt;=8/24,AX$9&lt;14/24)</formula>
    </cfRule>
    <cfRule type="expression" dxfId="2093" priority="127">
      <formula>AX$9&lt;8/24</formula>
    </cfRule>
  </conditionalFormatting>
  <conditionalFormatting sqref="V3 AB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092" priority="96">
      <formula>AND(AD$9&gt;=14/24,AD$9&lt;20/24)</formula>
    </cfRule>
    <cfRule type="expression" dxfId="2091" priority="95">
      <formula>AD$9&gt;=20/24</formula>
    </cfRule>
    <cfRule type="expression" dxfId="2090" priority="98">
      <formula>AD$9&lt;8/24</formula>
    </cfRule>
    <cfRule type="expression" dxfId="2089" priority="97">
      <formula>AND(AD$9&gt;=8/24,AD$9&lt;14/24)</formula>
    </cfRule>
  </conditionalFormatting>
  <conditionalFormatting sqref="AG58">
    <cfRule type="expression" dxfId="2088" priority="82">
      <formula>AG58&gt;$AG58</formula>
    </cfRule>
  </conditionalFormatting>
  <conditionalFormatting sqref="AG97">
    <cfRule type="expression" dxfId="2087" priority="85">
      <formula>AND(AG$9&gt;=8/24,AG$9&lt;14/24)</formula>
    </cfRule>
    <cfRule type="expression" dxfId="2086" priority="86">
      <formula>AG$9&lt;8/24</formula>
    </cfRule>
    <cfRule type="expression" dxfId="2085" priority="84">
      <formula>AND(AG$9&gt;=14/24,AG$9&lt;20/24)</formula>
    </cfRule>
    <cfRule type="expression" dxfId="2084" priority="83">
      <formula>AG$9&gt;=20/24</formula>
    </cfRule>
  </conditionalFormatting>
  <conditionalFormatting sqref="AG258">
    <cfRule type="expression" dxfId="2083" priority="116">
      <formula>B$9&gt;=20/24</formula>
    </cfRule>
    <cfRule type="expression" dxfId="2082" priority="117">
      <formula>AND(B$9&gt;=14/24,B$9&lt;20/24)</formula>
    </cfRule>
    <cfRule type="expression" dxfId="2081" priority="118">
      <formula>AND(B$9&gt;=8/24,B$9&lt;14/24)</formula>
    </cfRule>
    <cfRule type="expression" dxfId="2080" priority="119">
      <formula>B$9&lt;8/24</formula>
    </cfRule>
  </conditionalFormatting>
  <conditionalFormatting sqref="AH258:AX258">
    <cfRule type="expression" dxfId="2079" priority="120">
      <formula>AG$9&gt;=20/24</formula>
    </cfRule>
    <cfRule type="expression" dxfId="2078" priority="121">
      <formula>AND(AG$9&gt;=14/24,AG$9&lt;20/24)</formula>
    </cfRule>
    <cfRule type="expression" dxfId="2077" priority="122">
      <formula>AND(AG$9&gt;=8/24,AG$9&lt;14/24)</formula>
    </cfRule>
    <cfRule type="expression" dxfId="2076" priority="123">
      <formula>AG$9&lt;8/24</formula>
    </cfRule>
  </conditionalFormatting>
  <conditionalFormatting sqref="AL4:AL6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075" priority="129">
      <formula>AJ$9&gt;=20/24</formula>
    </cfRule>
    <cfRule type="expression" dxfId="2074" priority="130">
      <formula>AND(AJ$9&gt;=14/24,AJ$9&lt;20/24)</formula>
    </cfRule>
    <cfRule type="expression" dxfId="2073" priority="131">
      <formula>AND(AJ$9&gt;=8/24,AJ$9&lt;14/24)</formula>
    </cfRule>
    <cfRule type="expression" dxfId="2072" priority="132">
      <formula>AJ$9&lt;8/24</formula>
    </cfRule>
  </conditionalFormatting>
  <conditionalFormatting sqref="AL88:AN88 AL94:AN94">
    <cfRule type="expression" dxfId="2071" priority="75">
      <formula>AL$9&gt;=20/24</formula>
    </cfRule>
    <cfRule type="expression" dxfId="2070" priority="76">
      <formula>AND(AL$9&gt;=14/24,AL$9&lt;20/24)</formula>
    </cfRule>
    <cfRule type="expression" dxfId="2069" priority="77">
      <formula>AND(AL$9&gt;=8/24,AL$9&lt;14/24)</formula>
    </cfRule>
    <cfRule type="expression" dxfId="2068" priority="78">
      <formula>AL$9&lt;8/24</formula>
    </cfRule>
  </conditionalFormatting>
  <conditionalFormatting sqref="AN89:AN92">
    <cfRule type="expression" dxfId="2067" priority="71">
      <formula>AN$9&gt;=20/24</formula>
    </cfRule>
    <cfRule type="expression" dxfId="2066" priority="72">
      <formula>AND(AN$9&gt;=14/24,AN$9&lt;20/24)</formula>
    </cfRule>
    <cfRule type="expression" dxfId="2065" priority="73">
      <formula>AND(AN$9&gt;=8/24,AN$9&lt;14/24)</formula>
    </cfRule>
    <cfRule type="expression" dxfId="2064" priority="7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A7FA-F5E9-4462-B12D-974D71D96753}">
  <sheetPr codeName="Sheet16"/>
  <dimension ref="A1:CJ291"/>
  <sheetViews>
    <sheetView zoomScale="106" workbookViewId="0">
      <pane xSplit="1" ySplit="10" topLeftCell="L49" activePane="bottomRight" state="frozen"/>
      <selection activeCell="P118" sqref="P118"/>
      <selection pane="topRight" activeCell="P118" sqref="P118"/>
      <selection pane="bottomLeft" activeCell="P118" sqref="P118"/>
      <selection pane="bottomRight" activeCell="AF63" sqref="AF6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2080/09/15</v>
      </c>
      <c r="C4" s="246"/>
      <c r="D4" s="246"/>
      <c r="E4" s="247" t="str">
        <f ca="1">"2080/"&amp;"09/"&amp;INT(MID(CELL("filename",G6),FIND("]",CELL("filename",G6))+1,200))</f>
        <v>2080/09/15</v>
      </c>
      <c r="F4" s="247"/>
      <c r="G4" s="247"/>
      <c r="H4" s="247" t="str">
        <f ca="1">TEXT(E4,"dddd")</f>
        <v>Sunday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86</v>
      </c>
      <c r="C5" s="30">
        <f t="shared" si="0"/>
        <v>75.599999999999994</v>
      </c>
      <c r="D5" s="30">
        <f t="shared" si="0"/>
        <v>87</v>
      </c>
      <c r="E5" s="30">
        <f t="shared" si="0"/>
        <v>44.4</v>
      </c>
      <c r="F5" s="30">
        <f t="shared" si="0"/>
        <v>71.8</v>
      </c>
      <c r="G5" s="30">
        <f t="shared" si="0"/>
        <v>117</v>
      </c>
      <c r="H5" s="30">
        <f t="shared" si="0"/>
        <v>236</v>
      </c>
      <c r="I5" s="30">
        <f t="shared" si="0"/>
        <v>201.5</v>
      </c>
      <c r="J5" s="30">
        <f t="shared" si="0"/>
        <v>171.10000000000002</v>
      </c>
      <c r="K5" s="30">
        <f t="shared" si="0"/>
        <v>183.5</v>
      </c>
      <c r="L5" s="30">
        <f t="shared" si="0"/>
        <v>126.8</v>
      </c>
      <c r="M5" s="30">
        <f t="shared" si="0"/>
        <v>58.6</v>
      </c>
      <c r="N5" s="30">
        <f t="shared" si="0"/>
        <v>49.9</v>
      </c>
      <c r="O5" s="30">
        <f t="shared" si="0"/>
        <v>248.6</v>
      </c>
      <c r="P5" s="30">
        <f t="shared" si="0"/>
        <v>202.1</v>
      </c>
      <c r="Q5" s="30">
        <f t="shared" si="0"/>
        <v>207.4</v>
      </c>
      <c r="R5" s="30">
        <f t="shared" si="0"/>
        <v>259.39999999999998</v>
      </c>
      <c r="S5" s="30">
        <f t="shared" si="0"/>
        <v>297.2</v>
      </c>
      <c r="T5" s="30">
        <f t="shared" si="0"/>
        <v>384.2</v>
      </c>
      <c r="U5" s="30">
        <f t="shared" si="0"/>
        <v>378.90000000000003</v>
      </c>
      <c r="V5" s="30">
        <f t="shared" si="0"/>
        <v>61.1</v>
      </c>
      <c r="W5" s="30">
        <f t="shared" si="0"/>
        <v>41.9</v>
      </c>
      <c r="X5" s="30">
        <f t="shared" si="0"/>
        <v>95.4</v>
      </c>
      <c r="Y5" s="30">
        <f t="shared" si="0"/>
        <v>135.19999999999999</v>
      </c>
      <c r="Z5" s="30">
        <f t="shared" si="0"/>
        <v>194</v>
      </c>
      <c r="AA5" s="30">
        <f t="shared" si="0"/>
        <v>226.9</v>
      </c>
      <c r="AB5" s="30">
        <f t="shared" si="0"/>
        <v>237.10000000000002</v>
      </c>
      <c r="AC5" s="30">
        <f t="shared" si="0"/>
        <v>243.9</v>
      </c>
      <c r="AD5" s="30">
        <f t="shared" si="0"/>
        <v>175.7</v>
      </c>
      <c r="AE5" s="30">
        <f t="shared" si="0"/>
        <v>174.2</v>
      </c>
      <c r="AF5" s="30">
        <f>B92</f>
        <v>143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1641MW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Load=896</v>
      </c>
      <c r="B7" s="35">
        <f>B100</f>
        <v>940.2670833333334</v>
      </c>
      <c r="C7" s="35">
        <f t="shared" ref="C7:AF7" si="1">C100</f>
        <v>911.46708333333333</v>
      </c>
      <c r="D7" s="35">
        <f t="shared" si="1"/>
        <v>895.56708333333336</v>
      </c>
      <c r="E7" s="35">
        <f t="shared" si="1"/>
        <v>909.66708333333338</v>
      </c>
      <c r="F7" s="35">
        <f t="shared" si="1"/>
        <v>909.06708333333336</v>
      </c>
      <c r="G7" s="35">
        <f t="shared" si="1"/>
        <v>989.06708333333336</v>
      </c>
      <c r="H7" s="35">
        <f t="shared" si="1"/>
        <v>1077.8670833333333</v>
      </c>
      <c r="I7" s="35">
        <f t="shared" si="1"/>
        <v>1218.7670833333334</v>
      </c>
      <c r="J7" s="35">
        <f t="shared" si="1"/>
        <v>1356.2670833333334</v>
      </c>
      <c r="K7" s="35">
        <f t="shared" si="1"/>
        <v>1446.4670833333334</v>
      </c>
      <c r="L7" s="35">
        <f t="shared" si="1"/>
        <v>1562.8670833333333</v>
      </c>
      <c r="M7" s="35">
        <f t="shared" si="1"/>
        <v>1611.2670833333334</v>
      </c>
      <c r="N7" s="35">
        <f t="shared" si="1"/>
        <v>1641.2670833333334</v>
      </c>
      <c r="O7" s="35">
        <f t="shared" si="1"/>
        <v>1590.1670833333335</v>
      </c>
      <c r="P7" s="35">
        <f t="shared" si="1"/>
        <v>1493.8670833333333</v>
      </c>
      <c r="Q7" s="35">
        <f t="shared" si="1"/>
        <v>1407.3670833333333</v>
      </c>
      <c r="R7" s="35">
        <f t="shared" si="1"/>
        <v>1335.5670833333334</v>
      </c>
      <c r="S7" s="35">
        <f t="shared" si="1"/>
        <v>1339.7670833333332</v>
      </c>
      <c r="T7" s="35">
        <f t="shared" si="1"/>
        <v>1346.0670833333334</v>
      </c>
      <c r="U7" s="35">
        <f t="shared" si="1"/>
        <v>1351.3670833333335</v>
      </c>
      <c r="V7" s="35">
        <f t="shared" si="1"/>
        <v>1617.8670833333335</v>
      </c>
      <c r="W7" s="35">
        <f t="shared" si="1"/>
        <v>1564.5670833333334</v>
      </c>
      <c r="X7" s="35">
        <f t="shared" si="1"/>
        <v>1705.0670833333334</v>
      </c>
      <c r="Y7" s="35">
        <f t="shared" si="1"/>
        <v>1635.9670833333334</v>
      </c>
      <c r="Z7" s="35">
        <f t="shared" si="1"/>
        <v>1566.0670833333336</v>
      </c>
      <c r="AA7" s="35">
        <f t="shared" si="1"/>
        <v>1479.9670833333334</v>
      </c>
      <c r="AB7" s="35">
        <f t="shared" si="1"/>
        <v>1421.7670833333336</v>
      </c>
      <c r="AC7" s="35">
        <f t="shared" si="1"/>
        <v>1354.1670833333333</v>
      </c>
      <c r="AD7" s="35">
        <f t="shared" si="1"/>
        <v>1245.8670833333335</v>
      </c>
      <c r="AE7" s="35">
        <f t="shared" si="1"/>
        <v>1110.1670833333335</v>
      </c>
      <c r="AF7" s="35">
        <f t="shared" si="1"/>
        <v>1069.5670833333334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38.700000000000003</v>
      </c>
      <c r="C11" s="45">
        <v>44.9</v>
      </c>
      <c r="D11" s="45">
        <v>44.9</v>
      </c>
      <c r="E11" s="45">
        <v>44.9</v>
      </c>
      <c r="F11" s="45">
        <v>44.9</v>
      </c>
      <c r="G11" s="45">
        <v>44.9</v>
      </c>
      <c r="H11" s="45">
        <v>44.9</v>
      </c>
      <c r="I11" s="45">
        <v>44.9</v>
      </c>
      <c r="J11" s="45">
        <v>44.9</v>
      </c>
      <c r="K11" s="45">
        <v>44.9</v>
      </c>
      <c r="L11" s="45">
        <v>44.9</v>
      </c>
      <c r="M11" s="45">
        <v>44.9</v>
      </c>
      <c r="N11" s="45">
        <v>44.9</v>
      </c>
      <c r="O11" s="45">
        <v>44.9</v>
      </c>
      <c r="P11" s="45">
        <v>44.9</v>
      </c>
      <c r="Q11" s="45">
        <v>44.9</v>
      </c>
      <c r="R11" s="45">
        <v>44.9</v>
      </c>
      <c r="S11" s="45">
        <v>44.9</v>
      </c>
      <c r="T11" s="45">
        <v>44.9</v>
      </c>
      <c r="U11" s="45">
        <v>44.9</v>
      </c>
      <c r="V11" s="45">
        <v>44.9</v>
      </c>
      <c r="W11" s="45">
        <v>44.9</v>
      </c>
      <c r="X11" s="45">
        <v>44.9</v>
      </c>
      <c r="Y11" s="45">
        <v>44.9</v>
      </c>
      <c r="Z11" s="45">
        <v>44.9</v>
      </c>
      <c r="AA11" s="45">
        <v>44.9</v>
      </c>
      <c r="AB11" s="45">
        <v>37.4</v>
      </c>
      <c r="AC11" s="45">
        <v>46.3</v>
      </c>
      <c r="AD11" s="45">
        <v>43.5</v>
      </c>
      <c r="AE11" s="45">
        <v>37.4</v>
      </c>
      <c r="AF11" s="45">
        <v>38.700000000000003</v>
      </c>
      <c r="AG11" s="46">
        <v>86</v>
      </c>
      <c r="AH11" s="47">
        <f t="shared" ref="AH11:AH84" si="2">MAX(B11:AF11)</f>
        <v>46.3</v>
      </c>
      <c r="AI11" s="48">
        <f t="shared" ref="AI11:AI84" si="3">MIN(B11:AF11)</f>
        <v>37.4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14.8</v>
      </c>
      <c r="C12" s="45">
        <v>14.8</v>
      </c>
      <c r="D12" s="45">
        <v>14.8</v>
      </c>
      <c r="E12" s="45">
        <v>14.8</v>
      </c>
      <c r="F12" s="45">
        <v>14.8</v>
      </c>
      <c r="G12" s="45">
        <v>14.8</v>
      </c>
      <c r="H12" s="45">
        <v>14.8</v>
      </c>
      <c r="I12" s="45">
        <v>14.8</v>
      </c>
      <c r="J12" s="45">
        <v>14.8</v>
      </c>
      <c r="K12" s="45">
        <v>14.8</v>
      </c>
      <c r="L12" s="45">
        <v>14.8</v>
      </c>
      <c r="M12" s="45">
        <v>14.8</v>
      </c>
      <c r="N12" s="45">
        <v>14.8</v>
      </c>
      <c r="O12" s="45">
        <v>14.8</v>
      </c>
      <c r="P12" s="45">
        <v>14.8</v>
      </c>
      <c r="Q12" s="45">
        <v>14.8</v>
      </c>
      <c r="R12" s="45">
        <v>14.8</v>
      </c>
      <c r="S12" s="45">
        <v>14.8</v>
      </c>
      <c r="T12" s="45">
        <v>14.8</v>
      </c>
      <c r="U12" s="45">
        <v>14.8</v>
      </c>
      <c r="V12" s="45">
        <v>14.8</v>
      </c>
      <c r="W12" s="45">
        <v>14.8</v>
      </c>
      <c r="X12" s="45">
        <v>14.8</v>
      </c>
      <c r="Y12" s="45">
        <v>14.8</v>
      </c>
      <c r="Z12" s="45">
        <v>14.8</v>
      </c>
      <c r="AA12" s="45">
        <v>14.8</v>
      </c>
      <c r="AB12" s="45">
        <v>14.8</v>
      </c>
      <c r="AC12" s="45">
        <v>14.8</v>
      </c>
      <c r="AD12" s="45">
        <v>14.8</v>
      </c>
      <c r="AE12" s="45">
        <v>14.8</v>
      </c>
      <c r="AF12" s="45">
        <v>14.8</v>
      </c>
      <c r="AG12" s="49">
        <v>54</v>
      </c>
      <c r="AH12" s="47">
        <f t="shared" si="2"/>
        <v>14.8</v>
      </c>
      <c r="AI12" s="48">
        <f t="shared" si="3"/>
        <v>14.8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18</v>
      </c>
      <c r="C13" s="45">
        <v>18</v>
      </c>
      <c r="D13" s="45">
        <v>18</v>
      </c>
      <c r="E13" s="45">
        <v>18</v>
      </c>
      <c r="F13" s="45">
        <v>18</v>
      </c>
      <c r="G13" s="45">
        <v>18</v>
      </c>
      <c r="H13" s="45">
        <v>18</v>
      </c>
      <c r="I13" s="45">
        <v>18</v>
      </c>
      <c r="J13" s="45">
        <v>18</v>
      </c>
      <c r="K13" s="45">
        <v>18</v>
      </c>
      <c r="L13" s="45">
        <v>18</v>
      </c>
      <c r="M13" s="45">
        <v>18</v>
      </c>
      <c r="N13" s="45">
        <v>18</v>
      </c>
      <c r="O13" s="45">
        <v>18</v>
      </c>
      <c r="P13" s="45">
        <v>18</v>
      </c>
      <c r="Q13" s="45">
        <v>18</v>
      </c>
      <c r="R13" s="45">
        <v>18</v>
      </c>
      <c r="S13" s="45">
        <v>18</v>
      </c>
      <c r="T13" s="45">
        <v>18</v>
      </c>
      <c r="U13" s="45">
        <v>18</v>
      </c>
      <c r="V13" s="45">
        <v>18</v>
      </c>
      <c r="W13" s="45">
        <v>18</v>
      </c>
      <c r="X13" s="45">
        <v>18</v>
      </c>
      <c r="Y13" s="45">
        <v>18</v>
      </c>
      <c r="Z13" s="45">
        <v>18</v>
      </c>
      <c r="AA13" s="45">
        <v>18</v>
      </c>
      <c r="AB13" s="45">
        <v>18</v>
      </c>
      <c r="AC13" s="45">
        <v>18</v>
      </c>
      <c r="AD13" s="45">
        <v>18</v>
      </c>
      <c r="AE13" s="45">
        <v>18</v>
      </c>
      <c r="AF13" s="45">
        <v>18</v>
      </c>
      <c r="AG13" s="49">
        <v>54</v>
      </c>
      <c r="AH13" s="47">
        <f t="shared" si="2"/>
        <v>18</v>
      </c>
      <c r="AI13" s="48">
        <f t="shared" si="3"/>
        <v>18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19.899999999999999</v>
      </c>
      <c r="C14" s="45">
        <v>19.899999999999999</v>
      </c>
      <c r="D14" s="45">
        <v>19.899999999999999</v>
      </c>
      <c r="E14" s="45">
        <v>19.899999999999999</v>
      </c>
      <c r="F14" s="45">
        <v>19.899999999999999</v>
      </c>
      <c r="G14" s="45">
        <v>19.899999999999999</v>
      </c>
      <c r="H14" s="45">
        <v>19.899999999999999</v>
      </c>
      <c r="I14" s="45">
        <v>19.899999999999999</v>
      </c>
      <c r="J14" s="45">
        <v>19.899999999999999</v>
      </c>
      <c r="K14" s="45">
        <v>19.899999999999999</v>
      </c>
      <c r="L14" s="45">
        <v>19.899999999999999</v>
      </c>
      <c r="M14" s="45">
        <v>19.899999999999999</v>
      </c>
      <c r="N14" s="45">
        <v>19.899999999999999</v>
      </c>
      <c r="O14" s="45">
        <v>19.899999999999999</v>
      </c>
      <c r="P14" s="45">
        <v>19.899999999999999</v>
      </c>
      <c r="Q14" s="45">
        <v>19.899999999999999</v>
      </c>
      <c r="R14" s="45">
        <v>19.899999999999999</v>
      </c>
      <c r="S14" s="45">
        <v>19.899999999999999</v>
      </c>
      <c r="T14" s="45">
        <v>19.899999999999999</v>
      </c>
      <c r="U14" s="45">
        <v>19.899999999999999</v>
      </c>
      <c r="V14" s="45">
        <v>19.899999999999999</v>
      </c>
      <c r="W14" s="45">
        <v>19.899999999999999</v>
      </c>
      <c r="X14" s="45">
        <v>19.899999999999999</v>
      </c>
      <c r="Y14" s="45">
        <v>19.899999999999999</v>
      </c>
      <c r="Z14" s="45">
        <v>19.899999999999999</v>
      </c>
      <c r="AA14" s="45">
        <v>19.899999999999999</v>
      </c>
      <c r="AB14" s="45">
        <v>19.899999999999999</v>
      </c>
      <c r="AC14" s="45">
        <v>19.899999999999999</v>
      </c>
      <c r="AD14" s="45">
        <v>19.899999999999999</v>
      </c>
      <c r="AE14" s="45">
        <v>21</v>
      </c>
      <c r="AF14" s="45">
        <v>19.899999999999999</v>
      </c>
      <c r="AG14" s="46">
        <v>52.4</v>
      </c>
      <c r="AH14" s="47">
        <f t="shared" si="2"/>
        <v>21</v>
      </c>
      <c r="AI14" s="48">
        <f t="shared" si="3"/>
        <v>19.899999999999999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41.9</v>
      </c>
      <c r="C15" s="45">
        <v>41.9</v>
      </c>
      <c r="D15" s="45">
        <v>41.9</v>
      </c>
      <c r="E15" s="45">
        <v>41.9</v>
      </c>
      <c r="F15" s="45">
        <v>41.9</v>
      </c>
      <c r="G15" s="45">
        <v>41.9</v>
      </c>
      <c r="H15" s="45">
        <v>41.9</v>
      </c>
      <c r="I15" s="45">
        <v>41.9</v>
      </c>
      <c r="J15" s="45">
        <v>41.9</v>
      </c>
      <c r="K15" s="45">
        <v>41.9</v>
      </c>
      <c r="L15" s="45">
        <v>41.9</v>
      </c>
      <c r="M15" s="45">
        <v>41.9</v>
      </c>
      <c r="N15" s="45">
        <v>41.9</v>
      </c>
      <c r="O15" s="45">
        <v>41.9</v>
      </c>
      <c r="P15" s="45">
        <v>41.9</v>
      </c>
      <c r="Q15" s="45">
        <v>41.9</v>
      </c>
      <c r="R15" s="45">
        <v>41.9</v>
      </c>
      <c r="S15" s="45">
        <v>41.9</v>
      </c>
      <c r="T15" s="45">
        <v>41.9</v>
      </c>
      <c r="U15" s="45">
        <v>41.9</v>
      </c>
      <c r="V15" s="45">
        <v>41.9</v>
      </c>
      <c r="W15" s="45">
        <v>41.9</v>
      </c>
      <c r="X15" s="51">
        <v>41.9</v>
      </c>
      <c r="Y15" s="51">
        <v>41.9</v>
      </c>
      <c r="Z15" s="51">
        <v>41.9</v>
      </c>
      <c r="AA15" s="51">
        <v>41.9</v>
      </c>
      <c r="AB15" s="51">
        <v>41.9</v>
      </c>
      <c r="AC15" s="51">
        <v>41.9</v>
      </c>
      <c r="AD15" s="51">
        <v>41.9</v>
      </c>
      <c r="AE15" s="51">
        <v>41.2</v>
      </c>
      <c r="AF15" s="51">
        <v>41.6</v>
      </c>
      <c r="AG15" s="49">
        <v>50</v>
      </c>
      <c r="AH15" s="47">
        <f t="shared" si="2"/>
        <v>41.9</v>
      </c>
      <c r="AI15" s="48">
        <f t="shared" si="3"/>
        <v>41.2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23.8</v>
      </c>
      <c r="C16" s="45">
        <v>23.8</v>
      </c>
      <c r="D16" s="45">
        <v>23.8</v>
      </c>
      <c r="E16" s="45">
        <v>23.8</v>
      </c>
      <c r="F16" s="45">
        <v>23.8</v>
      </c>
      <c r="G16" s="45">
        <v>23.8</v>
      </c>
      <c r="H16" s="45">
        <v>23.8</v>
      </c>
      <c r="I16" s="45">
        <v>23.8</v>
      </c>
      <c r="J16" s="45">
        <v>23.8</v>
      </c>
      <c r="K16" s="45">
        <v>23.8</v>
      </c>
      <c r="L16" s="45">
        <v>23.8</v>
      </c>
      <c r="M16" s="45">
        <v>23.8</v>
      </c>
      <c r="N16" s="45">
        <v>23.8</v>
      </c>
      <c r="O16" s="45">
        <v>23.8</v>
      </c>
      <c r="P16" s="45">
        <v>23.8</v>
      </c>
      <c r="Q16" s="45">
        <v>23.8</v>
      </c>
      <c r="R16" s="45">
        <v>23.8</v>
      </c>
      <c r="S16" s="45">
        <v>23.8</v>
      </c>
      <c r="T16" s="45">
        <v>23.8</v>
      </c>
      <c r="U16" s="45">
        <v>23.8</v>
      </c>
      <c r="V16" s="45">
        <v>23.8</v>
      </c>
      <c r="W16" s="45">
        <v>23.8</v>
      </c>
      <c r="X16" s="45">
        <v>23.8</v>
      </c>
      <c r="Y16" s="45">
        <v>23.8</v>
      </c>
      <c r="Z16" s="45">
        <v>23.8</v>
      </c>
      <c r="AA16" s="45">
        <v>23.8</v>
      </c>
      <c r="AB16" s="45">
        <v>23.8</v>
      </c>
      <c r="AC16" s="45">
        <v>23.8</v>
      </c>
      <c r="AD16" s="45">
        <v>23.8</v>
      </c>
      <c r="AE16" s="45">
        <v>22.4</v>
      </c>
      <c r="AF16" s="45">
        <v>22.4</v>
      </c>
      <c r="AG16" s="49">
        <v>45</v>
      </c>
      <c r="AH16" s="47">
        <f t="shared" si="2"/>
        <v>23.8</v>
      </c>
      <c r="AI16" s="48">
        <f t="shared" si="3"/>
        <v>22.4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12</v>
      </c>
      <c r="C18" s="45">
        <v>12</v>
      </c>
      <c r="D18" s="45">
        <v>12</v>
      </c>
      <c r="E18" s="45">
        <v>12</v>
      </c>
      <c r="F18" s="45">
        <v>12</v>
      </c>
      <c r="G18" s="45">
        <v>12</v>
      </c>
      <c r="H18" s="45">
        <v>12</v>
      </c>
      <c r="I18" s="45">
        <v>12</v>
      </c>
      <c r="J18" s="45">
        <v>12</v>
      </c>
      <c r="K18" s="45">
        <v>12</v>
      </c>
      <c r="L18" s="45">
        <v>12</v>
      </c>
      <c r="M18" s="45">
        <v>12</v>
      </c>
      <c r="N18" s="45">
        <v>12</v>
      </c>
      <c r="O18" s="45">
        <v>12</v>
      </c>
      <c r="P18" s="45">
        <v>12</v>
      </c>
      <c r="Q18" s="45">
        <v>12</v>
      </c>
      <c r="R18" s="45">
        <v>12</v>
      </c>
      <c r="S18" s="45">
        <v>12</v>
      </c>
      <c r="T18" s="45">
        <v>12</v>
      </c>
      <c r="U18" s="45">
        <v>12</v>
      </c>
      <c r="V18" s="45">
        <v>12</v>
      </c>
      <c r="W18" s="45">
        <v>12</v>
      </c>
      <c r="X18" s="45">
        <v>12</v>
      </c>
      <c r="Y18" s="45">
        <v>12</v>
      </c>
      <c r="Z18" s="45">
        <v>12</v>
      </c>
      <c r="AA18" s="45">
        <v>12</v>
      </c>
      <c r="AB18" s="45">
        <v>12</v>
      </c>
      <c r="AC18" s="45">
        <v>12</v>
      </c>
      <c r="AD18" s="45">
        <v>12</v>
      </c>
      <c r="AE18" s="45">
        <v>11.5</v>
      </c>
      <c r="AF18" s="45">
        <v>12</v>
      </c>
      <c r="AG18" s="49">
        <v>42</v>
      </c>
      <c r="AH18" s="47">
        <f t="shared" si="2"/>
        <v>12</v>
      </c>
      <c r="AI18" s="48">
        <f t="shared" si="3"/>
        <v>11.5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f t="shared" ref="B20:AF20" si="4">299.69/24</f>
        <v>12.487083333333333</v>
      </c>
      <c r="C20" s="45">
        <f t="shared" si="4"/>
        <v>12.487083333333333</v>
      </c>
      <c r="D20" s="45">
        <f t="shared" si="4"/>
        <v>12.487083333333333</v>
      </c>
      <c r="E20" s="45">
        <f t="shared" si="4"/>
        <v>12.487083333333333</v>
      </c>
      <c r="F20" s="45">
        <f t="shared" si="4"/>
        <v>12.487083333333333</v>
      </c>
      <c r="G20" s="45">
        <f t="shared" si="4"/>
        <v>12.487083333333333</v>
      </c>
      <c r="H20" s="45">
        <f t="shared" si="4"/>
        <v>12.487083333333333</v>
      </c>
      <c r="I20" s="45">
        <f t="shared" si="4"/>
        <v>12.487083333333333</v>
      </c>
      <c r="J20" s="45">
        <f t="shared" si="4"/>
        <v>12.487083333333333</v>
      </c>
      <c r="K20" s="45">
        <f t="shared" si="4"/>
        <v>12.487083333333333</v>
      </c>
      <c r="L20" s="45">
        <f t="shared" si="4"/>
        <v>12.487083333333333</v>
      </c>
      <c r="M20" s="45">
        <f t="shared" si="4"/>
        <v>12.487083333333333</v>
      </c>
      <c r="N20" s="45">
        <f t="shared" si="4"/>
        <v>12.487083333333333</v>
      </c>
      <c r="O20" s="45">
        <f t="shared" si="4"/>
        <v>12.487083333333333</v>
      </c>
      <c r="P20" s="45">
        <f t="shared" si="4"/>
        <v>12.487083333333333</v>
      </c>
      <c r="Q20" s="45">
        <f t="shared" si="4"/>
        <v>12.487083333333333</v>
      </c>
      <c r="R20" s="45">
        <f t="shared" si="4"/>
        <v>12.487083333333333</v>
      </c>
      <c r="S20" s="45">
        <f t="shared" si="4"/>
        <v>12.487083333333333</v>
      </c>
      <c r="T20" s="45">
        <f t="shared" si="4"/>
        <v>12.487083333333333</v>
      </c>
      <c r="U20" s="45">
        <f t="shared" si="4"/>
        <v>12.487083333333333</v>
      </c>
      <c r="V20" s="45">
        <f t="shared" si="4"/>
        <v>12.487083333333333</v>
      </c>
      <c r="W20" s="45">
        <f t="shared" si="4"/>
        <v>12.487083333333333</v>
      </c>
      <c r="X20" s="45">
        <f t="shared" si="4"/>
        <v>12.487083333333333</v>
      </c>
      <c r="Y20" s="45">
        <f t="shared" si="4"/>
        <v>12.487083333333333</v>
      </c>
      <c r="Z20" s="45">
        <f t="shared" si="4"/>
        <v>12.487083333333333</v>
      </c>
      <c r="AA20" s="45">
        <f t="shared" si="4"/>
        <v>12.487083333333333</v>
      </c>
      <c r="AB20" s="45">
        <f t="shared" si="4"/>
        <v>12.487083333333333</v>
      </c>
      <c r="AC20" s="45">
        <f t="shared" si="4"/>
        <v>12.487083333333333</v>
      </c>
      <c r="AD20" s="45">
        <f t="shared" si="4"/>
        <v>12.487083333333333</v>
      </c>
      <c r="AE20" s="45">
        <f t="shared" si="4"/>
        <v>12.487083333333333</v>
      </c>
      <c r="AF20" s="45">
        <f t="shared" si="4"/>
        <v>12.487083333333333</v>
      </c>
      <c r="AG20" s="49">
        <v>38.46</v>
      </c>
      <c r="AH20" s="47">
        <f t="shared" si="2"/>
        <v>12.487083333333333</v>
      </c>
      <c r="AI20" s="48">
        <f t="shared" si="3"/>
        <v>12.487083333333333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11.5</v>
      </c>
      <c r="C22" s="45">
        <v>11.5</v>
      </c>
      <c r="D22" s="45">
        <v>11.5</v>
      </c>
      <c r="E22" s="45">
        <v>11.5</v>
      </c>
      <c r="F22" s="45">
        <v>11.5</v>
      </c>
      <c r="G22" s="45">
        <v>11.5</v>
      </c>
      <c r="H22" s="45">
        <v>11.5</v>
      </c>
      <c r="I22" s="45">
        <v>11.5</v>
      </c>
      <c r="J22" s="45">
        <v>11.5</v>
      </c>
      <c r="K22" s="45">
        <v>11.5</v>
      </c>
      <c r="L22" s="45">
        <v>11.5</v>
      </c>
      <c r="M22" s="45">
        <v>11.5</v>
      </c>
      <c r="N22" s="45">
        <v>11.5</v>
      </c>
      <c r="O22" s="45">
        <v>11.5</v>
      </c>
      <c r="P22" s="45">
        <v>11.5</v>
      </c>
      <c r="Q22" s="45">
        <v>11.5</v>
      </c>
      <c r="R22" s="45">
        <v>11.5</v>
      </c>
      <c r="S22" s="45">
        <v>11.5</v>
      </c>
      <c r="T22" s="45">
        <v>11.5</v>
      </c>
      <c r="U22" s="45">
        <v>11.5</v>
      </c>
      <c r="V22" s="45">
        <v>11.5</v>
      </c>
      <c r="W22" s="45">
        <v>11.5</v>
      </c>
      <c r="X22" s="45">
        <v>11.5</v>
      </c>
      <c r="Y22" s="45">
        <v>11.5</v>
      </c>
      <c r="Z22" s="45">
        <v>11.5</v>
      </c>
      <c r="AA22" s="45">
        <v>11.5</v>
      </c>
      <c r="AB22" s="45">
        <v>11.5</v>
      </c>
      <c r="AC22" s="45">
        <v>11.5</v>
      </c>
      <c r="AD22" s="45">
        <v>11.5</v>
      </c>
      <c r="AE22" s="45">
        <v>11.5</v>
      </c>
      <c r="AF22" s="45">
        <v>11.5</v>
      </c>
      <c r="AG22" s="52">
        <v>30</v>
      </c>
      <c r="AH22" s="47">
        <f t="shared" si="2"/>
        <v>11.5</v>
      </c>
      <c r="AI22" s="48">
        <f t="shared" si="3"/>
        <v>11.5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11</v>
      </c>
      <c r="C23" s="45">
        <v>11</v>
      </c>
      <c r="D23" s="45">
        <v>11</v>
      </c>
      <c r="E23" s="45">
        <v>11</v>
      </c>
      <c r="F23" s="45">
        <v>11</v>
      </c>
      <c r="G23" s="45">
        <v>11</v>
      </c>
      <c r="H23" s="45">
        <v>11</v>
      </c>
      <c r="I23" s="45">
        <v>11</v>
      </c>
      <c r="J23" s="45">
        <v>11</v>
      </c>
      <c r="K23" s="45">
        <v>11</v>
      </c>
      <c r="L23" s="45">
        <v>11</v>
      </c>
      <c r="M23" s="45">
        <v>11</v>
      </c>
      <c r="N23" s="45">
        <v>11</v>
      </c>
      <c r="O23" s="45">
        <v>11</v>
      </c>
      <c r="P23" s="45">
        <v>11</v>
      </c>
      <c r="Q23" s="45">
        <v>11</v>
      </c>
      <c r="R23" s="45">
        <v>11</v>
      </c>
      <c r="S23" s="45">
        <v>11</v>
      </c>
      <c r="T23" s="45">
        <v>11</v>
      </c>
      <c r="U23" s="45">
        <v>11</v>
      </c>
      <c r="V23" s="45">
        <v>11</v>
      </c>
      <c r="W23" s="45">
        <v>11</v>
      </c>
      <c r="X23" s="45">
        <v>11</v>
      </c>
      <c r="Y23" s="45">
        <v>11</v>
      </c>
      <c r="Z23" s="45">
        <v>11</v>
      </c>
      <c r="AA23" s="45">
        <v>11</v>
      </c>
      <c r="AB23" s="45">
        <v>11</v>
      </c>
      <c r="AC23" s="45">
        <v>11</v>
      </c>
      <c r="AD23" s="45">
        <v>11</v>
      </c>
      <c r="AE23" s="45">
        <v>11</v>
      </c>
      <c r="AF23" s="45">
        <v>11</v>
      </c>
      <c r="AG23" s="49">
        <v>24.2</v>
      </c>
      <c r="AH23" s="47">
        <f t="shared" si="2"/>
        <v>11</v>
      </c>
      <c r="AI23" s="48">
        <f t="shared" si="3"/>
        <v>11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11.4</v>
      </c>
      <c r="C24" s="45">
        <v>11.4</v>
      </c>
      <c r="D24" s="45">
        <v>11.4</v>
      </c>
      <c r="E24" s="45">
        <v>11.4</v>
      </c>
      <c r="F24" s="45">
        <v>11.4</v>
      </c>
      <c r="G24" s="45">
        <v>11.4</v>
      </c>
      <c r="H24" s="45">
        <v>11.4</v>
      </c>
      <c r="I24" s="45">
        <v>11.4</v>
      </c>
      <c r="J24" s="45">
        <v>11.4</v>
      </c>
      <c r="K24" s="45">
        <v>11.4</v>
      </c>
      <c r="L24" s="45">
        <v>11.4</v>
      </c>
      <c r="M24" s="45">
        <v>11.4</v>
      </c>
      <c r="N24" s="45">
        <v>11.4</v>
      </c>
      <c r="O24" s="45">
        <v>11.4</v>
      </c>
      <c r="P24" s="45">
        <v>11.4</v>
      </c>
      <c r="Q24" s="45">
        <v>11.4</v>
      </c>
      <c r="R24" s="45">
        <v>11.4</v>
      </c>
      <c r="S24" s="45">
        <v>11.4</v>
      </c>
      <c r="T24" s="45">
        <v>11.4</v>
      </c>
      <c r="U24" s="45">
        <v>11.4</v>
      </c>
      <c r="V24" s="45">
        <v>11.4</v>
      </c>
      <c r="W24" s="45">
        <v>11.4</v>
      </c>
      <c r="X24" s="45">
        <v>11.4</v>
      </c>
      <c r="Y24" s="45">
        <v>11.4</v>
      </c>
      <c r="Z24" s="45">
        <v>11.4</v>
      </c>
      <c r="AA24" s="45">
        <v>11.4</v>
      </c>
      <c r="AB24" s="45">
        <v>11.4</v>
      </c>
      <c r="AC24" s="45">
        <v>11.4</v>
      </c>
      <c r="AD24" s="45">
        <v>11.4</v>
      </c>
      <c r="AE24" s="45">
        <v>12.3</v>
      </c>
      <c r="AF24" s="45">
        <v>13.4</v>
      </c>
      <c r="AG24" s="49">
        <v>28</v>
      </c>
      <c r="AH24" s="47">
        <f t="shared" si="2"/>
        <v>13.4</v>
      </c>
      <c r="AI24" s="48">
        <f t="shared" si="3"/>
        <v>11.4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9.4</v>
      </c>
      <c r="C25" s="45">
        <v>9.4</v>
      </c>
      <c r="D25" s="45">
        <v>9.4</v>
      </c>
      <c r="E25" s="45">
        <v>9.4</v>
      </c>
      <c r="F25" s="45">
        <v>9.4</v>
      </c>
      <c r="G25" s="45">
        <v>9.4</v>
      </c>
      <c r="H25" s="45">
        <v>9.4</v>
      </c>
      <c r="I25" s="45">
        <v>9.4</v>
      </c>
      <c r="J25" s="45">
        <v>9.4</v>
      </c>
      <c r="K25" s="45">
        <v>9.4</v>
      </c>
      <c r="L25" s="45">
        <v>9.4</v>
      </c>
      <c r="M25" s="45">
        <v>9.4</v>
      </c>
      <c r="N25" s="45">
        <v>9.4</v>
      </c>
      <c r="O25" s="45">
        <v>9.4</v>
      </c>
      <c r="P25" s="45">
        <v>9.4</v>
      </c>
      <c r="Q25" s="45">
        <v>9.4</v>
      </c>
      <c r="R25" s="45">
        <v>9.4</v>
      </c>
      <c r="S25" s="45">
        <v>9.4</v>
      </c>
      <c r="T25" s="45">
        <v>9.4</v>
      </c>
      <c r="U25" s="45">
        <v>9.4</v>
      </c>
      <c r="V25" s="45">
        <v>9.4</v>
      </c>
      <c r="W25" s="45">
        <v>9.4</v>
      </c>
      <c r="X25" s="45">
        <v>9.4</v>
      </c>
      <c r="Y25" s="45">
        <v>9.4</v>
      </c>
      <c r="Z25" s="45">
        <v>9.4</v>
      </c>
      <c r="AA25" s="45">
        <v>9.4</v>
      </c>
      <c r="AB25" s="45">
        <v>9.4</v>
      </c>
      <c r="AC25" s="45">
        <v>9.4</v>
      </c>
      <c r="AD25" s="45">
        <v>9.4</v>
      </c>
      <c r="AE25" s="45">
        <v>11.1</v>
      </c>
      <c r="AF25" s="45">
        <v>9.6999999999999993</v>
      </c>
      <c r="AG25" s="52">
        <v>30</v>
      </c>
      <c r="AH25" s="47">
        <f t="shared" si="2"/>
        <v>11.1</v>
      </c>
      <c r="AI25" s="48">
        <f t="shared" si="3"/>
        <v>9.4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13.6</v>
      </c>
      <c r="C26" s="45">
        <v>13.6</v>
      </c>
      <c r="D26" s="45">
        <v>13.6</v>
      </c>
      <c r="E26" s="45">
        <v>13.6</v>
      </c>
      <c r="F26" s="45">
        <v>13.6</v>
      </c>
      <c r="G26" s="45">
        <v>13.6</v>
      </c>
      <c r="H26" s="45">
        <v>13.6</v>
      </c>
      <c r="I26" s="45">
        <v>13.6</v>
      </c>
      <c r="J26" s="45">
        <v>13.6</v>
      </c>
      <c r="K26" s="45">
        <v>13.6</v>
      </c>
      <c r="L26" s="45">
        <v>13.6</v>
      </c>
      <c r="M26" s="45">
        <v>13.6</v>
      </c>
      <c r="N26" s="45">
        <v>13.6</v>
      </c>
      <c r="O26" s="45">
        <v>13.6</v>
      </c>
      <c r="P26" s="45">
        <v>13.6</v>
      </c>
      <c r="Q26" s="45">
        <v>13.6</v>
      </c>
      <c r="R26" s="45">
        <v>13.6</v>
      </c>
      <c r="S26" s="45">
        <v>13.6</v>
      </c>
      <c r="T26" s="45">
        <v>13.6</v>
      </c>
      <c r="U26" s="45">
        <v>13.6</v>
      </c>
      <c r="V26" s="45">
        <v>13.6</v>
      </c>
      <c r="W26" s="45">
        <v>13.6</v>
      </c>
      <c r="X26" s="45">
        <v>13.6</v>
      </c>
      <c r="Y26" s="45">
        <v>13.6</v>
      </c>
      <c r="Z26" s="45">
        <v>13.6</v>
      </c>
      <c r="AA26" s="45">
        <v>13.6</v>
      </c>
      <c r="AB26" s="45">
        <v>13.6</v>
      </c>
      <c r="AC26" s="45">
        <v>13.6</v>
      </c>
      <c r="AD26" s="45">
        <v>13.6</v>
      </c>
      <c r="AE26" s="45">
        <v>12.1</v>
      </c>
      <c r="AF26" s="45">
        <v>12.1</v>
      </c>
      <c r="AG26" s="49">
        <v>25</v>
      </c>
      <c r="AH26" s="47">
        <f t="shared" si="2"/>
        <v>13.6</v>
      </c>
      <c r="AI26" s="48">
        <f t="shared" si="3"/>
        <v>12.1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11.2</v>
      </c>
      <c r="C29" s="45">
        <v>11.2</v>
      </c>
      <c r="D29" s="45">
        <v>11.2</v>
      </c>
      <c r="E29" s="45">
        <v>11.2</v>
      </c>
      <c r="F29" s="45">
        <v>11.2</v>
      </c>
      <c r="G29" s="45">
        <v>11.2</v>
      </c>
      <c r="H29" s="45">
        <v>11.2</v>
      </c>
      <c r="I29" s="45">
        <v>11.2</v>
      </c>
      <c r="J29" s="45">
        <v>11.2</v>
      </c>
      <c r="K29" s="45">
        <v>11.2</v>
      </c>
      <c r="L29" s="45">
        <v>11.2</v>
      </c>
      <c r="M29" s="45">
        <v>11.2</v>
      </c>
      <c r="N29" s="45">
        <v>11.2</v>
      </c>
      <c r="O29" s="45">
        <v>11.2</v>
      </c>
      <c r="P29" s="45">
        <v>11.2</v>
      </c>
      <c r="Q29" s="45">
        <v>11.2</v>
      </c>
      <c r="R29" s="45">
        <v>11.2</v>
      </c>
      <c r="S29" s="45">
        <v>11.2</v>
      </c>
      <c r="T29" s="45">
        <v>11.2</v>
      </c>
      <c r="U29" s="45">
        <v>11.2</v>
      </c>
      <c r="V29" s="45">
        <v>11.2</v>
      </c>
      <c r="W29" s="45">
        <v>11.2</v>
      </c>
      <c r="X29" s="45">
        <v>11.2</v>
      </c>
      <c r="Y29" s="45">
        <v>11.2</v>
      </c>
      <c r="Z29" s="45">
        <v>11.2</v>
      </c>
      <c r="AA29" s="45">
        <v>11.2</v>
      </c>
      <c r="AB29" s="45">
        <v>11.2</v>
      </c>
      <c r="AC29" s="45">
        <v>11.2</v>
      </c>
      <c r="AD29" s="45">
        <v>11.2</v>
      </c>
      <c r="AE29" s="45">
        <v>11.8</v>
      </c>
      <c r="AF29" s="45">
        <v>11.2</v>
      </c>
      <c r="AG29" s="49">
        <v>25</v>
      </c>
      <c r="AH29" s="47">
        <f t="shared" si="2"/>
        <v>11.8</v>
      </c>
      <c r="AI29" s="48">
        <f t="shared" si="3"/>
        <v>11.2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9.3000000000000007</v>
      </c>
      <c r="C30" s="45">
        <v>9.3000000000000007</v>
      </c>
      <c r="D30" s="45">
        <v>9.3000000000000007</v>
      </c>
      <c r="E30" s="45">
        <v>9.3000000000000007</v>
      </c>
      <c r="F30" s="45">
        <v>9.3000000000000007</v>
      </c>
      <c r="G30" s="45">
        <v>9.3000000000000007</v>
      </c>
      <c r="H30" s="45">
        <v>9.3000000000000007</v>
      </c>
      <c r="I30" s="45">
        <v>9.3000000000000007</v>
      </c>
      <c r="J30" s="45">
        <v>9.3000000000000007</v>
      </c>
      <c r="K30" s="45">
        <v>9.3000000000000007</v>
      </c>
      <c r="L30" s="45">
        <v>9.3000000000000007</v>
      </c>
      <c r="M30" s="45">
        <v>9.3000000000000007</v>
      </c>
      <c r="N30" s="45">
        <v>9.3000000000000007</v>
      </c>
      <c r="O30" s="45">
        <v>9.3000000000000007</v>
      </c>
      <c r="P30" s="45">
        <v>9.3000000000000007</v>
      </c>
      <c r="Q30" s="45">
        <v>9.3000000000000007</v>
      </c>
      <c r="R30" s="45">
        <v>9.3000000000000007</v>
      </c>
      <c r="S30" s="45">
        <v>9.3000000000000007</v>
      </c>
      <c r="T30" s="45">
        <v>9.3000000000000007</v>
      </c>
      <c r="U30" s="45">
        <v>9.3000000000000007</v>
      </c>
      <c r="V30" s="45">
        <v>9.3000000000000007</v>
      </c>
      <c r="W30" s="45">
        <v>9.3000000000000007</v>
      </c>
      <c r="X30" s="45">
        <v>9.3000000000000007</v>
      </c>
      <c r="Y30" s="45">
        <v>9.3000000000000007</v>
      </c>
      <c r="Z30" s="45">
        <v>9.3000000000000007</v>
      </c>
      <c r="AA30" s="45">
        <v>9.3000000000000007</v>
      </c>
      <c r="AB30" s="45">
        <v>9.3000000000000007</v>
      </c>
      <c r="AC30" s="45">
        <v>9.3000000000000007</v>
      </c>
      <c r="AD30" s="45">
        <v>9.3000000000000007</v>
      </c>
      <c r="AE30" s="45">
        <v>10.3</v>
      </c>
      <c r="AF30" s="45">
        <v>11.3</v>
      </c>
      <c r="AG30" s="49">
        <v>23.5</v>
      </c>
      <c r="AH30" s="47">
        <f t="shared" si="2"/>
        <v>11.3</v>
      </c>
      <c r="AI30" s="48">
        <f t="shared" si="3"/>
        <v>9.3000000000000007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49">
        <v>22</v>
      </c>
      <c r="AH33" s="47">
        <f t="shared" si="2"/>
        <v>7</v>
      </c>
      <c r="AI33" s="48">
        <f t="shared" si="3"/>
        <v>7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5.5</v>
      </c>
      <c r="C34" s="45">
        <v>5.5</v>
      </c>
      <c r="D34" s="45">
        <v>5.5</v>
      </c>
      <c r="E34" s="45">
        <v>5.5</v>
      </c>
      <c r="F34" s="45">
        <v>5.5</v>
      </c>
      <c r="G34" s="45">
        <v>5.5</v>
      </c>
      <c r="H34" s="45">
        <v>5.5</v>
      </c>
      <c r="I34" s="45">
        <v>5.5</v>
      </c>
      <c r="J34" s="45">
        <v>5.5</v>
      </c>
      <c r="K34" s="45">
        <v>5.5</v>
      </c>
      <c r="L34" s="45">
        <v>5.5</v>
      </c>
      <c r="M34" s="45">
        <v>5.5</v>
      </c>
      <c r="N34" s="45">
        <v>5.5</v>
      </c>
      <c r="O34" s="45">
        <v>5.5</v>
      </c>
      <c r="P34" s="45">
        <v>5.5</v>
      </c>
      <c r="Q34" s="45">
        <v>5.5</v>
      </c>
      <c r="R34" s="45">
        <v>5.5</v>
      </c>
      <c r="S34" s="45">
        <v>5.5</v>
      </c>
      <c r="T34" s="45">
        <v>5.5</v>
      </c>
      <c r="U34" s="45">
        <v>5.5</v>
      </c>
      <c r="V34" s="45">
        <v>5.5</v>
      </c>
      <c r="W34" s="45">
        <v>5.5</v>
      </c>
      <c r="X34" s="45">
        <v>5.5</v>
      </c>
      <c r="Y34" s="45">
        <v>5.5</v>
      </c>
      <c r="Z34" s="45">
        <v>5.5</v>
      </c>
      <c r="AA34" s="45">
        <v>5.5</v>
      </c>
      <c r="AB34" s="45">
        <v>5.5</v>
      </c>
      <c r="AC34" s="45">
        <v>5.5</v>
      </c>
      <c r="AD34" s="45">
        <v>5.5</v>
      </c>
      <c r="AE34" s="45">
        <v>10.9</v>
      </c>
      <c r="AF34" s="45">
        <v>13.1</v>
      </c>
      <c r="AG34" s="49">
        <v>22</v>
      </c>
      <c r="AH34" s="47">
        <f t="shared" si="2"/>
        <v>13.1</v>
      </c>
      <c r="AI34" s="48">
        <f t="shared" si="3"/>
        <v>5.5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v>28.5</v>
      </c>
      <c r="C57" s="57">
        <v>28.5</v>
      </c>
      <c r="D57" s="57">
        <v>28.5</v>
      </c>
      <c r="E57" s="57">
        <v>28.5</v>
      </c>
      <c r="F57" s="57">
        <v>28.5</v>
      </c>
      <c r="G57" s="57">
        <v>28.5</v>
      </c>
      <c r="H57" s="57">
        <v>28.5</v>
      </c>
      <c r="I57" s="57">
        <v>32.200000000000003</v>
      </c>
      <c r="J57" s="57">
        <v>32.200000000000003</v>
      </c>
      <c r="K57" s="57">
        <v>32.200000000000003</v>
      </c>
      <c r="L57" s="57">
        <v>32.200000000000003</v>
      </c>
      <c r="M57" s="57">
        <v>31.3</v>
      </c>
      <c r="N57" s="57">
        <v>31.3</v>
      </c>
      <c r="O57" s="57">
        <v>31.3</v>
      </c>
      <c r="P57" s="57">
        <v>30.9</v>
      </c>
      <c r="Q57" s="57">
        <v>30.9</v>
      </c>
      <c r="R57" s="57">
        <v>30.9</v>
      </c>
      <c r="S57" s="57">
        <v>30.9</v>
      </c>
      <c r="T57" s="57">
        <v>30.9</v>
      </c>
      <c r="U57" s="57">
        <v>30.9</v>
      </c>
      <c r="V57" s="57">
        <v>30.9</v>
      </c>
      <c r="W57" s="51">
        <f>5.4+17</f>
        <v>22.4</v>
      </c>
      <c r="X57" s="57">
        <f>5.4+17</f>
        <v>22.4</v>
      </c>
      <c r="Y57" s="57">
        <v>27.3</v>
      </c>
      <c r="Z57" s="57">
        <v>27.3</v>
      </c>
      <c r="AA57" s="57">
        <v>27.3</v>
      </c>
      <c r="AB57" s="57">
        <f>23.1+7.7</f>
        <v>30.8</v>
      </c>
      <c r="AC57" s="57">
        <f>23.6+8</f>
        <v>31.6</v>
      </c>
      <c r="AD57" s="57">
        <f>24+8.3</f>
        <v>32.299999999999997</v>
      </c>
      <c r="AE57" s="57">
        <f>8.5+23.6</f>
        <v>32.1</v>
      </c>
      <c r="AF57" s="57">
        <f>8.5+23.6</f>
        <v>32.1</v>
      </c>
      <c r="AG57" s="55">
        <v>240</v>
      </c>
      <c r="AH57" s="47">
        <f t="shared" si="2"/>
        <v>32.299999999999997</v>
      </c>
      <c r="AI57" s="48">
        <f t="shared" si="3"/>
        <v>22.4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632.72708333333344</v>
      </c>
      <c r="C58" s="60">
        <f t="shared" si="5"/>
        <v>638.92708333333337</v>
      </c>
      <c r="D58" s="60">
        <f t="shared" ref="D58:E58" si="6">SUM(D11:D56)</f>
        <v>638.92708333333337</v>
      </c>
      <c r="E58" s="60">
        <f t="shared" si="6"/>
        <v>638.92708333333337</v>
      </c>
      <c r="F58" s="60">
        <f t="shared" ref="F58:G58" si="7">SUM(F11:F56)</f>
        <v>638.92708333333337</v>
      </c>
      <c r="G58" s="60">
        <f t="shared" si="7"/>
        <v>638.92708333333337</v>
      </c>
      <c r="H58" s="60">
        <f t="shared" ref="H58:I58" si="8">SUM(H11:H56)</f>
        <v>638.92708333333337</v>
      </c>
      <c r="I58" s="60">
        <f t="shared" si="8"/>
        <v>638.92708333333337</v>
      </c>
      <c r="J58" s="60">
        <f t="shared" ref="J58:K58" si="9">SUM(J11:J56)</f>
        <v>638.92708333333337</v>
      </c>
      <c r="K58" s="60">
        <f t="shared" si="9"/>
        <v>638.92708333333337</v>
      </c>
      <c r="L58" s="60">
        <f t="shared" ref="L58:AD58" si="10">SUM(L11:L56)</f>
        <v>638.92708333333337</v>
      </c>
      <c r="M58" s="60">
        <f t="shared" si="10"/>
        <v>638.92708333333337</v>
      </c>
      <c r="N58" s="60">
        <f t="shared" si="10"/>
        <v>638.92708333333337</v>
      </c>
      <c r="O58" s="60">
        <f t="shared" si="10"/>
        <v>638.92708333333337</v>
      </c>
      <c r="P58" s="60">
        <f t="shared" si="10"/>
        <v>638.92708333333337</v>
      </c>
      <c r="Q58" s="60">
        <f t="shared" si="10"/>
        <v>638.92708333333337</v>
      </c>
      <c r="R58" s="60">
        <f t="shared" si="10"/>
        <v>638.92708333333337</v>
      </c>
      <c r="S58" s="60">
        <f t="shared" ref="S58:T58" si="11">SUM(S11:S56)</f>
        <v>638.92708333333337</v>
      </c>
      <c r="T58" s="60">
        <f t="shared" si="11"/>
        <v>638.92708333333337</v>
      </c>
      <c r="U58" s="60">
        <f t="shared" ref="U58:V58" si="12">SUM(U11:U56)</f>
        <v>638.92708333333337</v>
      </c>
      <c r="V58" s="60">
        <f t="shared" si="12"/>
        <v>638.92708333333337</v>
      </c>
      <c r="W58" s="60">
        <f t="shared" si="10"/>
        <v>638.92708333333337</v>
      </c>
      <c r="X58" s="60">
        <f t="shared" si="10"/>
        <v>638.92708333333337</v>
      </c>
      <c r="Y58" s="60">
        <f t="shared" ref="Y58:Z58" si="13">SUM(Y11:Y56)</f>
        <v>638.92708333333337</v>
      </c>
      <c r="Z58" s="60">
        <f t="shared" si="13"/>
        <v>638.92708333333337</v>
      </c>
      <c r="AA58" s="60">
        <f t="shared" ref="AA58" si="14">SUM(AA11:AA56)</f>
        <v>638.92708333333337</v>
      </c>
      <c r="AB58" s="60">
        <f t="shared" si="10"/>
        <v>631.42708333333337</v>
      </c>
      <c r="AC58" s="60">
        <f t="shared" si="10"/>
        <v>640.32708333333335</v>
      </c>
      <c r="AD58" s="60">
        <f t="shared" si="10"/>
        <v>637.52708333333339</v>
      </c>
      <c r="AE58" s="60">
        <f t="shared" ref="AE58:AF58" si="15">SUM(AE11:AE56)</f>
        <v>638.02708333333339</v>
      </c>
      <c r="AF58" s="60">
        <f t="shared" si="15"/>
        <v>641.42708333333348</v>
      </c>
      <c r="AG58" s="61">
        <f>SUM(AG14:AG56)</f>
        <v>1042.4000000000001</v>
      </c>
      <c r="AH58" s="47">
        <f t="shared" si="2"/>
        <v>641.42708333333348</v>
      </c>
      <c r="AI58" s="48">
        <f t="shared" si="3"/>
        <v>631.42708333333337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11</v>
      </c>
      <c r="H59" s="45">
        <v>76</v>
      </c>
      <c r="I59" s="45">
        <v>76</v>
      </c>
      <c r="J59" s="45">
        <v>140</v>
      </c>
      <c r="K59" s="45">
        <v>200</v>
      </c>
      <c r="L59" s="45">
        <v>210</v>
      </c>
      <c r="M59" s="45">
        <v>380</v>
      </c>
      <c r="N59" s="45">
        <v>380</v>
      </c>
      <c r="O59" s="45">
        <v>380</v>
      </c>
      <c r="P59" s="63">
        <v>150</v>
      </c>
      <c r="Q59" s="63">
        <v>110</v>
      </c>
      <c r="R59" s="63">
        <v>80</v>
      </c>
      <c r="S59" s="63">
        <v>100</v>
      </c>
      <c r="T59" s="63">
        <v>100</v>
      </c>
      <c r="U59" s="63">
        <v>15</v>
      </c>
      <c r="V59" s="63">
        <v>120</v>
      </c>
      <c r="W59" s="45">
        <v>240</v>
      </c>
      <c r="X59" s="45">
        <v>370</v>
      </c>
      <c r="Y59" s="45">
        <v>300</v>
      </c>
      <c r="Z59" s="45">
        <v>210</v>
      </c>
      <c r="AA59" s="45">
        <v>140</v>
      </c>
      <c r="AB59" s="45">
        <v>130</v>
      </c>
      <c r="AC59" s="45">
        <v>100</v>
      </c>
      <c r="AD59" s="45">
        <v>80</v>
      </c>
      <c r="AE59" s="45">
        <v>40</v>
      </c>
      <c r="AF59" s="45">
        <v>0</v>
      </c>
      <c r="AG59" s="52">
        <v>456</v>
      </c>
      <c r="AH59" s="47">
        <f t="shared" si="2"/>
        <v>380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42</v>
      </c>
      <c r="C60" s="65">
        <v>42</v>
      </c>
      <c r="D60" s="65">
        <v>42</v>
      </c>
      <c r="E60" s="65">
        <v>42</v>
      </c>
      <c r="F60" s="65">
        <v>42</v>
      </c>
      <c r="G60" s="65">
        <v>42</v>
      </c>
      <c r="H60" s="65">
        <v>42</v>
      </c>
      <c r="I60" s="65">
        <v>42</v>
      </c>
      <c r="J60" s="65">
        <v>42</v>
      </c>
      <c r="K60" s="65">
        <v>42</v>
      </c>
      <c r="L60" s="65">
        <v>42</v>
      </c>
      <c r="M60" s="65">
        <v>42</v>
      </c>
      <c r="N60" s="65">
        <v>42</v>
      </c>
      <c r="O60" s="65">
        <v>42</v>
      </c>
      <c r="P60" s="65">
        <v>42</v>
      </c>
      <c r="Q60" s="65">
        <v>42</v>
      </c>
      <c r="R60" s="65">
        <v>42</v>
      </c>
      <c r="S60" s="65">
        <v>42</v>
      </c>
      <c r="T60" s="65">
        <v>42</v>
      </c>
      <c r="U60" s="65">
        <v>42</v>
      </c>
      <c r="V60" s="65">
        <v>42</v>
      </c>
      <c r="W60" s="65">
        <v>42</v>
      </c>
      <c r="X60" s="65">
        <v>42</v>
      </c>
      <c r="Y60" s="65">
        <v>42</v>
      </c>
      <c r="Z60" s="65">
        <v>42</v>
      </c>
      <c r="AA60" s="65">
        <v>42</v>
      </c>
      <c r="AB60" s="65">
        <v>42</v>
      </c>
      <c r="AC60" s="65">
        <v>42</v>
      </c>
      <c r="AD60" s="65">
        <v>42</v>
      </c>
      <c r="AE60" s="65">
        <v>42</v>
      </c>
      <c r="AF60" s="65">
        <v>42</v>
      </c>
      <c r="AG60" s="55">
        <v>60</v>
      </c>
      <c r="AH60" s="47">
        <f t="shared" si="2"/>
        <v>42</v>
      </c>
      <c r="AI60" s="48">
        <f t="shared" si="3"/>
        <v>42</v>
      </c>
      <c r="AK60" s="50"/>
    </row>
    <row r="61" spans="1:88" ht="15.75" thickBot="1" x14ac:dyDescent="0.3">
      <c r="A61" s="66" t="s">
        <v>61</v>
      </c>
      <c r="B61" s="67">
        <v>13</v>
      </c>
      <c r="C61" s="67">
        <v>13</v>
      </c>
      <c r="D61" s="67">
        <v>13</v>
      </c>
      <c r="E61" s="67">
        <v>13</v>
      </c>
      <c r="F61" s="67">
        <v>13</v>
      </c>
      <c r="G61" s="67">
        <v>13</v>
      </c>
      <c r="H61" s="67">
        <v>13</v>
      </c>
      <c r="I61" s="67">
        <v>13</v>
      </c>
      <c r="J61" s="67">
        <v>13</v>
      </c>
      <c r="K61" s="67">
        <v>13</v>
      </c>
      <c r="L61" s="67">
        <v>13</v>
      </c>
      <c r="M61" s="67">
        <v>13</v>
      </c>
      <c r="N61" s="67">
        <v>13</v>
      </c>
      <c r="O61" s="67">
        <v>13</v>
      </c>
      <c r="P61" s="67">
        <v>13</v>
      </c>
      <c r="Q61" s="67">
        <v>13</v>
      </c>
      <c r="R61" s="67">
        <v>13</v>
      </c>
      <c r="S61" s="67">
        <v>13</v>
      </c>
      <c r="T61" s="67">
        <v>13</v>
      </c>
      <c r="U61" s="67">
        <v>13</v>
      </c>
      <c r="V61" s="67">
        <v>13</v>
      </c>
      <c r="W61" s="67">
        <v>13.1</v>
      </c>
      <c r="X61" s="67">
        <v>20.100000000000001</v>
      </c>
      <c r="Y61" s="67">
        <v>20.100000000000001</v>
      </c>
      <c r="Z61" s="67">
        <v>20.100000000000001</v>
      </c>
      <c r="AA61" s="67">
        <v>20.100000000000001</v>
      </c>
      <c r="AB61" s="67">
        <v>20.100000000000001</v>
      </c>
      <c r="AC61" s="67">
        <v>20.100000000000001</v>
      </c>
      <c r="AD61" s="67">
        <v>20.100000000000001</v>
      </c>
      <c r="AE61" s="67">
        <v>13.5</v>
      </c>
      <c r="AF61" s="67">
        <v>13.4</v>
      </c>
      <c r="AG61" s="68">
        <v>22.1</v>
      </c>
      <c r="AH61" s="47">
        <f t="shared" si="2"/>
        <v>20.100000000000001</v>
      </c>
      <c r="AI61" s="48">
        <f t="shared" si="3"/>
        <v>13</v>
      </c>
      <c r="AK61" s="50"/>
    </row>
    <row r="62" spans="1:88" ht="15.75" thickBot="1" x14ac:dyDescent="0.3">
      <c r="A62" s="69" t="s">
        <v>62</v>
      </c>
      <c r="B62" s="60">
        <f t="shared" ref="B62:C62" si="16">SUM(B59:B61)</f>
        <v>55</v>
      </c>
      <c r="C62" s="60">
        <f t="shared" si="16"/>
        <v>55</v>
      </c>
      <c r="D62" s="60">
        <f t="shared" ref="D62:E62" si="17">SUM(D59:D61)</f>
        <v>55</v>
      </c>
      <c r="E62" s="60">
        <f t="shared" si="17"/>
        <v>55</v>
      </c>
      <c r="F62" s="60">
        <f t="shared" ref="F62:G62" si="18">SUM(F59:F61)</f>
        <v>55</v>
      </c>
      <c r="G62" s="60">
        <f t="shared" si="18"/>
        <v>66</v>
      </c>
      <c r="H62" s="60">
        <f t="shared" ref="H62:I62" si="19">SUM(H59:H61)</f>
        <v>131</v>
      </c>
      <c r="I62" s="60">
        <f t="shared" si="19"/>
        <v>131</v>
      </c>
      <c r="J62" s="60">
        <f t="shared" ref="J62:K62" si="20">SUM(J59:J61)</f>
        <v>195</v>
      </c>
      <c r="K62" s="60">
        <f t="shared" si="20"/>
        <v>255</v>
      </c>
      <c r="L62" s="60">
        <f t="shared" ref="L62:AG62" si="21">SUM(L59:L61)</f>
        <v>265</v>
      </c>
      <c r="M62" s="60">
        <f t="shared" si="21"/>
        <v>435</v>
      </c>
      <c r="N62" s="60">
        <f t="shared" si="21"/>
        <v>435</v>
      </c>
      <c r="O62" s="60">
        <f t="shared" si="21"/>
        <v>435</v>
      </c>
      <c r="P62" s="60">
        <f t="shared" si="21"/>
        <v>205</v>
      </c>
      <c r="Q62" s="60">
        <f t="shared" si="21"/>
        <v>165</v>
      </c>
      <c r="R62" s="60">
        <f t="shared" si="21"/>
        <v>135</v>
      </c>
      <c r="S62" s="60">
        <f t="shared" ref="S62:T62" si="22">SUM(S59:S61)</f>
        <v>155</v>
      </c>
      <c r="T62" s="60">
        <f t="shared" si="22"/>
        <v>155</v>
      </c>
      <c r="U62" s="60">
        <f t="shared" ref="U62:V62" si="23">SUM(U59:U61)</f>
        <v>70</v>
      </c>
      <c r="V62" s="60">
        <f t="shared" si="23"/>
        <v>175</v>
      </c>
      <c r="W62" s="60">
        <f t="shared" si="21"/>
        <v>295.10000000000002</v>
      </c>
      <c r="X62" s="60">
        <f t="shared" si="21"/>
        <v>432.1</v>
      </c>
      <c r="Y62" s="60">
        <f t="shared" ref="Y62:Z62" si="24">SUM(Y59:Y61)</f>
        <v>362.1</v>
      </c>
      <c r="Z62" s="60">
        <f t="shared" si="24"/>
        <v>272.10000000000002</v>
      </c>
      <c r="AA62" s="60">
        <f t="shared" ref="AA62" si="25">SUM(AA59:AA61)</f>
        <v>202.1</v>
      </c>
      <c r="AB62" s="60">
        <f t="shared" si="21"/>
        <v>192.1</v>
      </c>
      <c r="AC62" s="60">
        <f t="shared" si="21"/>
        <v>162.1</v>
      </c>
      <c r="AD62" s="60">
        <f t="shared" si="21"/>
        <v>142.1</v>
      </c>
      <c r="AE62" s="60">
        <f t="shared" ref="AE62:AF62" si="26">SUM(AE59:AE61)</f>
        <v>95.5</v>
      </c>
      <c r="AF62" s="60">
        <f t="shared" si="26"/>
        <v>55.4</v>
      </c>
      <c r="AG62" s="61">
        <f t="shared" si="21"/>
        <v>538.1</v>
      </c>
      <c r="AH62" s="47">
        <f t="shared" si="2"/>
        <v>435</v>
      </c>
      <c r="AI62" s="48">
        <f t="shared" si="3"/>
        <v>55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28</v>
      </c>
      <c r="G63" s="45">
        <v>35</v>
      </c>
      <c r="H63" s="45">
        <v>25.6</v>
      </c>
      <c r="I63" s="45">
        <v>64.8</v>
      </c>
      <c r="J63" s="45">
        <v>121.7</v>
      </c>
      <c r="K63" s="45">
        <v>130.1</v>
      </c>
      <c r="L63" s="45">
        <v>130.1</v>
      </c>
      <c r="M63" s="45">
        <v>144</v>
      </c>
      <c r="N63" s="45">
        <v>144</v>
      </c>
      <c r="O63" s="45">
        <v>144</v>
      </c>
      <c r="P63" s="45">
        <v>144</v>
      </c>
      <c r="Q63" s="45">
        <v>144</v>
      </c>
      <c r="R63" s="45">
        <v>132.1</v>
      </c>
      <c r="S63" s="45">
        <v>111.9</v>
      </c>
      <c r="T63" s="45">
        <v>71.400000000000006</v>
      </c>
      <c r="U63" s="45">
        <v>71.400000000000006</v>
      </c>
      <c r="V63" s="45">
        <v>143.4</v>
      </c>
      <c r="W63" s="45">
        <v>141.69999999999999</v>
      </c>
      <c r="X63" s="45">
        <v>142.1</v>
      </c>
      <c r="Y63" s="45">
        <v>140.1</v>
      </c>
      <c r="Z63" s="45">
        <v>133.80000000000001</v>
      </c>
      <c r="AA63" s="45">
        <v>111.7</v>
      </c>
      <c r="AB63" s="45">
        <v>70</v>
      </c>
      <c r="AC63" s="45">
        <v>70.7</v>
      </c>
      <c r="AD63" s="45">
        <v>37.700000000000003</v>
      </c>
      <c r="AE63" s="45">
        <v>30.7</v>
      </c>
      <c r="AF63" s="45">
        <v>30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23</v>
      </c>
      <c r="D64" s="65">
        <v>23</v>
      </c>
      <c r="E64" s="65">
        <v>25</v>
      </c>
      <c r="F64" s="65">
        <v>25</v>
      </c>
      <c r="G64" s="65">
        <v>34.299999999999997</v>
      </c>
      <c r="H64" s="65">
        <v>23.3</v>
      </c>
      <c r="I64" s="65">
        <v>0</v>
      </c>
      <c r="J64" s="65">
        <v>34.299999999999997</v>
      </c>
      <c r="K64" s="65">
        <v>69.400000000000006</v>
      </c>
      <c r="L64" s="65">
        <v>69.400000000000006</v>
      </c>
      <c r="M64" s="65">
        <v>69.400000000000006</v>
      </c>
      <c r="N64" s="65">
        <v>69.400000000000006</v>
      </c>
      <c r="O64" s="65">
        <v>69.400000000000006</v>
      </c>
      <c r="P64" s="65">
        <v>69.400000000000006</v>
      </c>
      <c r="Q64" s="65">
        <v>69.400000000000006</v>
      </c>
      <c r="R64" s="65">
        <v>48.9</v>
      </c>
      <c r="S64" s="65">
        <v>25.6</v>
      </c>
      <c r="T64" s="65">
        <v>34.700000000000003</v>
      </c>
      <c r="U64" s="65">
        <v>34.700000000000003</v>
      </c>
      <c r="V64" s="65">
        <v>69.5</v>
      </c>
      <c r="W64" s="45">
        <v>70.2</v>
      </c>
      <c r="X64" s="45">
        <v>70.2</v>
      </c>
      <c r="Y64" s="45">
        <v>70.2</v>
      </c>
      <c r="Z64" s="45">
        <v>60.9</v>
      </c>
      <c r="AA64" s="45">
        <v>60.9</v>
      </c>
      <c r="AB64" s="45">
        <v>61.4</v>
      </c>
      <c r="AC64" s="45">
        <v>33.5</v>
      </c>
      <c r="AD64" s="65">
        <v>23.6</v>
      </c>
      <c r="AE64" s="65">
        <v>33.700000000000003</v>
      </c>
      <c r="AF64" s="65">
        <v>25</v>
      </c>
      <c r="AG64" s="55">
        <v>70</v>
      </c>
      <c r="AH64" s="47">
        <f t="shared" si="2"/>
        <v>70.2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15</v>
      </c>
      <c r="C65" s="65">
        <v>15</v>
      </c>
      <c r="D65" s="65">
        <v>15</v>
      </c>
      <c r="E65" s="65">
        <v>16</v>
      </c>
      <c r="F65" s="65">
        <v>16</v>
      </c>
      <c r="G65" s="65">
        <v>37.4</v>
      </c>
      <c r="H65" s="65">
        <v>37.4</v>
      </c>
      <c r="I65" s="65">
        <v>37.4</v>
      </c>
      <c r="J65" s="65">
        <v>55.2</v>
      </c>
      <c r="K65" s="65">
        <v>68.900000000000006</v>
      </c>
      <c r="L65" s="65">
        <v>68.900000000000006</v>
      </c>
      <c r="M65" s="65">
        <v>68.900000000000006</v>
      </c>
      <c r="N65" s="65">
        <v>68.900000000000006</v>
      </c>
      <c r="O65" s="65">
        <v>68.900000000000006</v>
      </c>
      <c r="P65" s="65">
        <v>68.900000000000006</v>
      </c>
      <c r="Q65" s="65">
        <v>68.900000000000006</v>
      </c>
      <c r="R65" s="65">
        <v>53.3</v>
      </c>
      <c r="S65" s="65">
        <v>38.700000000000003</v>
      </c>
      <c r="T65" s="65">
        <v>44.3</v>
      </c>
      <c r="U65" s="65">
        <v>52</v>
      </c>
      <c r="V65" s="65">
        <v>68.099999999999994</v>
      </c>
      <c r="W65" s="45">
        <v>66.900000000000006</v>
      </c>
      <c r="X65" s="45">
        <v>66.900000000000006</v>
      </c>
      <c r="Y65" s="45">
        <v>66.900000000000006</v>
      </c>
      <c r="Z65" s="45">
        <v>66.8</v>
      </c>
      <c r="AA65" s="45">
        <v>66.8</v>
      </c>
      <c r="AB65" s="45">
        <v>66.7</v>
      </c>
      <c r="AC65" s="45">
        <v>66.599999999999994</v>
      </c>
      <c r="AD65" s="65">
        <v>52</v>
      </c>
      <c r="AE65" s="65">
        <v>40.1</v>
      </c>
      <c r="AF65" s="65">
        <v>34.5</v>
      </c>
      <c r="AG65" s="55">
        <v>69</v>
      </c>
      <c r="AH65" s="47">
        <f t="shared" si="2"/>
        <v>68.900000000000006</v>
      </c>
      <c r="AI65" s="48">
        <f t="shared" si="3"/>
        <v>15</v>
      </c>
      <c r="AK65" s="50"/>
    </row>
    <row r="66" spans="1:41" x14ac:dyDescent="0.25">
      <c r="A66" s="54" t="s">
        <v>66</v>
      </c>
      <c r="B66" s="65">
        <v>58</v>
      </c>
      <c r="C66" s="65">
        <v>58</v>
      </c>
      <c r="D66" s="65">
        <v>53.5</v>
      </c>
      <c r="E66" s="65">
        <v>54.2</v>
      </c>
      <c r="F66" s="65">
        <v>54.2</v>
      </c>
      <c r="G66" s="65">
        <v>52.1</v>
      </c>
      <c r="H66" s="65">
        <v>52.1</v>
      </c>
      <c r="I66" s="65">
        <v>52.1</v>
      </c>
      <c r="J66" s="65">
        <v>52.1</v>
      </c>
      <c r="K66" s="65">
        <v>56.2</v>
      </c>
      <c r="L66" s="65">
        <v>56.2</v>
      </c>
      <c r="M66" s="65">
        <v>56.2</v>
      </c>
      <c r="N66" s="65">
        <v>56.2</v>
      </c>
      <c r="O66" s="65">
        <v>56.2</v>
      </c>
      <c r="P66" s="65">
        <v>56.2</v>
      </c>
      <c r="Q66" s="65">
        <v>56.2</v>
      </c>
      <c r="R66" s="65">
        <v>54.2</v>
      </c>
      <c r="S66" s="65">
        <v>50.2</v>
      </c>
      <c r="T66" s="65">
        <v>52.6</v>
      </c>
      <c r="U66" s="65">
        <v>52.6</v>
      </c>
      <c r="V66" s="65">
        <v>52.6</v>
      </c>
      <c r="W66" s="45">
        <v>52.4</v>
      </c>
      <c r="X66" s="45">
        <v>52.4</v>
      </c>
      <c r="Y66" s="45">
        <v>52.4</v>
      </c>
      <c r="Z66" s="45">
        <v>52.4</v>
      </c>
      <c r="AA66" s="45">
        <v>52.4</v>
      </c>
      <c r="AB66" s="45">
        <v>52.4</v>
      </c>
      <c r="AC66" s="45">
        <v>52.4</v>
      </c>
      <c r="AD66" s="65">
        <v>52.4</v>
      </c>
      <c r="AE66" s="65">
        <v>45.8</v>
      </c>
      <c r="AF66" s="65">
        <v>57</v>
      </c>
      <c r="AG66" s="55">
        <v>60</v>
      </c>
      <c r="AH66" s="47">
        <f t="shared" si="2"/>
        <v>58</v>
      </c>
      <c r="AI66" s="48">
        <f t="shared" si="3"/>
        <v>45.8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15</v>
      </c>
      <c r="G67" s="65">
        <v>22</v>
      </c>
      <c r="H67" s="65">
        <v>22</v>
      </c>
      <c r="I67" s="65">
        <v>29</v>
      </c>
      <c r="J67" s="65">
        <v>29</v>
      </c>
      <c r="K67" s="65">
        <v>29</v>
      </c>
      <c r="L67" s="65">
        <v>29</v>
      </c>
      <c r="M67" s="65">
        <v>23</v>
      </c>
      <c r="N67" s="65">
        <v>23</v>
      </c>
      <c r="O67" s="65">
        <v>23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45">
        <v>15</v>
      </c>
      <c r="X67" s="45">
        <v>15</v>
      </c>
      <c r="Y67" s="45">
        <v>26</v>
      </c>
      <c r="Z67" s="45">
        <v>23</v>
      </c>
      <c r="AA67" s="45">
        <v>23</v>
      </c>
      <c r="AB67" s="45">
        <v>28</v>
      </c>
      <c r="AC67" s="45">
        <v>23</v>
      </c>
      <c r="AD67" s="65">
        <v>0</v>
      </c>
      <c r="AE67" s="65">
        <v>0</v>
      </c>
      <c r="AF67" s="6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0.3</v>
      </c>
      <c r="L68" s="45">
        <v>0.3</v>
      </c>
      <c r="M68" s="45">
        <v>0.8</v>
      </c>
      <c r="N68" s="45">
        <v>2</v>
      </c>
      <c r="O68" s="45">
        <v>9</v>
      </c>
      <c r="P68" s="65">
        <v>14.6</v>
      </c>
      <c r="Q68" s="65">
        <v>14.6</v>
      </c>
      <c r="R68" s="65">
        <v>17.5</v>
      </c>
      <c r="S68" s="65">
        <v>12.8</v>
      </c>
      <c r="T68" s="65">
        <v>5.7</v>
      </c>
      <c r="U68" s="65">
        <v>2.2999999999999998</v>
      </c>
      <c r="V68" s="65">
        <v>0.2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17.5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14</v>
      </c>
      <c r="C69" s="65">
        <v>14</v>
      </c>
      <c r="D69" s="65">
        <v>14</v>
      </c>
      <c r="E69" s="65">
        <v>14</v>
      </c>
      <c r="F69" s="65">
        <v>14</v>
      </c>
      <c r="G69" s="65">
        <v>14</v>
      </c>
      <c r="H69" s="65">
        <v>14</v>
      </c>
      <c r="I69" s="65">
        <v>14</v>
      </c>
      <c r="J69" s="65">
        <v>14</v>
      </c>
      <c r="K69" s="65">
        <v>14</v>
      </c>
      <c r="L69" s="65">
        <v>14</v>
      </c>
      <c r="M69" s="65">
        <v>14</v>
      </c>
      <c r="N69" s="65">
        <v>14</v>
      </c>
      <c r="O69" s="65">
        <v>14</v>
      </c>
      <c r="P69" s="65">
        <v>14</v>
      </c>
      <c r="Q69" s="65">
        <v>14</v>
      </c>
      <c r="R69" s="65">
        <v>14</v>
      </c>
      <c r="S69" s="65">
        <v>14</v>
      </c>
      <c r="T69" s="65">
        <v>14</v>
      </c>
      <c r="U69" s="65">
        <v>14</v>
      </c>
      <c r="V69" s="65">
        <v>14</v>
      </c>
      <c r="W69" s="65">
        <v>14</v>
      </c>
      <c r="X69" s="65">
        <v>14</v>
      </c>
      <c r="Y69" s="65">
        <v>14</v>
      </c>
      <c r="Z69" s="65">
        <v>14</v>
      </c>
      <c r="AA69" s="65">
        <v>14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16</v>
      </c>
      <c r="AI69" s="48">
        <f t="shared" si="3"/>
        <v>14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11.9</v>
      </c>
      <c r="C71" s="65">
        <v>11.9</v>
      </c>
      <c r="D71" s="65">
        <v>11.9</v>
      </c>
      <c r="E71" s="65">
        <v>11.9</v>
      </c>
      <c r="F71" s="65">
        <v>11.9</v>
      </c>
      <c r="G71" s="65">
        <v>11.9</v>
      </c>
      <c r="H71" s="65">
        <v>11.9</v>
      </c>
      <c r="I71" s="65">
        <v>11.9</v>
      </c>
      <c r="J71" s="65">
        <v>11.9</v>
      </c>
      <c r="K71" s="65">
        <v>11.9</v>
      </c>
      <c r="L71" s="65">
        <v>11.9</v>
      </c>
      <c r="M71" s="65">
        <v>11.9</v>
      </c>
      <c r="N71" s="65">
        <v>11.9</v>
      </c>
      <c r="O71" s="65">
        <v>11.9</v>
      </c>
      <c r="P71" s="65">
        <v>11.9</v>
      </c>
      <c r="Q71" s="65">
        <v>11.9</v>
      </c>
      <c r="R71" s="65">
        <v>11.9</v>
      </c>
      <c r="S71" s="65">
        <v>11.9</v>
      </c>
      <c r="T71" s="65">
        <v>11.9</v>
      </c>
      <c r="U71" s="65">
        <v>11.9</v>
      </c>
      <c r="V71" s="65">
        <v>11.9</v>
      </c>
      <c r="W71" s="65">
        <v>11.9</v>
      </c>
      <c r="X71" s="65">
        <v>11.9</v>
      </c>
      <c r="Y71" s="65">
        <v>11.9</v>
      </c>
      <c r="Z71" s="65">
        <v>11.9</v>
      </c>
      <c r="AA71" s="65">
        <v>11.9</v>
      </c>
      <c r="AB71" s="65">
        <v>11.9</v>
      </c>
      <c r="AC71" s="65">
        <v>11.9</v>
      </c>
      <c r="AD71" s="65">
        <v>11.9</v>
      </c>
      <c r="AE71" s="65">
        <v>13.3</v>
      </c>
      <c r="AF71" s="65">
        <v>13.7</v>
      </c>
      <c r="AG71" s="55">
        <v>14.1</v>
      </c>
      <c r="AH71" s="47">
        <f t="shared" si="2"/>
        <v>13.7</v>
      </c>
      <c r="AI71" s="48">
        <f t="shared" si="3"/>
        <v>11.9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5.0999999999999996</v>
      </c>
      <c r="C72" s="65">
        <v>5.0999999999999996</v>
      </c>
      <c r="D72" s="65">
        <v>5.0999999999999996</v>
      </c>
      <c r="E72" s="65">
        <v>5.0999999999999996</v>
      </c>
      <c r="F72" s="65">
        <v>5.0999999999999996</v>
      </c>
      <c r="G72" s="65">
        <v>5.0999999999999996</v>
      </c>
      <c r="H72" s="65">
        <v>5.0999999999999996</v>
      </c>
      <c r="I72" s="65">
        <v>5.0999999999999996</v>
      </c>
      <c r="J72" s="65">
        <v>5.0999999999999996</v>
      </c>
      <c r="K72" s="65">
        <v>5.0999999999999996</v>
      </c>
      <c r="L72" s="65">
        <v>5.0999999999999996</v>
      </c>
      <c r="M72" s="65">
        <v>5.8</v>
      </c>
      <c r="N72" s="65">
        <v>5.8</v>
      </c>
      <c r="O72" s="65">
        <v>5.8</v>
      </c>
      <c r="P72" s="65">
        <v>5.8</v>
      </c>
      <c r="Q72" s="65">
        <v>5.8</v>
      </c>
      <c r="R72" s="65">
        <v>5.8</v>
      </c>
      <c r="S72" s="65">
        <v>5.8</v>
      </c>
      <c r="T72" s="65">
        <v>5.8</v>
      </c>
      <c r="U72" s="65">
        <v>5.8</v>
      </c>
      <c r="V72" s="65">
        <v>5.8</v>
      </c>
      <c r="W72" s="65">
        <v>5.8</v>
      </c>
      <c r="X72" s="65">
        <v>5.8</v>
      </c>
      <c r="Y72" s="65">
        <v>5.8</v>
      </c>
      <c r="Z72" s="65">
        <v>5.8</v>
      </c>
      <c r="AA72" s="65">
        <v>5.8</v>
      </c>
      <c r="AB72" s="65">
        <v>5.8</v>
      </c>
      <c r="AC72" s="65">
        <v>5.8</v>
      </c>
      <c r="AD72" s="65">
        <v>5.8</v>
      </c>
      <c r="AE72" s="65">
        <v>5.8</v>
      </c>
      <c r="AF72" s="65">
        <v>5.8</v>
      </c>
      <c r="AG72" s="55">
        <v>14</v>
      </c>
      <c r="AH72" s="47">
        <f t="shared" si="2"/>
        <v>5.8</v>
      </c>
      <c r="AI72" s="48">
        <f t="shared" si="3"/>
        <v>5.0999999999999996</v>
      </c>
      <c r="AK72" s="50"/>
    </row>
    <row r="73" spans="1:41" x14ac:dyDescent="0.25">
      <c r="A73" s="54" t="s">
        <v>73</v>
      </c>
      <c r="B73" s="65">
        <v>0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6</v>
      </c>
      <c r="V73" s="65">
        <v>6</v>
      </c>
      <c r="W73" s="65">
        <v>6</v>
      </c>
      <c r="X73" s="65">
        <v>6</v>
      </c>
      <c r="Y73" s="65">
        <v>6</v>
      </c>
      <c r="Z73" s="65">
        <v>6</v>
      </c>
      <c r="AA73" s="65">
        <v>6</v>
      </c>
      <c r="AB73" s="65">
        <v>6</v>
      </c>
      <c r="AC73" s="65">
        <v>6</v>
      </c>
      <c r="AD73" s="65">
        <v>6</v>
      </c>
      <c r="AE73" s="65">
        <v>6</v>
      </c>
      <c r="AF73" s="65">
        <v>6</v>
      </c>
      <c r="AG73" s="55">
        <v>10.050000000000001</v>
      </c>
      <c r="AH73" s="47">
        <f t="shared" si="2"/>
        <v>6</v>
      </c>
      <c r="AI73" s="48">
        <f t="shared" si="3"/>
        <v>0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AG250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27">SUM(B63:B75)</f>
        <v>114.54</v>
      </c>
      <c r="C76" s="60">
        <f t="shared" si="27"/>
        <v>137.54</v>
      </c>
      <c r="D76" s="60">
        <f t="shared" ref="D76:E76" si="28">SUM(D63:D75)</f>
        <v>133.04</v>
      </c>
      <c r="E76" s="60">
        <f t="shared" si="28"/>
        <v>136.74</v>
      </c>
      <c r="F76" s="60">
        <f t="shared" ref="F76:G76" si="29">SUM(F63:F75)</f>
        <v>179.73999999999998</v>
      </c>
      <c r="G76" s="60">
        <f t="shared" si="29"/>
        <v>222.33999999999997</v>
      </c>
      <c r="H76" s="60">
        <f t="shared" ref="H76:I76" si="30">SUM(H63:H75)</f>
        <v>201.94</v>
      </c>
      <c r="I76" s="60">
        <f t="shared" si="30"/>
        <v>224.83999999999997</v>
      </c>
      <c r="J76" s="60">
        <f t="shared" ref="J76:K76" si="31">SUM(J63:J75)</f>
        <v>333.84000000000003</v>
      </c>
      <c r="K76" s="60">
        <f t="shared" si="31"/>
        <v>395.44</v>
      </c>
      <c r="L76" s="60">
        <f t="shared" ref="L76:AG76" si="32">SUM(L63:L75)</f>
        <v>395.44</v>
      </c>
      <c r="M76" s="60">
        <f t="shared" si="32"/>
        <v>410.54</v>
      </c>
      <c r="N76" s="60">
        <f t="shared" si="32"/>
        <v>411.74</v>
      </c>
      <c r="O76" s="60">
        <f t="shared" si="32"/>
        <v>418.74</v>
      </c>
      <c r="P76" s="60">
        <f t="shared" si="32"/>
        <v>401.34000000000003</v>
      </c>
      <c r="Q76" s="60">
        <f t="shared" si="32"/>
        <v>401.34000000000003</v>
      </c>
      <c r="R76" s="60">
        <f t="shared" si="32"/>
        <v>354.24</v>
      </c>
      <c r="S76" s="60">
        <f t="shared" ref="S76:T76" si="33">SUM(S63:S75)</f>
        <v>287.44</v>
      </c>
      <c r="T76" s="60">
        <f t="shared" si="33"/>
        <v>256.94</v>
      </c>
      <c r="U76" s="60">
        <f t="shared" ref="U76:V76" si="34">SUM(U63:U75)</f>
        <v>261.24000000000007</v>
      </c>
      <c r="V76" s="60">
        <f t="shared" si="34"/>
        <v>382.04</v>
      </c>
      <c r="W76" s="60">
        <f t="shared" si="32"/>
        <v>394.43999999999994</v>
      </c>
      <c r="X76" s="60">
        <f t="shared" si="32"/>
        <v>394.84000000000003</v>
      </c>
      <c r="Y76" s="60">
        <f t="shared" ref="Y76:Z76" si="35">SUM(Y63:Y75)</f>
        <v>403.84000000000003</v>
      </c>
      <c r="Z76" s="60">
        <f t="shared" si="35"/>
        <v>385.14</v>
      </c>
      <c r="AA76" s="60">
        <f t="shared" ref="AA76" si="36">SUM(AA63:AA75)</f>
        <v>363.03999999999996</v>
      </c>
      <c r="AB76" s="60">
        <f t="shared" si="32"/>
        <v>328.74</v>
      </c>
      <c r="AC76" s="60">
        <f t="shared" si="32"/>
        <v>296.44000000000005</v>
      </c>
      <c r="AD76" s="60">
        <f t="shared" si="32"/>
        <v>215.94000000000003</v>
      </c>
      <c r="AE76" s="60">
        <f t="shared" ref="AE76:AF76" si="37">SUM(AE63:AE75)</f>
        <v>201.94000000000003</v>
      </c>
      <c r="AF76" s="60">
        <f t="shared" si="37"/>
        <v>198.54</v>
      </c>
      <c r="AG76" s="61">
        <f t="shared" si="32"/>
        <v>489.91</v>
      </c>
      <c r="AH76" s="47">
        <f t="shared" si="2"/>
        <v>418.74</v>
      </c>
      <c r="AI76" s="48">
        <f t="shared" si="3"/>
        <v>114.54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/>
      <c r="N77" s="45">
        <v>60</v>
      </c>
      <c r="O77" s="45">
        <v>29.4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43.3</v>
      </c>
      <c r="W77" s="45">
        <v>55</v>
      </c>
      <c r="X77" s="45">
        <v>59.8</v>
      </c>
      <c r="Y77" s="45">
        <v>49.1</v>
      </c>
      <c r="Z77" s="45">
        <v>49.1</v>
      </c>
      <c r="AA77" s="45">
        <v>54.5</v>
      </c>
      <c r="AB77" s="45">
        <v>14</v>
      </c>
      <c r="AC77" s="45">
        <v>10.4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/>
      <c r="N78" s="65">
        <v>25</v>
      </c>
      <c r="O78" s="65">
        <v>13.3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2.6</v>
      </c>
      <c r="W78" s="65">
        <v>22</v>
      </c>
      <c r="X78" s="65">
        <v>29.7</v>
      </c>
      <c r="Y78" s="65">
        <v>22.4</v>
      </c>
      <c r="Z78" s="65">
        <v>22.4</v>
      </c>
      <c r="AA78" s="65">
        <v>24.5</v>
      </c>
      <c r="AB78" s="65">
        <v>21.1</v>
      </c>
      <c r="AC78" s="65">
        <v>5.7</v>
      </c>
      <c r="AD78" s="65">
        <v>4.7</v>
      </c>
      <c r="AE78" s="65">
        <v>0</v>
      </c>
      <c r="AF78" s="65">
        <v>0</v>
      </c>
      <c r="AG78" s="55">
        <v>32</v>
      </c>
      <c r="AH78" s="47">
        <f t="shared" si="2"/>
        <v>29.7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/>
      <c r="N79" s="67">
        <v>12</v>
      </c>
      <c r="O79" s="67">
        <v>4.9000000000000004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1.1000000000000001</v>
      </c>
      <c r="W79" s="67">
        <v>8</v>
      </c>
      <c r="X79" s="67">
        <v>10.8</v>
      </c>
      <c r="Y79" s="67">
        <v>8.1999999999999993</v>
      </c>
      <c r="Z79" s="67">
        <v>8.1999999999999993</v>
      </c>
      <c r="AA79" s="67">
        <v>8.9</v>
      </c>
      <c r="AB79" s="67">
        <v>7.5</v>
      </c>
      <c r="AC79" s="67">
        <v>2.1</v>
      </c>
      <c r="AD79" s="67">
        <v>1.7</v>
      </c>
      <c r="AE79" s="67">
        <v>0</v>
      </c>
      <c r="AF79" s="67">
        <v>0</v>
      </c>
      <c r="AG79" s="68">
        <v>14</v>
      </c>
      <c r="AH79" s="47">
        <f t="shared" si="2"/>
        <v>12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38">B77+B78+B79</f>
        <v>0</v>
      </c>
      <c r="C80" s="60">
        <f t="shared" si="38"/>
        <v>0</v>
      </c>
      <c r="D80" s="60">
        <f t="shared" ref="D80:E80" si="39">D77+D78+D79</f>
        <v>0</v>
      </c>
      <c r="E80" s="60">
        <f t="shared" si="39"/>
        <v>0</v>
      </c>
      <c r="F80" s="60">
        <f t="shared" ref="F80:G80" si="40">F77+F78+F79</f>
        <v>0</v>
      </c>
      <c r="G80" s="60">
        <f t="shared" si="40"/>
        <v>0</v>
      </c>
      <c r="H80" s="60">
        <f t="shared" ref="H80:I80" si="41">H77+H78+H79</f>
        <v>0</v>
      </c>
      <c r="I80" s="60">
        <f t="shared" si="41"/>
        <v>0</v>
      </c>
      <c r="J80" s="60">
        <f t="shared" ref="J80:K80" si="42">J77+J78+J79</f>
        <v>0</v>
      </c>
      <c r="K80" s="60">
        <f t="shared" si="42"/>
        <v>0</v>
      </c>
      <c r="L80" s="60">
        <f t="shared" ref="L80:AD80" si="43">L77+L78+L79</f>
        <v>0</v>
      </c>
      <c r="M80" s="60">
        <f t="shared" si="43"/>
        <v>0</v>
      </c>
      <c r="N80" s="60">
        <f t="shared" si="43"/>
        <v>97</v>
      </c>
      <c r="O80" s="60">
        <f t="shared" si="43"/>
        <v>47.6</v>
      </c>
      <c r="P80" s="60">
        <f t="shared" si="43"/>
        <v>0</v>
      </c>
      <c r="Q80" s="60">
        <f t="shared" si="43"/>
        <v>0</v>
      </c>
      <c r="R80" s="60">
        <f t="shared" si="43"/>
        <v>0</v>
      </c>
      <c r="S80" s="60">
        <f t="shared" ref="S80:T80" si="44">S77+S78+S79</f>
        <v>0</v>
      </c>
      <c r="T80" s="60">
        <f t="shared" si="44"/>
        <v>0</v>
      </c>
      <c r="U80" s="60">
        <f t="shared" ref="U80:V80" si="45">U77+U78+U79</f>
        <v>0</v>
      </c>
      <c r="V80" s="60">
        <f t="shared" si="45"/>
        <v>47</v>
      </c>
      <c r="W80" s="60">
        <f t="shared" si="43"/>
        <v>85</v>
      </c>
      <c r="X80" s="60">
        <f t="shared" si="43"/>
        <v>100.3</v>
      </c>
      <c r="Y80" s="60">
        <f t="shared" ref="Y80:Z80" si="46">Y77+Y78+Y79</f>
        <v>79.7</v>
      </c>
      <c r="Z80" s="60">
        <f t="shared" si="46"/>
        <v>79.7</v>
      </c>
      <c r="AA80" s="60">
        <f t="shared" ref="AA80" si="47">AA77+AA78+AA79</f>
        <v>87.9</v>
      </c>
      <c r="AB80" s="60">
        <f t="shared" si="43"/>
        <v>42.6</v>
      </c>
      <c r="AC80" s="60">
        <f t="shared" si="43"/>
        <v>18.200000000000003</v>
      </c>
      <c r="AD80" s="60">
        <f t="shared" si="43"/>
        <v>6.4</v>
      </c>
      <c r="AE80" s="60">
        <f t="shared" ref="AE80:AF80" si="48">AE77+AE78+AE79</f>
        <v>0</v>
      </c>
      <c r="AF80" s="60">
        <f t="shared" si="48"/>
        <v>0</v>
      </c>
      <c r="AG80" s="61">
        <f>SUM(AG77:AG79)</f>
        <v>106</v>
      </c>
      <c r="AH80" s="47">
        <f t="shared" si="2"/>
        <v>100.3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36</v>
      </c>
      <c r="C81" s="45">
        <v>21</v>
      </c>
      <c r="D81" s="45">
        <v>31.8</v>
      </c>
      <c r="E81" s="45">
        <v>36.700000000000003</v>
      </c>
      <c r="F81" s="45">
        <v>42.1</v>
      </c>
      <c r="G81" s="45">
        <v>38</v>
      </c>
      <c r="H81" s="45">
        <v>53.5</v>
      </c>
      <c r="I81" s="45">
        <v>56.8</v>
      </c>
      <c r="J81" s="45">
        <v>58.1</v>
      </c>
      <c r="K81" s="45">
        <v>52.2</v>
      </c>
      <c r="L81" s="45">
        <v>60.5</v>
      </c>
      <c r="M81" s="45">
        <v>59.8</v>
      </c>
      <c r="N81" s="45">
        <v>46.6</v>
      </c>
      <c r="O81" s="45">
        <v>46.3</v>
      </c>
      <c r="P81" s="45">
        <v>37.6</v>
      </c>
      <c r="Q81" s="45">
        <v>40.6</v>
      </c>
      <c r="R81" s="45">
        <v>34.5</v>
      </c>
      <c r="S81" s="45">
        <v>36.5</v>
      </c>
      <c r="T81" s="45">
        <v>47.6</v>
      </c>
      <c r="U81" s="45">
        <v>48.4</v>
      </c>
      <c r="V81" s="45">
        <v>43.1</v>
      </c>
      <c r="W81" s="45">
        <v>28.1</v>
      </c>
      <c r="X81" s="45">
        <v>41.9</v>
      </c>
      <c r="Y81" s="45">
        <v>38.1</v>
      </c>
      <c r="Z81" s="45">
        <v>43.4</v>
      </c>
      <c r="AA81" s="45">
        <v>35.5</v>
      </c>
      <c r="AB81" s="45">
        <v>37.9</v>
      </c>
      <c r="AC81" s="45">
        <v>32.299999999999997</v>
      </c>
      <c r="AD81" s="45">
        <v>48</v>
      </c>
      <c r="AE81" s="45">
        <v>55.7</v>
      </c>
      <c r="AF81" s="45">
        <v>57.4</v>
      </c>
      <c r="AG81" s="52"/>
      <c r="AH81" s="47">
        <f t="shared" si="2"/>
        <v>60.5</v>
      </c>
      <c r="AI81" s="48">
        <f t="shared" si="3"/>
        <v>21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107</v>
      </c>
      <c r="C83" s="65">
        <v>65</v>
      </c>
      <c r="D83" s="65">
        <v>43.8</v>
      </c>
      <c r="E83" s="65">
        <v>50.3</v>
      </c>
      <c r="F83" s="65">
        <v>2.2999999999999998</v>
      </c>
      <c r="G83" s="65">
        <v>33.799999999999997</v>
      </c>
      <c r="H83" s="65">
        <v>63.5</v>
      </c>
      <c r="I83" s="65">
        <v>179.2</v>
      </c>
      <c r="J83" s="65">
        <v>143.4</v>
      </c>
      <c r="K83" s="65">
        <v>118.9</v>
      </c>
      <c r="L83" s="65">
        <v>123</v>
      </c>
      <c r="M83" s="65">
        <v>67</v>
      </c>
      <c r="N83" s="65">
        <v>12</v>
      </c>
      <c r="O83" s="65">
        <v>3.6</v>
      </c>
      <c r="P83" s="65">
        <v>211</v>
      </c>
      <c r="Q83" s="65">
        <v>161.5</v>
      </c>
      <c r="R83" s="65">
        <v>172.9</v>
      </c>
      <c r="S83" s="65">
        <v>222.9</v>
      </c>
      <c r="T83" s="65">
        <v>249.6</v>
      </c>
      <c r="U83" s="65">
        <v>335.8</v>
      </c>
      <c r="V83" s="65">
        <v>335.8</v>
      </c>
      <c r="W83" s="65">
        <v>33</v>
      </c>
      <c r="X83" s="65">
        <v>0</v>
      </c>
      <c r="Y83" s="65">
        <v>57.3</v>
      </c>
      <c r="Z83" s="65">
        <v>91.8</v>
      </c>
      <c r="AA83" s="65">
        <v>158.5</v>
      </c>
      <c r="AB83" s="65">
        <v>189</v>
      </c>
      <c r="AC83" s="65">
        <v>204.8</v>
      </c>
      <c r="AD83" s="65">
        <v>195.9</v>
      </c>
      <c r="AE83" s="65">
        <v>120</v>
      </c>
      <c r="AF83" s="65">
        <v>116.8</v>
      </c>
      <c r="AG83" s="75"/>
      <c r="AH83" s="47">
        <f t="shared" si="2"/>
        <v>335.8</v>
      </c>
      <c r="AI83" s="48">
        <f t="shared" si="3"/>
        <v>0</v>
      </c>
      <c r="AK83" s="50"/>
    </row>
    <row r="84" spans="1:40" x14ac:dyDescent="0.25">
      <c r="A84" s="54" t="s">
        <v>84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65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49">MAX(B85:AF85)</f>
        <v>0</v>
      </c>
      <c r="AI85" s="48">
        <f t="shared" ref="AI85:AI130" si="50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9"/>
        <v>0</v>
      </c>
      <c r="AI86" s="48">
        <f t="shared" si="50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9"/>
        <v>0</v>
      </c>
      <c r="AI87" s="48">
        <f t="shared" si="50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9"/>
        <v>0</v>
      </c>
      <c r="AI88" s="48">
        <f t="shared" si="50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9"/>
        <v>0</v>
      </c>
      <c r="AI89" s="48">
        <f t="shared" si="50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9"/>
        <v>0</v>
      </c>
      <c r="AI90" s="48">
        <f t="shared" si="50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49"/>
        <v>0</v>
      </c>
      <c r="AI91" s="48">
        <f t="shared" si="50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51">SUMIF(B81:B91,"&gt;0")</f>
        <v>143</v>
      </c>
      <c r="C92" s="60">
        <f t="shared" si="51"/>
        <v>86</v>
      </c>
      <c r="D92" s="60">
        <f t="shared" ref="D92:E92" si="52">SUMIF(D81:D91,"&gt;0")</f>
        <v>75.599999999999994</v>
      </c>
      <c r="E92" s="60">
        <f t="shared" si="52"/>
        <v>87</v>
      </c>
      <c r="F92" s="60">
        <f t="shared" ref="F92:G92" si="53">SUMIF(F81:F91,"&gt;0")</f>
        <v>44.4</v>
      </c>
      <c r="G92" s="60">
        <f t="shared" si="53"/>
        <v>71.8</v>
      </c>
      <c r="H92" s="60">
        <f t="shared" ref="H92:I92" si="54">SUMIF(H81:H91,"&gt;0")</f>
        <v>117</v>
      </c>
      <c r="I92" s="60">
        <f t="shared" si="54"/>
        <v>236</v>
      </c>
      <c r="J92" s="60">
        <f t="shared" ref="J92:K92" si="55">SUMIF(J81:J91,"&gt;0")</f>
        <v>201.5</v>
      </c>
      <c r="K92" s="60">
        <f t="shared" si="55"/>
        <v>171.10000000000002</v>
      </c>
      <c r="L92" s="60">
        <f t="shared" ref="L92:AF92" si="56">SUMIF(L81:L91,"&gt;0")</f>
        <v>183.5</v>
      </c>
      <c r="M92" s="60">
        <f t="shared" si="56"/>
        <v>126.8</v>
      </c>
      <c r="N92" s="60">
        <f t="shared" si="56"/>
        <v>58.6</v>
      </c>
      <c r="O92" s="60">
        <f t="shared" si="56"/>
        <v>49.9</v>
      </c>
      <c r="P92" s="60">
        <f t="shared" si="56"/>
        <v>248.6</v>
      </c>
      <c r="Q92" s="60">
        <f t="shared" si="56"/>
        <v>202.1</v>
      </c>
      <c r="R92" s="60">
        <f t="shared" si="56"/>
        <v>207.4</v>
      </c>
      <c r="S92" s="60">
        <f t="shared" ref="S92:T92" si="57">SUMIF(S81:S91,"&gt;0")</f>
        <v>259.39999999999998</v>
      </c>
      <c r="T92" s="60">
        <f t="shared" si="57"/>
        <v>297.2</v>
      </c>
      <c r="U92" s="60">
        <f t="shared" ref="U92:V92" si="58">SUMIF(U81:U91,"&gt;0")</f>
        <v>384.2</v>
      </c>
      <c r="V92" s="60">
        <f t="shared" si="58"/>
        <v>378.90000000000003</v>
      </c>
      <c r="W92" s="60">
        <f t="shared" si="56"/>
        <v>61.1</v>
      </c>
      <c r="X92" s="60">
        <f t="shared" si="56"/>
        <v>41.9</v>
      </c>
      <c r="Y92" s="60">
        <f t="shared" ref="Y92:Z92" si="59">SUMIF(Y81:Y91,"&gt;0")</f>
        <v>95.4</v>
      </c>
      <c r="Z92" s="60">
        <f t="shared" si="59"/>
        <v>135.19999999999999</v>
      </c>
      <c r="AA92" s="60">
        <f t="shared" ref="AA92" si="60">SUMIF(AA81:AA91,"&gt;0")</f>
        <v>194</v>
      </c>
      <c r="AB92" s="60">
        <f t="shared" si="56"/>
        <v>226.9</v>
      </c>
      <c r="AC92" s="60">
        <f t="shared" si="56"/>
        <v>237.10000000000002</v>
      </c>
      <c r="AD92" s="60">
        <f t="shared" si="56"/>
        <v>243.9</v>
      </c>
      <c r="AE92" s="60">
        <f t="shared" ref="AE92" si="61">SUMIF(AE81:AE91,"&gt;0")</f>
        <v>175.7</v>
      </c>
      <c r="AF92" s="60">
        <f t="shared" si="56"/>
        <v>174.2</v>
      </c>
      <c r="AG92" s="88">
        <f>SUM(AG81:AG91)</f>
        <v>0</v>
      </c>
      <c r="AH92" s="47">
        <f t="shared" si="49"/>
        <v>384.2</v>
      </c>
      <c r="AI92" s="48">
        <f t="shared" si="50"/>
        <v>41.9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9"/>
        <v>0</v>
      </c>
      <c r="AI93" s="48">
        <f t="shared" si="50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9"/>
        <v>0</v>
      </c>
      <c r="AI94" s="48">
        <f t="shared" si="50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9"/>
        <v>0</v>
      </c>
      <c r="AI95" s="48">
        <f t="shared" si="50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9"/>
        <v>0</v>
      </c>
      <c r="AI96" s="48">
        <f t="shared" si="50"/>
        <v>0</v>
      </c>
    </row>
    <row r="97" spans="1:37" ht="15.75" thickBot="1" x14ac:dyDescent="0.3">
      <c r="A97" s="74" t="s">
        <v>100</v>
      </c>
      <c r="B97" s="95">
        <f t="shared" ref="B97:C97" si="62">B58+B62+B80+B76+B92+B96</f>
        <v>945.2670833333334</v>
      </c>
      <c r="C97" s="95">
        <f t="shared" si="62"/>
        <v>917.46708333333333</v>
      </c>
      <c r="D97" s="95">
        <f t="shared" ref="D97:E97" si="63">D58+D62+D80+D76+D92+D96</f>
        <v>902.56708333333336</v>
      </c>
      <c r="E97" s="95">
        <f t="shared" si="63"/>
        <v>917.66708333333338</v>
      </c>
      <c r="F97" s="95">
        <f t="shared" ref="F97:G97" si="64">F58+F62+F80+F76+F92+F96</f>
        <v>918.06708333333336</v>
      </c>
      <c r="G97" s="95">
        <f t="shared" si="64"/>
        <v>999.06708333333336</v>
      </c>
      <c r="H97" s="95">
        <f t="shared" ref="H97:I97" si="65">H58+H62+H80+H76+H92+H96</f>
        <v>1088.8670833333333</v>
      </c>
      <c r="I97" s="95">
        <f t="shared" si="65"/>
        <v>1230.7670833333334</v>
      </c>
      <c r="J97" s="95">
        <f t="shared" ref="J97:K97" si="66">J58+J62+J80+J76+J92+J96</f>
        <v>1369.2670833333334</v>
      </c>
      <c r="K97" s="95">
        <f t="shared" si="66"/>
        <v>1460.4670833333334</v>
      </c>
      <c r="L97" s="95">
        <f t="shared" ref="L97:AG97" si="67">L58+L62+L80+L76+L92+L96</f>
        <v>1482.8670833333333</v>
      </c>
      <c r="M97" s="95">
        <f t="shared" si="67"/>
        <v>1611.2670833333334</v>
      </c>
      <c r="N97" s="95">
        <f t="shared" si="67"/>
        <v>1641.2670833333334</v>
      </c>
      <c r="O97" s="95">
        <f t="shared" si="67"/>
        <v>1590.1670833333335</v>
      </c>
      <c r="P97" s="95">
        <f t="shared" si="67"/>
        <v>1493.8670833333333</v>
      </c>
      <c r="Q97" s="95">
        <f t="shared" si="67"/>
        <v>1407.3670833333333</v>
      </c>
      <c r="R97" s="95">
        <f t="shared" si="67"/>
        <v>1335.5670833333334</v>
      </c>
      <c r="S97" s="95">
        <f t="shared" ref="S97:T97" si="68">S58+S62+S80+S76+S92+S96</f>
        <v>1340.7670833333332</v>
      </c>
      <c r="T97" s="95">
        <f t="shared" si="68"/>
        <v>1348.0670833333334</v>
      </c>
      <c r="U97" s="95">
        <f t="shared" ref="U97:V97" si="69">U58+U62+U80+U76+U92+U96</f>
        <v>1354.3670833333335</v>
      </c>
      <c r="V97" s="95">
        <f t="shared" si="69"/>
        <v>1621.8670833333335</v>
      </c>
      <c r="W97" s="95">
        <f t="shared" si="67"/>
        <v>1474.5670833333334</v>
      </c>
      <c r="X97" s="95">
        <f t="shared" si="67"/>
        <v>1608.0670833333334</v>
      </c>
      <c r="Y97" s="95">
        <f t="shared" ref="Y97:Z97" si="70">Y58+Y62+Y80+Y76+Y92+Y96</f>
        <v>1579.9670833333334</v>
      </c>
      <c r="Z97" s="95">
        <f t="shared" si="70"/>
        <v>1511.0670833333336</v>
      </c>
      <c r="AA97" s="95">
        <f t="shared" ref="AA97" si="71">AA58+AA62+AA80+AA76+AA92+AA96</f>
        <v>1485.9670833333334</v>
      </c>
      <c r="AB97" s="95">
        <f t="shared" si="67"/>
        <v>1421.7670833333336</v>
      </c>
      <c r="AC97" s="95">
        <f t="shared" si="67"/>
        <v>1354.1670833333333</v>
      </c>
      <c r="AD97" s="95">
        <f t="shared" si="67"/>
        <v>1245.8670833333335</v>
      </c>
      <c r="AE97" s="95">
        <f t="shared" ref="AE97" si="72">AE58+AE62+AE80+AE76+AE92+AE96</f>
        <v>1111.1670833333335</v>
      </c>
      <c r="AF97" s="95">
        <f t="shared" si="67"/>
        <v>1069.5670833333334</v>
      </c>
      <c r="AG97" s="61">
        <f t="shared" si="67"/>
        <v>2231.81</v>
      </c>
      <c r="AH97" s="47">
        <f t="shared" si="49"/>
        <v>1641.2670833333334</v>
      </c>
      <c r="AI97" s="48">
        <f t="shared" si="50"/>
        <v>902.56708333333336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80</v>
      </c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>
        <v>90</v>
      </c>
      <c r="X98" s="97">
        <v>100</v>
      </c>
      <c r="Y98" s="97">
        <v>60</v>
      </c>
      <c r="Z98" s="97">
        <v>60</v>
      </c>
      <c r="AA98" s="97">
        <v>0</v>
      </c>
      <c r="AB98" s="97"/>
      <c r="AC98" s="97"/>
      <c r="AD98" s="97"/>
      <c r="AE98" s="97"/>
      <c r="AF98" s="97"/>
      <c r="AG98" s="88"/>
      <c r="AH98" s="47">
        <f t="shared" si="49"/>
        <v>100</v>
      </c>
      <c r="AI98" s="48">
        <f t="shared" si="50"/>
        <v>0</v>
      </c>
    </row>
    <row r="99" spans="1:37" ht="15.75" thickBot="1" x14ac:dyDescent="0.3">
      <c r="A99" s="74" t="s">
        <v>102</v>
      </c>
      <c r="B99" s="95">
        <f t="shared" ref="B99:C99" si="73">B97+B98</f>
        <v>945.2670833333334</v>
      </c>
      <c r="C99" s="95">
        <f t="shared" si="73"/>
        <v>917.46708333333333</v>
      </c>
      <c r="D99" s="95">
        <f t="shared" ref="D99:E99" si="74">D97+D98</f>
        <v>902.56708333333336</v>
      </c>
      <c r="E99" s="95">
        <f t="shared" si="74"/>
        <v>917.66708333333338</v>
      </c>
      <c r="F99" s="95">
        <f t="shared" ref="F99:G99" si="75">F97+F98</f>
        <v>918.06708333333336</v>
      </c>
      <c r="G99" s="95">
        <f t="shared" si="75"/>
        <v>999.06708333333336</v>
      </c>
      <c r="H99" s="95">
        <f t="shared" ref="H99:I99" si="76">H97+H98</f>
        <v>1088.8670833333333</v>
      </c>
      <c r="I99" s="95">
        <f t="shared" si="76"/>
        <v>1230.7670833333334</v>
      </c>
      <c r="J99" s="95">
        <f t="shared" ref="J99:K99" si="77">J97+J98</f>
        <v>1369.2670833333334</v>
      </c>
      <c r="K99" s="95">
        <f t="shared" si="77"/>
        <v>1460.4670833333334</v>
      </c>
      <c r="L99" s="95">
        <f t="shared" ref="L99:AF99" si="78">L97+L98</f>
        <v>1562.8670833333333</v>
      </c>
      <c r="M99" s="95">
        <f t="shared" si="78"/>
        <v>1611.2670833333334</v>
      </c>
      <c r="N99" s="95">
        <f t="shared" si="78"/>
        <v>1641.2670833333334</v>
      </c>
      <c r="O99" s="95">
        <f t="shared" si="78"/>
        <v>1590.1670833333335</v>
      </c>
      <c r="P99" s="95">
        <f t="shared" si="78"/>
        <v>1493.8670833333333</v>
      </c>
      <c r="Q99" s="95">
        <f t="shared" si="78"/>
        <v>1407.3670833333333</v>
      </c>
      <c r="R99" s="95">
        <f t="shared" si="78"/>
        <v>1335.5670833333334</v>
      </c>
      <c r="S99" s="95">
        <f t="shared" ref="S99:T99" si="79">S97+S98</f>
        <v>1340.7670833333332</v>
      </c>
      <c r="T99" s="95">
        <f t="shared" si="79"/>
        <v>1348.0670833333334</v>
      </c>
      <c r="U99" s="95">
        <f t="shared" ref="U99:V99" si="80">U97+U98</f>
        <v>1354.3670833333335</v>
      </c>
      <c r="V99" s="95">
        <f t="shared" si="80"/>
        <v>1621.8670833333335</v>
      </c>
      <c r="W99" s="95">
        <f t="shared" si="78"/>
        <v>1564.5670833333334</v>
      </c>
      <c r="X99" s="95">
        <f t="shared" si="78"/>
        <v>1708.0670833333334</v>
      </c>
      <c r="Y99" s="95">
        <f t="shared" ref="Y99:Z99" si="81">Y97+Y98</f>
        <v>1639.9670833333334</v>
      </c>
      <c r="Z99" s="95">
        <f t="shared" si="81"/>
        <v>1571.0670833333336</v>
      </c>
      <c r="AA99" s="95">
        <f t="shared" ref="AA99" si="82">AA97+AA98</f>
        <v>1485.9670833333334</v>
      </c>
      <c r="AB99" s="95">
        <f t="shared" si="78"/>
        <v>1421.7670833333336</v>
      </c>
      <c r="AC99" s="95">
        <f t="shared" si="78"/>
        <v>1354.1670833333333</v>
      </c>
      <c r="AD99" s="95">
        <f t="shared" si="78"/>
        <v>1245.8670833333335</v>
      </c>
      <c r="AE99" s="95">
        <f t="shared" ref="AE99" si="83">AE97+AE98</f>
        <v>1111.1670833333335</v>
      </c>
      <c r="AF99" s="95">
        <f t="shared" si="78"/>
        <v>1069.5670833333334</v>
      </c>
      <c r="AG99" s="88">
        <f>AG96+AG92+AG80+AG76+AG58+AG98</f>
        <v>1693.71</v>
      </c>
      <c r="AH99" s="47">
        <f t="shared" si="49"/>
        <v>1708.0670833333334</v>
      </c>
      <c r="AI99" s="48">
        <f t="shared" si="50"/>
        <v>902.56708333333336</v>
      </c>
    </row>
    <row r="100" spans="1:37" ht="15.75" thickBot="1" x14ac:dyDescent="0.3">
      <c r="A100" s="74" t="s">
        <v>103</v>
      </c>
      <c r="B100" s="95">
        <f t="shared" ref="B100:C100" si="84">B99-(B107)</f>
        <v>940.2670833333334</v>
      </c>
      <c r="C100" s="95">
        <f t="shared" si="84"/>
        <v>911.46708333333333</v>
      </c>
      <c r="D100" s="95">
        <f t="shared" ref="D100:E100" si="85">D99-(D107)</f>
        <v>895.56708333333336</v>
      </c>
      <c r="E100" s="95">
        <f t="shared" si="85"/>
        <v>909.66708333333338</v>
      </c>
      <c r="F100" s="95">
        <f t="shared" ref="F100:G100" si="86">F99-(F107)</f>
        <v>909.06708333333336</v>
      </c>
      <c r="G100" s="95">
        <f t="shared" si="86"/>
        <v>989.06708333333336</v>
      </c>
      <c r="H100" s="95">
        <f t="shared" ref="H100:I100" si="87">H99-(H107)</f>
        <v>1077.8670833333333</v>
      </c>
      <c r="I100" s="95">
        <f t="shared" si="87"/>
        <v>1218.7670833333334</v>
      </c>
      <c r="J100" s="95">
        <f t="shared" ref="J100:K100" si="88">J99-(J107)</f>
        <v>1356.2670833333334</v>
      </c>
      <c r="K100" s="95">
        <f t="shared" si="88"/>
        <v>1446.4670833333334</v>
      </c>
      <c r="L100" s="95">
        <f t="shared" ref="L100:M100" si="89">L99-(L107)</f>
        <v>1562.8670833333333</v>
      </c>
      <c r="M100" s="95">
        <f t="shared" si="89"/>
        <v>1611.2670833333334</v>
      </c>
      <c r="N100" s="95">
        <f>N99-(N107)</f>
        <v>1641.2670833333334</v>
      </c>
      <c r="O100" s="95">
        <f t="shared" ref="O100:AF100" si="90">O99-(O107)</f>
        <v>1590.1670833333335</v>
      </c>
      <c r="P100" s="95">
        <f t="shared" si="90"/>
        <v>1493.8670833333333</v>
      </c>
      <c r="Q100" s="95">
        <f t="shared" si="90"/>
        <v>1407.3670833333333</v>
      </c>
      <c r="R100" s="95">
        <f t="shared" si="90"/>
        <v>1335.5670833333334</v>
      </c>
      <c r="S100" s="95">
        <f t="shared" ref="S100:T100" si="91">S99-(S107)</f>
        <v>1339.7670833333332</v>
      </c>
      <c r="T100" s="95">
        <f t="shared" si="91"/>
        <v>1346.0670833333334</v>
      </c>
      <c r="U100" s="95">
        <f t="shared" ref="U100:V100" si="92">U99-(U107)</f>
        <v>1351.3670833333335</v>
      </c>
      <c r="V100" s="95">
        <f t="shared" si="92"/>
        <v>1617.8670833333335</v>
      </c>
      <c r="W100" s="95">
        <f t="shared" si="90"/>
        <v>1564.5670833333334</v>
      </c>
      <c r="X100" s="95">
        <f t="shared" si="90"/>
        <v>1705.0670833333334</v>
      </c>
      <c r="Y100" s="95">
        <f t="shared" ref="Y100:Z100" si="93">Y99-(Y107)</f>
        <v>1635.9670833333334</v>
      </c>
      <c r="Z100" s="95">
        <f t="shared" si="93"/>
        <v>1566.0670833333336</v>
      </c>
      <c r="AA100" s="95">
        <f t="shared" ref="AA100" si="94">AA99-(AA107)</f>
        <v>1479.9670833333334</v>
      </c>
      <c r="AB100" s="95">
        <f t="shared" si="90"/>
        <v>1421.7670833333336</v>
      </c>
      <c r="AC100" s="95">
        <f t="shared" si="90"/>
        <v>1354.1670833333333</v>
      </c>
      <c r="AD100" s="95">
        <f t="shared" si="90"/>
        <v>1245.8670833333335</v>
      </c>
      <c r="AE100" s="95">
        <f t="shared" ref="AE100" si="95">AE99-(AE107)</f>
        <v>1110.1670833333335</v>
      </c>
      <c r="AF100" s="95">
        <f t="shared" si="90"/>
        <v>1069.5670833333334</v>
      </c>
      <c r="AG100" s="88"/>
      <c r="AH100" s="47">
        <f t="shared" si="49"/>
        <v>1705.0670833333334</v>
      </c>
      <c r="AI100" s="48">
        <f t="shared" si="50"/>
        <v>895.56708333333336</v>
      </c>
    </row>
    <row r="101" spans="1:37" x14ac:dyDescent="0.25">
      <c r="A101" s="44" t="s">
        <v>84</v>
      </c>
      <c r="B101" s="76">
        <f t="shared" ref="B101:C101" si="96">IF(B84&lt;0,B84*-1,0)</f>
        <v>0</v>
      </c>
      <c r="C101" s="76">
        <f t="shared" si="96"/>
        <v>0</v>
      </c>
      <c r="D101" s="76">
        <f t="shared" ref="D101:E101" si="97">IF(D84&lt;0,D84*-1,0)</f>
        <v>0</v>
      </c>
      <c r="E101" s="76">
        <f t="shared" si="97"/>
        <v>0</v>
      </c>
      <c r="F101" s="76">
        <f t="shared" ref="F101:G101" si="98">IF(F84&lt;0,F84*-1,0)</f>
        <v>0</v>
      </c>
      <c r="G101" s="76">
        <f t="shared" si="98"/>
        <v>0</v>
      </c>
      <c r="H101" s="76">
        <f t="shared" ref="H101:I101" si="99">IF(H84&lt;0,H84*-1,0)</f>
        <v>0</v>
      </c>
      <c r="I101" s="76">
        <f t="shared" si="99"/>
        <v>0</v>
      </c>
      <c r="J101" s="76">
        <f t="shared" ref="J101:K101" si="100">IF(J84&lt;0,J84*-1,0)</f>
        <v>0</v>
      </c>
      <c r="K101" s="76">
        <f t="shared" si="100"/>
        <v>0</v>
      </c>
      <c r="L101" s="76">
        <f t="shared" ref="L101:AF101" si="101">IF(L84&lt;0,L84*-1,0)</f>
        <v>0</v>
      </c>
      <c r="M101" s="76">
        <f t="shared" si="101"/>
        <v>0</v>
      </c>
      <c r="N101" s="76">
        <f t="shared" si="101"/>
        <v>0</v>
      </c>
      <c r="O101" s="76">
        <f t="shared" si="101"/>
        <v>0</v>
      </c>
      <c r="P101" s="76">
        <f t="shared" si="101"/>
        <v>0</v>
      </c>
      <c r="Q101" s="76">
        <f t="shared" si="101"/>
        <v>0</v>
      </c>
      <c r="R101" s="76">
        <f t="shared" si="101"/>
        <v>0</v>
      </c>
      <c r="S101" s="76">
        <f t="shared" ref="S101:T101" si="102">IF(S84&lt;0,S84*-1,0)</f>
        <v>0</v>
      </c>
      <c r="T101" s="76">
        <f t="shared" si="102"/>
        <v>0</v>
      </c>
      <c r="U101" s="76">
        <f t="shared" ref="U101:V101" si="103">IF(U84&lt;0,U84*-1,0)</f>
        <v>0</v>
      </c>
      <c r="V101" s="76">
        <f t="shared" si="103"/>
        <v>0</v>
      </c>
      <c r="W101" s="76">
        <f t="shared" si="101"/>
        <v>0</v>
      </c>
      <c r="X101" s="76">
        <f t="shared" si="101"/>
        <v>0</v>
      </c>
      <c r="Y101" s="76">
        <f t="shared" ref="Y101:Z101" si="104">IF(Y84&lt;0,Y84*-1,0)</f>
        <v>0</v>
      </c>
      <c r="Z101" s="76">
        <f t="shared" si="104"/>
        <v>0</v>
      </c>
      <c r="AA101" s="76">
        <f t="shared" ref="AA101" si="105">IF(AA84&lt;0,AA84*-1,0)</f>
        <v>0</v>
      </c>
      <c r="AB101" s="76">
        <f t="shared" si="101"/>
        <v>0</v>
      </c>
      <c r="AC101" s="76">
        <f t="shared" si="101"/>
        <v>0</v>
      </c>
      <c r="AD101" s="76">
        <f t="shared" si="101"/>
        <v>0</v>
      </c>
      <c r="AE101" s="76">
        <f t="shared" ref="AE101" si="106">IF(AE84&lt;0,AE84*-1,0)</f>
        <v>0</v>
      </c>
      <c r="AF101" s="76">
        <f t="shared" si="101"/>
        <v>0</v>
      </c>
      <c r="AG101" s="52"/>
      <c r="AH101" s="47">
        <f t="shared" si="49"/>
        <v>0</v>
      </c>
      <c r="AI101" s="48">
        <f t="shared" si="50"/>
        <v>0</v>
      </c>
    </row>
    <row r="102" spans="1:37" x14ac:dyDescent="0.25">
      <c r="A102" s="54" t="s">
        <v>82</v>
      </c>
      <c r="B102" s="76">
        <f t="shared" ref="B102:C102" si="107">IF(B82&lt;0,B82*-1,0)</f>
        <v>0</v>
      </c>
      <c r="C102" s="76">
        <f t="shared" si="107"/>
        <v>0</v>
      </c>
      <c r="D102" s="76">
        <f t="shared" ref="D102:E102" si="108">IF(D82&lt;0,D82*-1,0)</f>
        <v>0</v>
      </c>
      <c r="E102" s="76">
        <f t="shared" si="108"/>
        <v>0</v>
      </c>
      <c r="F102" s="76">
        <f t="shared" ref="F102:G102" si="109">IF(F82&lt;0,F82*-1,0)</f>
        <v>0</v>
      </c>
      <c r="G102" s="76">
        <f t="shared" si="109"/>
        <v>0</v>
      </c>
      <c r="H102" s="76">
        <f t="shared" ref="H102:I102" si="110">IF(H82&lt;0,H82*-1,0)</f>
        <v>0</v>
      </c>
      <c r="I102" s="76">
        <f t="shared" si="110"/>
        <v>0</v>
      </c>
      <c r="J102" s="76">
        <f t="shared" ref="J102:K102" si="111">IF(J82&lt;0,J82*-1,0)</f>
        <v>0</v>
      </c>
      <c r="K102" s="76">
        <f t="shared" si="111"/>
        <v>0</v>
      </c>
      <c r="L102" s="76">
        <f t="shared" ref="L102:AF102" si="112">IF(L82&lt;0,L82*-1,0)</f>
        <v>0</v>
      </c>
      <c r="M102" s="76">
        <f t="shared" si="112"/>
        <v>0</v>
      </c>
      <c r="N102" s="76">
        <f t="shared" si="112"/>
        <v>0</v>
      </c>
      <c r="O102" s="76">
        <f t="shared" si="112"/>
        <v>0</v>
      </c>
      <c r="P102" s="76">
        <f t="shared" si="112"/>
        <v>0</v>
      </c>
      <c r="Q102" s="76">
        <f t="shared" si="112"/>
        <v>0</v>
      </c>
      <c r="R102" s="76">
        <f t="shared" si="112"/>
        <v>0</v>
      </c>
      <c r="S102" s="76">
        <f t="shared" ref="S102:T102" si="113">IF(S82&lt;0,S82*-1,0)</f>
        <v>0</v>
      </c>
      <c r="T102" s="76">
        <f t="shared" si="113"/>
        <v>0</v>
      </c>
      <c r="U102" s="76">
        <f t="shared" ref="U102:V102" si="114">IF(U82&lt;0,U82*-1,0)</f>
        <v>0</v>
      </c>
      <c r="V102" s="76">
        <f t="shared" si="114"/>
        <v>0</v>
      </c>
      <c r="W102" s="76">
        <f t="shared" si="112"/>
        <v>0</v>
      </c>
      <c r="X102" s="76">
        <f t="shared" si="112"/>
        <v>0</v>
      </c>
      <c r="Y102" s="76">
        <f t="shared" ref="Y102:Z102" si="115">IF(Y82&lt;0,Y82*-1,0)</f>
        <v>0</v>
      </c>
      <c r="Z102" s="76">
        <f t="shared" si="115"/>
        <v>0</v>
      </c>
      <c r="AA102" s="76">
        <f t="shared" ref="AA102" si="116">IF(AA82&lt;0,AA82*-1,0)</f>
        <v>0</v>
      </c>
      <c r="AB102" s="76">
        <f t="shared" si="112"/>
        <v>0</v>
      </c>
      <c r="AC102" s="76">
        <f t="shared" si="112"/>
        <v>0</v>
      </c>
      <c r="AD102" s="76">
        <f t="shared" si="112"/>
        <v>0</v>
      </c>
      <c r="AE102" s="76">
        <f t="shared" ref="AE102" si="117">IF(AE82&lt;0,AE82*-1,0)</f>
        <v>0</v>
      </c>
      <c r="AF102" s="76">
        <f t="shared" si="112"/>
        <v>0</v>
      </c>
      <c r="AG102" s="55"/>
      <c r="AH102" s="47">
        <f t="shared" si="49"/>
        <v>0</v>
      </c>
      <c r="AI102" s="48">
        <f t="shared" si="50"/>
        <v>0</v>
      </c>
    </row>
    <row r="103" spans="1:37" x14ac:dyDescent="0.25">
      <c r="A103" s="84" t="s">
        <v>104</v>
      </c>
      <c r="B103" s="76">
        <f t="shared" ref="B103:C103" si="118">IF(B85&lt;0,B85*-1,0)</f>
        <v>0</v>
      </c>
      <c r="C103" s="76">
        <f t="shared" si="118"/>
        <v>0</v>
      </c>
      <c r="D103" s="76">
        <f t="shared" ref="D103:E103" si="119">IF(D85&lt;0,D85*-1,0)</f>
        <v>0</v>
      </c>
      <c r="E103" s="76">
        <f t="shared" si="119"/>
        <v>0</v>
      </c>
      <c r="F103" s="76">
        <f t="shared" ref="F103:G103" si="120">IF(F85&lt;0,F85*-1,0)</f>
        <v>0</v>
      </c>
      <c r="G103" s="76">
        <f t="shared" si="120"/>
        <v>0</v>
      </c>
      <c r="H103" s="76">
        <f t="shared" ref="H103:I103" si="121">IF(H85&lt;0,H85*-1,0)</f>
        <v>0</v>
      </c>
      <c r="I103" s="76">
        <f t="shared" si="121"/>
        <v>0</v>
      </c>
      <c r="J103" s="76">
        <f t="shared" ref="J103:K103" si="122">IF(J85&lt;0,J85*-1,0)</f>
        <v>0</v>
      </c>
      <c r="K103" s="76">
        <f t="shared" si="122"/>
        <v>0</v>
      </c>
      <c r="L103" s="76">
        <f t="shared" ref="L103:AF103" si="123">IF(L85&lt;0,L85*-1,0)</f>
        <v>0</v>
      </c>
      <c r="M103" s="76">
        <f t="shared" si="123"/>
        <v>0</v>
      </c>
      <c r="N103" s="76">
        <f t="shared" si="123"/>
        <v>0</v>
      </c>
      <c r="O103" s="76">
        <f t="shared" si="123"/>
        <v>0</v>
      </c>
      <c r="P103" s="76">
        <f t="shared" si="123"/>
        <v>0</v>
      </c>
      <c r="Q103" s="76">
        <f t="shared" si="123"/>
        <v>0</v>
      </c>
      <c r="R103" s="76">
        <f t="shared" si="123"/>
        <v>0</v>
      </c>
      <c r="S103" s="76">
        <f t="shared" ref="S103:T103" si="124">IF(S85&lt;0,S85*-1,0)</f>
        <v>0</v>
      </c>
      <c r="T103" s="76">
        <f t="shared" si="124"/>
        <v>0</v>
      </c>
      <c r="U103" s="76">
        <f t="shared" ref="U103:V103" si="125">IF(U85&lt;0,U85*-1,0)</f>
        <v>0</v>
      </c>
      <c r="V103" s="76">
        <f t="shared" si="125"/>
        <v>0</v>
      </c>
      <c r="W103" s="76">
        <f t="shared" si="123"/>
        <v>0</v>
      </c>
      <c r="X103" s="76">
        <f t="shared" si="123"/>
        <v>0</v>
      </c>
      <c r="Y103" s="76">
        <f t="shared" ref="Y103:Z103" si="126">IF(Y85&lt;0,Y85*-1,0)</f>
        <v>0</v>
      </c>
      <c r="Z103" s="76">
        <f t="shared" si="126"/>
        <v>0</v>
      </c>
      <c r="AA103" s="76">
        <f t="shared" ref="AA103" si="127">IF(AA85&lt;0,AA85*-1,0)</f>
        <v>0</v>
      </c>
      <c r="AB103" s="76">
        <f t="shared" si="123"/>
        <v>0</v>
      </c>
      <c r="AC103" s="76">
        <f t="shared" si="123"/>
        <v>0</v>
      </c>
      <c r="AD103" s="76">
        <f t="shared" si="123"/>
        <v>0</v>
      </c>
      <c r="AE103" s="76">
        <f t="shared" ref="AE103" si="128">IF(AE85&lt;0,AE85*-1,0)</f>
        <v>0</v>
      </c>
      <c r="AF103" s="76">
        <f t="shared" si="123"/>
        <v>0</v>
      </c>
      <c r="AG103" s="98"/>
      <c r="AH103" s="47">
        <f t="shared" si="49"/>
        <v>0</v>
      </c>
      <c r="AI103" s="48">
        <f t="shared" si="50"/>
        <v>0</v>
      </c>
    </row>
    <row r="104" spans="1:37" x14ac:dyDescent="0.25">
      <c r="A104" s="84" t="s">
        <v>105</v>
      </c>
      <c r="B104" s="76">
        <f t="shared" ref="B104:C104" si="129">IF(B83&lt;0,B83*-1,0)</f>
        <v>0</v>
      </c>
      <c r="C104" s="76">
        <f t="shared" si="129"/>
        <v>0</v>
      </c>
      <c r="D104" s="76">
        <f t="shared" ref="D104:E104" si="130">IF(D83&lt;0,D83*-1,0)</f>
        <v>0</v>
      </c>
      <c r="E104" s="76">
        <f t="shared" si="130"/>
        <v>0</v>
      </c>
      <c r="F104" s="76">
        <f t="shared" ref="F104:G104" si="131">IF(F83&lt;0,F83*-1,0)</f>
        <v>0</v>
      </c>
      <c r="G104" s="76">
        <f t="shared" si="131"/>
        <v>0</v>
      </c>
      <c r="H104" s="76">
        <f t="shared" ref="H104:I104" si="132">IF(H83&lt;0,H83*-1,0)</f>
        <v>0</v>
      </c>
      <c r="I104" s="76">
        <f t="shared" si="132"/>
        <v>0</v>
      </c>
      <c r="J104" s="76">
        <f t="shared" ref="J104:K104" si="133">IF(J83&lt;0,J83*-1,0)</f>
        <v>0</v>
      </c>
      <c r="K104" s="76">
        <f t="shared" si="133"/>
        <v>0</v>
      </c>
      <c r="L104" s="76">
        <f t="shared" ref="L104:AF104" si="134">IF(L83&lt;0,L83*-1,0)</f>
        <v>0</v>
      </c>
      <c r="M104" s="76">
        <f t="shared" si="134"/>
        <v>0</v>
      </c>
      <c r="N104" s="76">
        <f t="shared" si="134"/>
        <v>0</v>
      </c>
      <c r="O104" s="76">
        <f t="shared" si="134"/>
        <v>0</v>
      </c>
      <c r="P104" s="76">
        <f t="shared" si="134"/>
        <v>0</v>
      </c>
      <c r="Q104" s="76">
        <f t="shared" si="134"/>
        <v>0</v>
      </c>
      <c r="R104" s="76">
        <f t="shared" si="134"/>
        <v>0</v>
      </c>
      <c r="S104" s="76">
        <f t="shared" ref="S104:T104" si="135">IF(S83&lt;0,S83*-1,0)</f>
        <v>0</v>
      </c>
      <c r="T104" s="76">
        <f t="shared" si="135"/>
        <v>0</v>
      </c>
      <c r="U104" s="76">
        <f t="shared" ref="U104:V104" si="136">IF(U83&lt;0,U83*-1,0)</f>
        <v>0</v>
      </c>
      <c r="V104" s="76">
        <f t="shared" si="136"/>
        <v>0</v>
      </c>
      <c r="W104" s="76">
        <f t="shared" si="134"/>
        <v>0</v>
      </c>
      <c r="X104" s="76">
        <f t="shared" si="134"/>
        <v>0</v>
      </c>
      <c r="Y104" s="76">
        <f t="shared" ref="Y104:Z104" si="137">IF(Y83&lt;0,Y83*-1,0)</f>
        <v>0</v>
      </c>
      <c r="Z104" s="76">
        <f t="shared" si="137"/>
        <v>0</v>
      </c>
      <c r="AA104" s="76">
        <f t="shared" ref="AA104" si="138">IF(AA83&lt;0,AA83*-1,0)</f>
        <v>0</v>
      </c>
      <c r="AB104" s="76">
        <f t="shared" si="134"/>
        <v>0</v>
      </c>
      <c r="AC104" s="76">
        <f t="shared" si="134"/>
        <v>0</v>
      </c>
      <c r="AD104" s="76">
        <f t="shared" si="134"/>
        <v>0</v>
      </c>
      <c r="AE104" s="76">
        <f t="shared" ref="AE104" si="139">IF(AE83&lt;0,AE83*-1,0)</f>
        <v>0</v>
      </c>
      <c r="AF104" s="76">
        <f t="shared" si="134"/>
        <v>0</v>
      </c>
      <c r="AG104" s="98"/>
      <c r="AH104" s="47">
        <f t="shared" si="49"/>
        <v>0</v>
      </c>
      <c r="AI104" s="48">
        <f t="shared" si="50"/>
        <v>0</v>
      </c>
    </row>
    <row r="105" spans="1:37" x14ac:dyDescent="0.25">
      <c r="A105" s="84" t="s">
        <v>81</v>
      </c>
      <c r="B105" s="76">
        <f t="shared" ref="B105:C105" si="140">IF(B81&lt;0,B81*-1,0)</f>
        <v>0</v>
      </c>
      <c r="C105" s="76">
        <f t="shared" si="140"/>
        <v>0</v>
      </c>
      <c r="D105" s="76">
        <f t="shared" ref="D105:E105" si="141">IF(D81&lt;0,D81*-1,0)</f>
        <v>0</v>
      </c>
      <c r="E105" s="76">
        <f t="shared" si="141"/>
        <v>0</v>
      </c>
      <c r="F105" s="76">
        <f t="shared" ref="F105:G105" si="142">IF(F81&lt;0,F81*-1,0)</f>
        <v>0</v>
      </c>
      <c r="G105" s="76">
        <f t="shared" si="142"/>
        <v>0</v>
      </c>
      <c r="H105" s="76">
        <f t="shared" ref="H105:I105" si="143">IF(H81&lt;0,H81*-1,0)</f>
        <v>0</v>
      </c>
      <c r="I105" s="76">
        <f t="shared" si="143"/>
        <v>0</v>
      </c>
      <c r="J105" s="76">
        <f t="shared" ref="J105:K105" si="144">IF(J81&lt;0,J81*-1,0)</f>
        <v>0</v>
      </c>
      <c r="K105" s="76">
        <f t="shared" si="144"/>
        <v>0</v>
      </c>
      <c r="L105" s="76">
        <f t="shared" ref="L105:AF105" si="145">IF(L81&lt;0,L81*-1,0)</f>
        <v>0</v>
      </c>
      <c r="M105" s="76">
        <f t="shared" si="145"/>
        <v>0</v>
      </c>
      <c r="N105" s="76">
        <f t="shared" si="145"/>
        <v>0</v>
      </c>
      <c r="O105" s="76">
        <f t="shared" si="145"/>
        <v>0</v>
      </c>
      <c r="P105" s="76">
        <f t="shared" si="145"/>
        <v>0</v>
      </c>
      <c r="Q105" s="76">
        <f t="shared" si="145"/>
        <v>0</v>
      </c>
      <c r="R105" s="76">
        <f t="shared" si="145"/>
        <v>0</v>
      </c>
      <c r="S105" s="76">
        <f t="shared" ref="S105:T105" si="146">IF(S81&lt;0,S81*-1,0)</f>
        <v>0</v>
      </c>
      <c r="T105" s="76">
        <f t="shared" si="146"/>
        <v>0</v>
      </c>
      <c r="U105" s="76">
        <f t="shared" ref="U105:V105" si="147">IF(U81&lt;0,U81*-1,0)</f>
        <v>0</v>
      </c>
      <c r="V105" s="76">
        <f t="shared" si="147"/>
        <v>0</v>
      </c>
      <c r="W105" s="76">
        <f t="shared" si="145"/>
        <v>0</v>
      </c>
      <c r="X105" s="76">
        <f t="shared" si="145"/>
        <v>0</v>
      </c>
      <c r="Y105" s="76">
        <f t="shared" ref="Y105:Z105" si="148">IF(Y81&lt;0,Y81*-1,0)</f>
        <v>0</v>
      </c>
      <c r="Z105" s="76">
        <f t="shared" si="148"/>
        <v>0</v>
      </c>
      <c r="AA105" s="76">
        <f t="shared" ref="AA105" si="149">IF(AA81&lt;0,AA81*-1,0)</f>
        <v>0</v>
      </c>
      <c r="AB105" s="76">
        <f t="shared" si="145"/>
        <v>0</v>
      </c>
      <c r="AC105" s="76">
        <f t="shared" si="145"/>
        <v>0</v>
      </c>
      <c r="AD105" s="76">
        <f t="shared" si="145"/>
        <v>0</v>
      </c>
      <c r="AE105" s="76">
        <f t="shared" ref="AE105" si="150">IF(AE81&lt;0,AE81*-1,0)</f>
        <v>0</v>
      </c>
      <c r="AF105" s="76">
        <f t="shared" si="145"/>
        <v>0</v>
      </c>
      <c r="AG105" s="98"/>
      <c r="AH105" s="47">
        <f t="shared" si="49"/>
        <v>0</v>
      </c>
      <c r="AI105" s="48">
        <f t="shared" si="50"/>
        <v>0</v>
      </c>
    </row>
    <row r="106" spans="1:37" ht="15.75" thickBot="1" x14ac:dyDescent="0.3">
      <c r="A106" s="84" t="s">
        <v>106</v>
      </c>
      <c r="B106" s="94">
        <v>5</v>
      </c>
      <c r="C106" s="94">
        <v>6</v>
      </c>
      <c r="D106" s="94">
        <v>7</v>
      </c>
      <c r="E106" s="94">
        <v>8</v>
      </c>
      <c r="F106" s="94">
        <v>9</v>
      </c>
      <c r="G106" s="94">
        <v>10</v>
      </c>
      <c r="H106" s="94">
        <v>11</v>
      </c>
      <c r="I106" s="94">
        <v>12</v>
      </c>
      <c r="J106" s="94">
        <v>13</v>
      </c>
      <c r="K106" s="94">
        <v>14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3</v>
      </c>
      <c r="V106" s="94">
        <v>4</v>
      </c>
      <c r="W106" s="94">
        <v>0</v>
      </c>
      <c r="X106" s="94">
        <v>3</v>
      </c>
      <c r="Y106" s="94">
        <v>4</v>
      </c>
      <c r="Z106" s="94">
        <v>5</v>
      </c>
      <c r="AA106" s="94">
        <v>6</v>
      </c>
      <c r="AB106" s="94">
        <v>0</v>
      </c>
      <c r="AC106" s="94">
        <v>0</v>
      </c>
      <c r="AD106" s="94">
        <v>0</v>
      </c>
      <c r="AE106" s="94">
        <v>1</v>
      </c>
      <c r="AF106" s="94">
        <v>0</v>
      </c>
      <c r="AG106" s="85"/>
      <c r="AH106" s="47">
        <f t="shared" si="49"/>
        <v>14</v>
      </c>
      <c r="AI106" s="48">
        <f t="shared" si="50"/>
        <v>0</v>
      </c>
    </row>
    <row r="107" spans="1:37" ht="15.75" thickBot="1" x14ac:dyDescent="0.3">
      <c r="A107" s="99" t="s">
        <v>107</v>
      </c>
      <c r="B107" s="60">
        <f t="shared" ref="B107:C107" si="151">SUM(B101:B106)</f>
        <v>5</v>
      </c>
      <c r="C107" s="60">
        <f t="shared" si="151"/>
        <v>6</v>
      </c>
      <c r="D107" s="60">
        <f t="shared" ref="D107:E107" si="152">SUM(D101:D106)</f>
        <v>7</v>
      </c>
      <c r="E107" s="60">
        <f t="shared" si="152"/>
        <v>8</v>
      </c>
      <c r="F107" s="60">
        <f t="shared" ref="F107:G107" si="153">SUM(F101:F106)</f>
        <v>9</v>
      </c>
      <c r="G107" s="60">
        <f t="shared" si="153"/>
        <v>10</v>
      </c>
      <c r="H107" s="60">
        <f t="shared" ref="H107:I107" si="154">SUM(H101:H106)</f>
        <v>11</v>
      </c>
      <c r="I107" s="60">
        <f t="shared" si="154"/>
        <v>12</v>
      </c>
      <c r="J107" s="60">
        <f t="shared" ref="J107:K107" si="155">SUM(J101:J106)</f>
        <v>13</v>
      </c>
      <c r="K107" s="60">
        <f t="shared" si="155"/>
        <v>14</v>
      </c>
      <c r="L107" s="60">
        <f t="shared" ref="L107:AF107" si="156">SUM(L101:L106)</f>
        <v>0</v>
      </c>
      <c r="M107" s="60">
        <f t="shared" si="156"/>
        <v>0</v>
      </c>
      <c r="N107" s="60">
        <f t="shared" si="156"/>
        <v>0</v>
      </c>
      <c r="O107" s="60">
        <f t="shared" si="156"/>
        <v>0</v>
      </c>
      <c r="P107" s="60">
        <f t="shared" si="156"/>
        <v>0</v>
      </c>
      <c r="Q107" s="60">
        <f t="shared" si="156"/>
        <v>0</v>
      </c>
      <c r="R107" s="60">
        <f t="shared" si="156"/>
        <v>0</v>
      </c>
      <c r="S107" s="60">
        <f t="shared" ref="S107:T107" si="157">SUM(S101:S106)</f>
        <v>1</v>
      </c>
      <c r="T107" s="60">
        <f t="shared" si="157"/>
        <v>2</v>
      </c>
      <c r="U107" s="60">
        <f t="shared" ref="U107:V107" si="158">SUM(U101:U106)</f>
        <v>3</v>
      </c>
      <c r="V107" s="60">
        <f t="shared" si="158"/>
        <v>4</v>
      </c>
      <c r="W107" s="60">
        <f t="shared" si="156"/>
        <v>0</v>
      </c>
      <c r="X107" s="60">
        <f t="shared" si="156"/>
        <v>3</v>
      </c>
      <c r="Y107" s="60">
        <f t="shared" ref="Y107:Z107" si="159">SUM(Y101:Y106)</f>
        <v>4</v>
      </c>
      <c r="Z107" s="60">
        <f t="shared" si="159"/>
        <v>5</v>
      </c>
      <c r="AA107" s="60">
        <f t="shared" ref="AA107" si="160">SUM(AA101:AA106)</f>
        <v>6</v>
      </c>
      <c r="AB107" s="60">
        <f t="shared" si="156"/>
        <v>0</v>
      </c>
      <c r="AC107" s="60">
        <f t="shared" si="156"/>
        <v>0</v>
      </c>
      <c r="AD107" s="60">
        <f t="shared" si="156"/>
        <v>0</v>
      </c>
      <c r="AE107" s="60">
        <f t="shared" ref="AE107" si="161">SUM(AE101:AE106)</f>
        <v>1</v>
      </c>
      <c r="AF107" s="60">
        <f t="shared" si="156"/>
        <v>0</v>
      </c>
      <c r="AG107" s="88"/>
      <c r="AH107" s="47">
        <f t="shared" si="49"/>
        <v>14</v>
      </c>
      <c r="AI107" s="48">
        <f t="shared" si="50"/>
        <v>0</v>
      </c>
      <c r="AK107" s="50"/>
    </row>
    <row r="108" spans="1:37" ht="15.75" thickBot="1" x14ac:dyDescent="0.3">
      <c r="A108" s="74" t="s">
        <v>108</v>
      </c>
      <c r="B108" s="60">
        <f t="shared" ref="B108:C108" si="162">B92-B107</f>
        <v>138</v>
      </c>
      <c r="C108" s="60">
        <f t="shared" si="162"/>
        <v>80</v>
      </c>
      <c r="D108" s="60">
        <f t="shared" ref="D108:E108" si="163">D92-D107</f>
        <v>68.599999999999994</v>
      </c>
      <c r="E108" s="60">
        <f t="shared" si="163"/>
        <v>79</v>
      </c>
      <c r="F108" s="60">
        <f t="shared" ref="F108:G108" si="164">F92-F107</f>
        <v>35.4</v>
      </c>
      <c r="G108" s="60">
        <f t="shared" si="164"/>
        <v>61.8</v>
      </c>
      <c r="H108" s="60">
        <f t="shared" ref="H108:I108" si="165">H92-H107</f>
        <v>106</v>
      </c>
      <c r="I108" s="60">
        <f t="shared" si="165"/>
        <v>224</v>
      </c>
      <c r="J108" s="60">
        <f t="shared" ref="J108:K108" si="166">J92-J107</f>
        <v>188.5</v>
      </c>
      <c r="K108" s="60">
        <f t="shared" si="166"/>
        <v>157.10000000000002</v>
      </c>
      <c r="L108" s="60">
        <f t="shared" ref="L108:AF108" si="167">L92-L107</f>
        <v>183.5</v>
      </c>
      <c r="M108" s="60">
        <f t="shared" si="167"/>
        <v>126.8</v>
      </c>
      <c r="N108" s="60">
        <f t="shared" si="167"/>
        <v>58.6</v>
      </c>
      <c r="O108" s="60">
        <f t="shared" si="167"/>
        <v>49.9</v>
      </c>
      <c r="P108" s="60">
        <f t="shared" si="167"/>
        <v>248.6</v>
      </c>
      <c r="Q108" s="60">
        <f t="shared" si="167"/>
        <v>202.1</v>
      </c>
      <c r="R108" s="60">
        <f t="shared" si="167"/>
        <v>207.4</v>
      </c>
      <c r="S108" s="60">
        <f t="shared" ref="S108:T108" si="168">S92-S107</f>
        <v>258.39999999999998</v>
      </c>
      <c r="T108" s="60">
        <f t="shared" si="168"/>
        <v>295.2</v>
      </c>
      <c r="U108" s="60">
        <f t="shared" ref="U108:V108" si="169">U92-U107</f>
        <v>381.2</v>
      </c>
      <c r="V108" s="60">
        <f t="shared" si="169"/>
        <v>374.90000000000003</v>
      </c>
      <c r="W108" s="60">
        <f t="shared" si="167"/>
        <v>61.1</v>
      </c>
      <c r="X108" s="60">
        <f t="shared" si="167"/>
        <v>38.9</v>
      </c>
      <c r="Y108" s="60">
        <f t="shared" ref="Y108:Z108" si="170">Y92-Y107</f>
        <v>91.4</v>
      </c>
      <c r="Z108" s="60">
        <f t="shared" si="170"/>
        <v>130.19999999999999</v>
      </c>
      <c r="AA108" s="60">
        <f t="shared" ref="AA108" si="171">AA92-AA107</f>
        <v>188</v>
      </c>
      <c r="AB108" s="60">
        <f t="shared" si="167"/>
        <v>226.9</v>
      </c>
      <c r="AC108" s="60">
        <f t="shared" si="167"/>
        <v>237.10000000000002</v>
      </c>
      <c r="AD108" s="60">
        <f t="shared" si="167"/>
        <v>243.9</v>
      </c>
      <c r="AE108" s="60">
        <f t="shared" ref="AE108" si="172">AE92-AE107</f>
        <v>174.7</v>
      </c>
      <c r="AF108" s="60">
        <f t="shared" si="167"/>
        <v>174.2</v>
      </c>
      <c r="AG108" s="88"/>
      <c r="AH108" s="47">
        <f t="shared" si="49"/>
        <v>381.2</v>
      </c>
      <c r="AI108" s="48">
        <f t="shared" si="50"/>
        <v>35.4</v>
      </c>
    </row>
    <row r="109" spans="1:37" x14ac:dyDescent="0.25">
      <c r="A109" s="100" t="s">
        <v>109</v>
      </c>
      <c r="B109" s="101">
        <v>50.055999999999997</v>
      </c>
      <c r="C109" s="101">
        <v>50</v>
      </c>
      <c r="D109" s="101">
        <v>50</v>
      </c>
      <c r="E109" s="101">
        <v>49.98</v>
      </c>
      <c r="F109" s="101">
        <v>49.95</v>
      </c>
      <c r="G109" s="101">
        <v>50.03</v>
      </c>
      <c r="H109" s="101">
        <v>50.146000000000001</v>
      </c>
      <c r="I109" s="101">
        <v>50.03</v>
      </c>
      <c r="J109" s="101">
        <v>50.02</v>
      </c>
      <c r="K109" s="101">
        <v>50.07</v>
      </c>
      <c r="L109" s="101">
        <v>50.07</v>
      </c>
      <c r="M109" s="101">
        <v>50.006</v>
      </c>
      <c r="N109" s="101">
        <v>50.017000000000003</v>
      </c>
      <c r="O109" s="101">
        <v>50.04</v>
      </c>
      <c r="P109" s="101">
        <v>50</v>
      </c>
      <c r="Q109" s="101">
        <v>49.96</v>
      </c>
      <c r="R109" s="101">
        <v>50.08</v>
      </c>
      <c r="S109" s="101">
        <v>49.99</v>
      </c>
      <c r="T109" s="101">
        <v>50.02</v>
      </c>
      <c r="U109" s="101">
        <v>50.02</v>
      </c>
      <c r="V109" s="101">
        <v>50.03</v>
      </c>
      <c r="W109" s="101">
        <v>50.067999999999998</v>
      </c>
      <c r="X109" s="101">
        <v>50.05</v>
      </c>
      <c r="Y109" s="101">
        <v>50.03</v>
      </c>
      <c r="Z109" s="101">
        <v>49.96</v>
      </c>
      <c r="AA109" s="101">
        <v>49.91</v>
      </c>
      <c r="AB109" s="101">
        <v>49.86</v>
      </c>
      <c r="AC109" s="101">
        <v>49.985999999999997</v>
      </c>
      <c r="AD109" s="101">
        <v>49.902999999999999</v>
      </c>
      <c r="AE109" s="101">
        <v>49.902999999999999</v>
      </c>
      <c r="AF109" s="101">
        <v>50</v>
      </c>
      <c r="AG109" s="102"/>
      <c r="AH109" s="47">
        <f t="shared" si="49"/>
        <v>50.146000000000001</v>
      </c>
      <c r="AI109" s="48">
        <f t="shared" si="50"/>
        <v>49.86</v>
      </c>
    </row>
    <row r="110" spans="1:37" x14ac:dyDescent="0.25">
      <c r="A110" s="103" t="s">
        <v>110</v>
      </c>
      <c r="B110" s="65">
        <v>131.5</v>
      </c>
      <c r="C110" s="65">
        <v>131.5</v>
      </c>
      <c r="D110" s="65">
        <v>131.5</v>
      </c>
      <c r="E110" s="65">
        <v>132.4</v>
      </c>
      <c r="F110" s="65">
        <v>132.4</v>
      </c>
      <c r="G110" s="65">
        <v>131.69999999999999</v>
      </c>
      <c r="H110" s="65">
        <v>131.1</v>
      </c>
      <c r="I110" s="65">
        <v>130.19999999999999</v>
      </c>
      <c r="J110" s="65">
        <v>127.4</v>
      </c>
      <c r="K110" s="65">
        <v>126.1</v>
      </c>
      <c r="L110" s="65">
        <v>126.1</v>
      </c>
      <c r="M110" s="65">
        <v>123</v>
      </c>
      <c r="N110" s="65">
        <v>125.5</v>
      </c>
      <c r="O110" s="65">
        <v>125.4</v>
      </c>
      <c r="P110" s="65">
        <v>126</v>
      </c>
      <c r="Q110" s="65">
        <v>126.5</v>
      </c>
      <c r="R110" s="65">
        <v>126.4</v>
      </c>
      <c r="S110" s="65">
        <v>126.2</v>
      </c>
      <c r="T110" s="65">
        <v>126</v>
      </c>
      <c r="U110" s="65">
        <v>125.9</v>
      </c>
      <c r="V110" s="65">
        <v>127.5</v>
      </c>
      <c r="W110" s="65">
        <v>128.80000000000001</v>
      </c>
      <c r="X110" s="65">
        <v>128.6</v>
      </c>
      <c r="Y110" s="65">
        <v>127.2</v>
      </c>
      <c r="Z110" s="65">
        <v>127.2</v>
      </c>
      <c r="AA110" s="65">
        <v>129.5</v>
      </c>
      <c r="AB110" s="65">
        <v>128.80000000000001</v>
      </c>
      <c r="AC110" s="65">
        <v>128.80000000000001</v>
      </c>
      <c r="AD110" s="65">
        <v>129.80000000000001</v>
      </c>
      <c r="AE110" s="65">
        <v>129.80000000000001</v>
      </c>
      <c r="AF110" s="65">
        <v>131.69999999999999</v>
      </c>
      <c r="AG110" s="104"/>
      <c r="AH110" s="47">
        <f t="shared" si="49"/>
        <v>132.4</v>
      </c>
      <c r="AI110" s="48">
        <f t="shared" si="50"/>
        <v>123</v>
      </c>
    </row>
    <row r="111" spans="1:37" x14ac:dyDescent="0.25">
      <c r="A111" s="103" t="s">
        <v>111</v>
      </c>
      <c r="B111" s="65">
        <v>135</v>
      </c>
      <c r="C111" s="65">
        <v>135</v>
      </c>
      <c r="D111" s="65">
        <v>135</v>
      </c>
      <c r="E111" s="65">
        <v>135.5</v>
      </c>
      <c r="F111" s="65">
        <v>135.5</v>
      </c>
      <c r="G111" s="65">
        <v>134.9</v>
      </c>
      <c r="H111" s="65">
        <v>134.19999999999999</v>
      </c>
      <c r="I111" s="65">
        <v>133</v>
      </c>
      <c r="J111" s="65">
        <v>129.9</v>
      </c>
      <c r="K111" s="65">
        <v>128.1</v>
      </c>
      <c r="L111" s="65">
        <v>128.1</v>
      </c>
      <c r="M111" s="65">
        <v>125.6</v>
      </c>
      <c r="N111" s="65">
        <v>128.19999999999999</v>
      </c>
      <c r="O111" s="65">
        <v>128.1</v>
      </c>
      <c r="P111" s="65">
        <v>129</v>
      </c>
      <c r="Q111" s="65">
        <v>129.80000000000001</v>
      </c>
      <c r="R111" s="65">
        <v>129.4</v>
      </c>
      <c r="S111" s="65">
        <v>129.19999999999999</v>
      </c>
      <c r="T111" s="65">
        <v>129</v>
      </c>
      <c r="U111" s="65">
        <v>128.9</v>
      </c>
      <c r="V111" s="65">
        <v>130</v>
      </c>
      <c r="W111" s="65">
        <v>130.5</v>
      </c>
      <c r="X111" s="65">
        <v>129.9</v>
      </c>
      <c r="Y111" s="65">
        <v>129.5</v>
      </c>
      <c r="Z111" s="65">
        <v>129.5</v>
      </c>
      <c r="AA111" s="65">
        <v>131.30000000000001</v>
      </c>
      <c r="AB111" s="65">
        <v>130.5</v>
      </c>
      <c r="AC111" s="65">
        <v>130.80000000000001</v>
      </c>
      <c r="AD111" s="65">
        <v>132.1</v>
      </c>
      <c r="AE111" s="65">
        <v>132.1</v>
      </c>
      <c r="AF111" s="65">
        <v>134.69999999999999</v>
      </c>
      <c r="AG111" s="104"/>
      <c r="AH111" s="47">
        <f t="shared" si="49"/>
        <v>135.5</v>
      </c>
      <c r="AI111" s="48">
        <f t="shared" si="50"/>
        <v>125.6</v>
      </c>
    </row>
    <row r="112" spans="1:37" x14ac:dyDescent="0.25">
      <c r="A112" s="103" t="s">
        <v>112</v>
      </c>
      <c r="B112" s="65">
        <v>130</v>
      </c>
      <c r="C112" s="65">
        <v>131</v>
      </c>
      <c r="D112" s="65">
        <v>131</v>
      </c>
      <c r="E112" s="65">
        <v>131.6</v>
      </c>
      <c r="F112" s="65">
        <v>131.6</v>
      </c>
      <c r="G112" s="65">
        <v>130.9</v>
      </c>
      <c r="H112" s="65">
        <v>128.9</v>
      </c>
      <c r="I112" s="65">
        <v>130.19999999999999</v>
      </c>
      <c r="J112" s="65">
        <v>128</v>
      </c>
      <c r="K112" s="65">
        <v>129.5</v>
      </c>
      <c r="L112" s="65">
        <v>129.5</v>
      </c>
      <c r="M112" s="65">
        <v>126.6</v>
      </c>
      <c r="N112" s="65">
        <v>124.3</v>
      </c>
      <c r="O112" s="65">
        <v>128.1</v>
      </c>
      <c r="P112" s="65">
        <v>127</v>
      </c>
      <c r="Q112" s="65">
        <v>130.30000000000001</v>
      </c>
      <c r="R112" s="65">
        <v>130.5</v>
      </c>
      <c r="S112" s="65">
        <v>130.19999999999999</v>
      </c>
      <c r="T112" s="65">
        <v>128.5</v>
      </c>
      <c r="U112" s="65">
        <v>131.19999999999999</v>
      </c>
      <c r="V112" s="65">
        <v>130.19999999999999</v>
      </c>
      <c r="W112" s="65">
        <v>125.9</v>
      </c>
      <c r="X112" s="65">
        <v>129.4</v>
      </c>
      <c r="Y112" s="65">
        <v>131.1</v>
      </c>
      <c r="Z112" s="65">
        <v>131.1</v>
      </c>
      <c r="AA112" s="65">
        <v>132.1</v>
      </c>
      <c r="AB112" s="65">
        <v>132.5</v>
      </c>
      <c r="AC112" s="65">
        <v>131.80000000000001</v>
      </c>
      <c r="AD112" s="65">
        <v>133.1</v>
      </c>
      <c r="AE112" s="65">
        <v>133.1</v>
      </c>
      <c r="AF112" s="65">
        <v>130.69999999999999</v>
      </c>
      <c r="AG112" s="104"/>
      <c r="AH112" s="47">
        <f t="shared" si="49"/>
        <v>133.1</v>
      </c>
      <c r="AI112" s="48">
        <f t="shared" si="50"/>
        <v>124.3</v>
      </c>
    </row>
    <row r="113" spans="1:35" x14ac:dyDescent="0.25">
      <c r="A113" s="105" t="s">
        <v>113</v>
      </c>
      <c r="B113" s="65">
        <v>131</v>
      </c>
      <c r="C113" s="65">
        <v>132</v>
      </c>
      <c r="D113" s="65">
        <v>132</v>
      </c>
      <c r="E113" s="65">
        <v>132.19999999999999</v>
      </c>
      <c r="F113" s="65">
        <v>132.19999999999999</v>
      </c>
      <c r="G113" s="65">
        <v>133.30000000000001</v>
      </c>
      <c r="H113" s="65">
        <v>131.4</v>
      </c>
      <c r="I113" s="65">
        <v>131.9</v>
      </c>
      <c r="J113" s="65">
        <v>129.9</v>
      </c>
      <c r="K113" s="65">
        <v>130.19999999999999</v>
      </c>
      <c r="L113" s="65">
        <v>130.19999999999999</v>
      </c>
      <c r="M113" s="65">
        <v>128.1</v>
      </c>
      <c r="N113" s="65">
        <v>124.7</v>
      </c>
      <c r="O113" s="65">
        <v>128.69999999999999</v>
      </c>
      <c r="P113" s="65">
        <v>128.5</v>
      </c>
      <c r="Q113" s="65">
        <v>131.30000000000001</v>
      </c>
      <c r="R113" s="65">
        <v>132.19999999999999</v>
      </c>
      <c r="S113" s="65">
        <v>132.5</v>
      </c>
      <c r="T113" s="65">
        <v>131.1</v>
      </c>
      <c r="U113" s="65">
        <v>132.5</v>
      </c>
      <c r="V113" s="65">
        <v>130.6</v>
      </c>
      <c r="W113" s="65">
        <v>127.4</v>
      </c>
      <c r="X113" s="65">
        <v>129.19999999999999</v>
      </c>
      <c r="Y113" s="65">
        <v>131.9</v>
      </c>
      <c r="Z113" s="65">
        <v>131.9</v>
      </c>
      <c r="AA113" s="65">
        <v>133.80000000000001</v>
      </c>
      <c r="AB113" s="65">
        <v>134.4</v>
      </c>
      <c r="AC113" s="65">
        <v>134.4</v>
      </c>
      <c r="AD113" s="65">
        <v>135.5</v>
      </c>
      <c r="AE113" s="65">
        <v>135.5</v>
      </c>
      <c r="AF113" s="65">
        <v>132.6</v>
      </c>
      <c r="AG113" s="104"/>
      <c r="AH113" s="47">
        <f t="shared" si="49"/>
        <v>135.5</v>
      </c>
      <c r="AI113" s="48">
        <f t="shared" si="50"/>
        <v>124.7</v>
      </c>
    </row>
    <row r="114" spans="1:35" x14ac:dyDescent="0.25">
      <c r="A114" s="105" t="s">
        <v>114</v>
      </c>
      <c r="B114" s="106">
        <v>136</v>
      </c>
      <c r="C114" s="106">
        <v>135</v>
      </c>
      <c r="D114" s="106">
        <v>135</v>
      </c>
      <c r="E114" s="106">
        <v>135.19999999999999</v>
      </c>
      <c r="F114" s="106">
        <v>135.19999999999999</v>
      </c>
      <c r="G114" s="106">
        <v>136.30000000000001</v>
      </c>
      <c r="H114" s="106">
        <v>135.6</v>
      </c>
      <c r="I114" s="106">
        <v>134.9</v>
      </c>
      <c r="J114" s="106">
        <v>133.6</v>
      </c>
      <c r="K114" s="106">
        <v>131.69999999999999</v>
      </c>
      <c r="L114" s="106">
        <v>131.69999999999999</v>
      </c>
      <c r="M114" s="106">
        <v>130.5</v>
      </c>
      <c r="N114" s="106">
        <v>134</v>
      </c>
      <c r="O114" s="106">
        <v>134.9</v>
      </c>
      <c r="P114" s="106">
        <v>134</v>
      </c>
      <c r="Q114" s="106">
        <v>135</v>
      </c>
      <c r="R114" s="106">
        <v>135.6</v>
      </c>
      <c r="S114" s="106">
        <v>134.1</v>
      </c>
      <c r="T114" s="106">
        <v>132.80000000000001</v>
      </c>
      <c r="U114" s="106">
        <v>132.9</v>
      </c>
      <c r="V114" s="106">
        <v>134.5</v>
      </c>
      <c r="W114" s="106">
        <v>135.6</v>
      </c>
      <c r="X114" s="106">
        <v>135.5</v>
      </c>
      <c r="Y114" s="106">
        <v>135.1</v>
      </c>
      <c r="Z114" s="106">
        <v>135.1</v>
      </c>
      <c r="AA114" s="106">
        <v>135.19999999999999</v>
      </c>
      <c r="AB114" s="106">
        <v>136.5</v>
      </c>
      <c r="AC114" s="106">
        <v>136.9</v>
      </c>
      <c r="AD114" s="106">
        <v>136.9</v>
      </c>
      <c r="AE114" s="106">
        <v>136.9</v>
      </c>
      <c r="AF114" s="106">
        <v>136</v>
      </c>
      <c r="AG114" s="107"/>
      <c r="AH114" s="47">
        <f t="shared" si="49"/>
        <v>136.9</v>
      </c>
      <c r="AI114" s="48">
        <f t="shared" si="50"/>
        <v>130.5</v>
      </c>
    </row>
    <row r="115" spans="1:35" x14ac:dyDescent="0.25">
      <c r="A115" s="103" t="s">
        <v>115</v>
      </c>
      <c r="B115" s="65">
        <v>132</v>
      </c>
      <c r="C115" s="65">
        <v>136</v>
      </c>
      <c r="D115" s="65">
        <v>136</v>
      </c>
      <c r="E115" s="65">
        <v>127.3</v>
      </c>
      <c r="F115" s="65">
        <v>127.3</v>
      </c>
      <c r="G115" s="65">
        <v>133.19999999999999</v>
      </c>
      <c r="H115" s="65">
        <v>135.80000000000001</v>
      </c>
      <c r="I115" s="65">
        <v>127.1</v>
      </c>
      <c r="J115" s="65">
        <v>134.69999999999999</v>
      </c>
      <c r="K115" s="65">
        <v>134.30000000000001</v>
      </c>
      <c r="L115" s="65">
        <v>134.30000000000001</v>
      </c>
      <c r="M115" s="65">
        <v>133.6</v>
      </c>
      <c r="N115" s="65">
        <v>129.4</v>
      </c>
      <c r="O115" s="65">
        <v>128.6</v>
      </c>
      <c r="P115" s="65">
        <v>130.6</v>
      </c>
      <c r="Q115" s="65">
        <v>132.80000000000001</v>
      </c>
      <c r="R115" s="65">
        <v>134.6</v>
      </c>
      <c r="S115" s="65">
        <v>127.3</v>
      </c>
      <c r="T115" s="65">
        <v>132.5</v>
      </c>
      <c r="U115" s="65">
        <v>129.6</v>
      </c>
      <c r="V115" s="65">
        <v>133.6</v>
      </c>
      <c r="W115" s="65">
        <v>129.5</v>
      </c>
      <c r="X115" s="65">
        <v>132.80000000000001</v>
      </c>
      <c r="Y115" s="65">
        <v>132.30000000000001</v>
      </c>
      <c r="Z115" s="65">
        <v>132.30000000000001</v>
      </c>
      <c r="AA115" s="65">
        <v>132</v>
      </c>
      <c r="AB115" s="65">
        <v>134.1</v>
      </c>
      <c r="AC115" s="65">
        <v>134.1</v>
      </c>
      <c r="AD115" s="65">
        <v>135.9</v>
      </c>
      <c r="AE115" s="65">
        <v>135.9</v>
      </c>
      <c r="AF115" s="65">
        <v>125.3</v>
      </c>
      <c r="AG115" s="104"/>
      <c r="AH115" s="47">
        <f t="shared" si="49"/>
        <v>136</v>
      </c>
      <c r="AI115" s="48">
        <f t="shared" si="50"/>
        <v>125.3</v>
      </c>
    </row>
    <row r="116" spans="1:35" ht="15.75" thickBot="1" x14ac:dyDescent="0.3">
      <c r="A116" s="103" t="s">
        <v>116</v>
      </c>
      <c r="B116" s="92">
        <v>67.400000000000006</v>
      </c>
      <c r="C116" s="92">
        <v>67.7</v>
      </c>
      <c r="D116" s="92">
        <v>67.7</v>
      </c>
      <c r="E116" s="92">
        <v>67.900000000000006</v>
      </c>
      <c r="F116" s="92">
        <v>67.900000000000006</v>
      </c>
      <c r="G116" s="92">
        <v>67.5</v>
      </c>
      <c r="H116" s="92">
        <v>67.099999999999994</v>
      </c>
      <c r="I116" s="92">
        <v>66.5</v>
      </c>
      <c r="J116" s="92">
        <v>65.2</v>
      </c>
      <c r="K116" s="92">
        <v>64.099999999999994</v>
      </c>
      <c r="L116" s="92">
        <v>64.099999999999994</v>
      </c>
      <c r="M116" s="92">
        <v>62.8</v>
      </c>
      <c r="N116" s="92">
        <v>64.2</v>
      </c>
      <c r="O116" s="92">
        <v>64.3</v>
      </c>
      <c r="P116" s="92">
        <v>64.599999999999994</v>
      </c>
      <c r="Q116" s="92">
        <v>65</v>
      </c>
      <c r="R116" s="92">
        <v>64.400000000000006</v>
      </c>
      <c r="S116" s="92">
        <v>64.5</v>
      </c>
      <c r="T116" s="92">
        <v>129</v>
      </c>
      <c r="U116" s="92">
        <v>64.400000000000006</v>
      </c>
      <c r="V116" s="92">
        <v>65.099999999999994</v>
      </c>
      <c r="W116" s="92">
        <v>65.400000000000006</v>
      </c>
      <c r="X116" s="92">
        <v>65</v>
      </c>
      <c r="Y116" s="92">
        <v>64.8</v>
      </c>
      <c r="Z116" s="92">
        <v>64.8</v>
      </c>
      <c r="AA116" s="92">
        <v>65.8</v>
      </c>
      <c r="AB116" s="92">
        <v>65.3</v>
      </c>
      <c r="AC116" s="92">
        <v>65.3</v>
      </c>
      <c r="AD116" s="92">
        <v>65.8</v>
      </c>
      <c r="AE116" s="92">
        <v>65.8</v>
      </c>
      <c r="AF116" s="92">
        <v>67.5</v>
      </c>
      <c r="AG116" s="108"/>
      <c r="AH116" s="47">
        <f t="shared" si="49"/>
        <v>129</v>
      </c>
      <c r="AI116" s="48">
        <f t="shared" si="50"/>
        <v>62.8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9"/>
        <v>0</v>
      </c>
      <c r="AI117" s="48">
        <f t="shared" si="50"/>
        <v>0</v>
      </c>
    </row>
    <row r="118" spans="1:35" ht="15.75" thickBot="1" x14ac:dyDescent="0.3">
      <c r="A118" s="110" t="s">
        <v>118</v>
      </c>
      <c r="B118" s="111">
        <f t="shared" ref="B118:C118" si="173">SUM(B22,B28,B31:B32,B66,B68:B69,B71,B73,B119:B123,B153,B159,B165,B174,B176,B188,B195,B198:B199,B206,B208,B210,B214:B216,B218:B220,B225,B231:B232,B234:B236,B244,B249)</f>
        <v>90.84</v>
      </c>
      <c r="C118" s="111">
        <f t="shared" si="173"/>
        <v>78.84</v>
      </c>
      <c r="D118" s="111">
        <f t="shared" ref="D118:E118" si="174">SUM(D22,D28,D31:D32,D66,D68:D69,D71,D73,D119:D123,D153,D159,D165,D174,D176,D188,D195,D198:D199,D206,D208,D210,D214:D216,D218:D220,D225,D231:D232,D234:D236,D244,D249)</f>
        <v>74.34</v>
      </c>
      <c r="E118" s="111">
        <f t="shared" si="174"/>
        <v>61.34</v>
      </c>
      <c r="F118" s="111">
        <f t="shared" ref="F118:G118" si="175">SUM(F22,F28,F31:F32,F66,F68:F69,F71,F73,F119:F123,F153,F159,F165,F174,F176,F188,F195,F198:F199,F206,F208,F210,F214:F216,F218:F220,F225,F231:F232,F234:F236,F244,F249)</f>
        <v>56.440000000000012</v>
      </c>
      <c r="G118" s="111">
        <f t="shared" si="175"/>
        <v>74.589999999999975</v>
      </c>
      <c r="H118" s="111">
        <f t="shared" ref="H118:I118" si="176">SUM(H22,H28,H31:H32,H66,H68:H69,H71,H73,H119:H123,H153,H159,H165,H174,H176,H188,H195,H198:H199,H206,H208,H210,H214:H216,H218:H220,H225,H231:H232,H234:H236,H244,H249)</f>
        <v>107.84</v>
      </c>
      <c r="I118" s="111">
        <f t="shared" si="176"/>
        <v>133.69</v>
      </c>
      <c r="J118" s="111">
        <f t="shared" ref="J118:K118" si="177">SUM(J22,J28,J31:J32,J66,J68:J69,J71,J73,J119:J123,J153,J159,J165,J174,J176,J188,J195,J198:J199,J206,J208,J210,J214:J216,J218:J220,J225,J231:J232,J234:J236,J244,J249)</f>
        <v>63.459999999999994</v>
      </c>
      <c r="K118" s="111">
        <f t="shared" si="177"/>
        <v>262.09999999999997</v>
      </c>
      <c r="L118" s="111">
        <f t="shared" ref="L118:O118" si="178">SUM(L22,L28,L31:L32,L66,L68:L69,L71,L73,L119:L123,L153,L159,L165,L174,L176,L188,L195,L198:L199,L206,L208,L210,L214:L216,L218:L220,L225,L231:L232,L234:L236,L244,L249)</f>
        <v>262.09999999999997</v>
      </c>
      <c r="M118" s="111">
        <f t="shared" si="178"/>
        <v>302.69</v>
      </c>
      <c r="N118" s="111">
        <f t="shared" si="178"/>
        <v>296.64000000000004</v>
      </c>
      <c r="O118" s="111">
        <f t="shared" si="178"/>
        <v>288.52000000000004</v>
      </c>
      <c r="P118" s="111">
        <v>42</v>
      </c>
      <c r="Q118" s="111">
        <f t="shared" ref="Q118:AF118" si="179">SUM(Q22,Q28,Q31:Q32,Q66,Q68:Q69,Q71,Q73,Q119:Q123,Q153,Q159,Q165,Q174,Q176,Q188,Q195,Q198:Q199,Q206,Q208,Q210,Q214:Q216,Q218:Q220,Q225,Q231:Q232,Q234:Q236,Q244,Q249)</f>
        <v>223.76</v>
      </c>
      <c r="R118" s="111">
        <f t="shared" si="179"/>
        <v>220.23999999999998</v>
      </c>
      <c r="S118" s="111">
        <f t="shared" ref="S118:T118" si="180">SUM(S22,S28,S31:S32,S66,S68:S69,S71,S73,S119:S123,S153,S159,S165,S174,S176,S188,S195,S198:S199,S206,S208,S210,S214:S216,S218:S220,S225,S231:S232,S234:S236,S244,S249)</f>
        <v>224.39000000000001</v>
      </c>
      <c r="T118" s="111">
        <f t="shared" si="180"/>
        <v>226.23999999999998</v>
      </c>
      <c r="U118" s="111">
        <f t="shared" ref="U118" si="181">SUM(U22,U28,U31:U32,U66,U68:U69,U71,U73,U119:U123,U153,U159,U165,U174,U176,U188,U195,U198:U199,U206,U208,U210,U214:U216,U218:U220,U225,U231:U232,U234:U236,U244,U249)</f>
        <v>234.64</v>
      </c>
      <c r="V118" s="111">
        <f t="shared" ref="V118:AA118" si="182">SUM(V22,V28,V31:V32,V66,V68:V69,V71,V73,V119:V123,V153,V159,V165,V174,V176,V188,V195,V198:V199,V206,V208,V210,V214:V216,V218:V220,V225,V231:V232,V234:V236,V244,V249)</f>
        <v>240.04</v>
      </c>
      <c r="W118" s="111">
        <f t="shared" si="182"/>
        <v>291.14000000000004</v>
      </c>
      <c r="X118" s="111">
        <f t="shared" si="182"/>
        <v>293.84000000000003</v>
      </c>
      <c r="Y118" s="111">
        <f t="shared" si="182"/>
        <v>313.3</v>
      </c>
      <c r="Z118" s="111">
        <f t="shared" si="182"/>
        <v>302.26</v>
      </c>
      <c r="AA118" s="111">
        <f t="shared" si="182"/>
        <v>281.7</v>
      </c>
      <c r="AB118" s="111">
        <f t="shared" si="179"/>
        <v>288.54000000000002</v>
      </c>
      <c r="AC118" s="111">
        <f t="shared" si="179"/>
        <v>265.64000000000004</v>
      </c>
      <c r="AD118" s="111"/>
      <c r="AE118" s="111"/>
      <c r="AF118" s="111">
        <f t="shared" si="179"/>
        <v>120.34</v>
      </c>
      <c r="AG118" s="112"/>
      <c r="AH118" s="47">
        <f t="shared" si="49"/>
        <v>313.3</v>
      </c>
      <c r="AI118" s="48">
        <f t="shared" si="50"/>
        <v>42</v>
      </c>
    </row>
    <row r="119" spans="1:35" x14ac:dyDescent="0.25">
      <c r="A119" s="181" t="s">
        <v>119</v>
      </c>
      <c r="B119" s="113">
        <v>0</v>
      </c>
      <c r="C119" s="113">
        <v>0</v>
      </c>
      <c r="D119" s="113">
        <v>0</v>
      </c>
      <c r="E119" s="113">
        <v>0</v>
      </c>
      <c r="F119" s="113">
        <v>0</v>
      </c>
      <c r="G119" s="113">
        <v>0</v>
      </c>
      <c r="H119" s="113">
        <v>0</v>
      </c>
      <c r="I119" s="113">
        <v>0</v>
      </c>
      <c r="J119" s="113">
        <v>0</v>
      </c>
      <c r="K119" s="113">
        <v>0</v>
      </c>
      <c r="L119" s="113">
        <v>0</v>
      </c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>
        <v>0</v>
      </c>
      <c r="AG119" s="114">
        <v>75</v>
      </c>
      <c r="AH119" s="47">
        <f t="shared" si="49"/>
        <v>0</v>
      </c>
      <c r="AI119" s="48">
        <f t="shared" si="50"/>
        <v>0</v>
      </c>
    </row>
    <row r="120" spans="1:35" x14ac:dyDescent="0.25">
      <c r="A120" s="182" t="s">
        <v>120</v>
      </c>
      <c r="B120" s="115">
        <v>0</v>
      </c>
      <c r="C120" s="115">
        <v>6</v>
      </c>
      <c r="D120" s="115">
        <v>6</v>
      </c>
      <c r="E120" s="115">
        <v>6.1</v>
      </c>
      <c r="F120" s="115">
        <v>26.8</v>
      </c>
      <c r="G120" s="115">
        <v>26.2</v>
      </c>
      <c r="H120" s="115">
        <v>16.899999999999999</v>
      </c>
      <c r="I120" s="115">
        <v>17</v>
      </c>
      <c r="J120" s="115">
        <v>32.5</v>
      </c>
      <c r="K120" s="115">
        <v>49.8</v>
      </c>
      <c r="L120" s="115">
        <v>49.8</v>
      </c>
      <c r="M120" s="115">
        <v>41.2</v>
      </c>
      <c r="N120" s="115">
        <v>41</v>
      </c>
      <c r="O120" s="115">
        <v>43.6</v>
      </c>
      <c r="P120" s="115">
        <v>48.7</v>
      </c>
      <c r="Q120" s="115">
        <v>52.5</v>
      </c>
      <c r="R120" s="115">
        <v>44.1</v>
      </c>
      <c r="S120" s="115">
        <v>27.8</v>
      </c>
      <c r="T120" s="115">
        <v>24.3</v>
      </c>
      <c r="U120" s="115">
        <v>27.6</v>
      </c>
      <c r="V120" s="115">
        <v>63</v>
      </c>
      <c r="W120" s="115">
        <v>60.5</v>
      </c>
      <c r="X120" s="115">
        <v>45.5</v>
      </c>
      <c r="Y120" s="115">
        <v>51.3</v>
      </c>
      <c r="Z120" s="115">
        <v>55.1</v>
      </c>
      <c r="AA120" s="115">
        <v>49</v>
      </c>
      <c r="AB120" s="115">
        <v>44.1</v>
      </c>
      <c r="AC120" s="115">
        <v>36.5</v>
      </c>
      <c r="AD120" s="115">
        <v>27</v>
      </c>
      <c r="AE120" s="115">
        <v>34.299999999999997</v>
      </c>
      <c r="AF120" s="115">
        <v>13.7</v>
      </c>
      <c r="AG120" s="114">
        <v>240</v>
      </c>
      <c r="AH120" s="47">
        <f t="shared" si="49"/>
        <v>63</v>
      </c>
      <c r="AI120" s="48">
        <f t="shared" si="50"/>
        <v>0</v>
      </c>
    </row>
    <row r="121" spans="1:35" x14ac:dyDescent="0.25">
      <c r="A121" s="182" t="s">
        <v>121</v>
      </c>
      <c r="B121" s="115">
        <v>-48</v>
      </c>
      <c r="C121" s="115">
        <v>-56</v>
      </c>
      <c r="D121" s="115">
        <v>-56</v>
      </c>
      <c r="E121" s="115">
        <v>-60</v>
      </c>
      <c r="F121" s="115">
        <v>-65</v>
      </c>
      <c r="G121" s="115">
        <v>-61</v>
      </c>
      <c r="H121" s="115">
        <v>-50</v>
      </c>
      <c r="I121" s="115">
        <v>-40</v>
      </c>
      <c r="J121" s="115">
        <v>-13</v>
      </c>
      <c r="K121" s="115">
        <v>-11</v>
      </c>
      <c r="L121" s="115">
        <v>-11</v>
      </c>
      <c r="M121" s="115">
        <v>-7.7</v>
      </c>
      <c r="N121" s="115">
        <v>-7.6</v>
      </c>
      <c r="O121" s="115">
        <v>-18</v>
      </c>
      <c r="P121" s="115">
        <v>-27</v>
      </c>
      <c r="Q121" s="115">
        <v>-37</v>
      </c>
      <c r="R121" s="115">
        <v>-35</v>
      </c>
      <c r="S121" s="115">
        <v>-23</v>
      </c>
      <c r="T121" s="115">
        <v>-23</v>
      </c>
      <c r="U121" s="115">
        <v>-16.600000000000001</v>
      </c>
      <c r="V121" s="115">
        <v>-26</v>
      </c>
      <c r="W121" s="115">
        <f>2.9-3</f>
        <v>-0.10000000000000009</v>
      </c>
      <c r="X121" s="115">
        <v>-18</v>
      </c>
      <c r="Y121" s="115">
        <v>-8</v>
      </c>
      <c r="Z121" s="115">
        <v>-7</v>
      </c>
      <c r="AA121" s="115">
        <v>-15</v>
      </c>
      <c r="AB121" s="115">
        <v>4.0999999999999996</v>
      </c>
      <c r="AC121" s="115">
        <v>0</v>
      </c>
      <c r="AD121" s="115">
        <v>-3.7</v>
      </c>
      <c r="AE121" s="115">
        <f>-9.5-10.6</f>
        <v>-20.100000000000001</v>
      </c>
      <c r="AF121" s="115">
        <f>-22.4-25.4</f>
        <v>-47.8</v>
      </c>
      <c r="AG121" s="114">
        <v>240</v>
      </c>
      <c r="AH121" s="47">
        <f t="shared" si="49"/>
        <v>4.0999999999999996</v>
      </c>
      <c r="AI121" s="48">
        <f t="shared" si="50"/>
        <v>-65</v>
      </c>
    </row>
    <row r="122" spans="1:35" x14ac:dyDescent="0.25">
      <c r="A122" s="182" t="s">
        <v>122</v>
      </c>
      <c r="B122" s="115">
        <v>3</v>
      </c>
      <c r="C122" s="115">
        <v>3</v>
      </c>
      <c r="D122" s="115">
        <v>3</v>
      </c>
      <c r="E122" s="115">
        <v>1.2</v>
      </c>
      <c r="F122" s="115">
        <v>0.4</v>
      </c>
      <c r="G122" s="115">
        <v>2.1</v>
      </c>
      <c r="H122" s="115">
        <v>4.0999999999999996</v>
      </c>
      <c r="I122" s="115">
        <v>6.8</v>
      </c>
      <c r="J122" s="115">
        <v>14.1</v>
      </c>
      <c r="K122" s="115">
        <v>18</v>
      </c>
      <c r="L122" s="115">
        <v>18</v>
      </c>
      <c r="M122" s="115">
        <v>16</v>
      </c>
      <c r="N122" s="115">
        <v>40.200000000000003</v>
      </c>
      <c r="O122" s="115">
        <v>27.6</v>
      </c>
      <c r="P122" s="115">
        <v>13.9</v>
      </c>
      <c r="Q122" s="115">
        <v>11.3</v>
      </c>
      <c r="R122" s="115">
        <v>10.9</v>
      </c>
      <c r="S122" s="115">
        <v>10.5</v>
      </c>
      <c r="T122" s="115">
        <v>11.7</v>
      </c>
      <c r="U122" s="115">
        <v>13.2</v>
      </c>
      <c r="V122" s="115">
        <v>35.799999999999997</v>
      </c>
      <c r="W122" s="115">
        <v>44.5</v>
      </c>
      <c r="X122" s="115">
        <v>50</v>
      </c>
      <c r="Y122" s="115">
        <v>46</v>
      </c>
      <c r="Z122" s="115">
        <v>46.8</v>
      </c>
      <c r="AA122" s="115">
        <v>48.5</v>
      </c>
      <c r="AB122" s="115">
        <v>27.1</v>
      </c>
      <c r="AC122" s="115">
        <v>23.4</v>
      </c>
      <c r="AD122" s="115">
        <v>21.2</v>
      </c>
      <c r="AE122" s="115">
        <v>11.2</v>
      </c>
      <c r="AF122" s="115">
        <v>5</v>
      </c>
      <c r="AG122" s="114">
        <v>60</v>
      </c>
      <c r="AH122" s="47">
        <f t="shared" si="49"/>
        <v>50</v>
      </c>
      <c r="AI122" s="48">
        <f t="shared" si="50"/>
        <v>0.4</v>
      </c>
    </row>
    <row r="123" spans="1:35" x14ac:dyDescent="0.25">
      <c r="A123" s="182" t="s">
        <v>267</v>
      </c>
      <c r="B123" s="117">
        <v>18</v>
      </c>
      <c r="C123" s="117">
        <v>8</v>
      </c>
      <c r="D123" s="117">
        <v>8</v>
      </c>
      <c r="E123" s="117">
        <f>1.5*0</f>
        <v>0</v>
      </c>
      <c r="F123" s="117">
        <f>-13.2*1.5</f>
        <v>-19.799999999999997</v>
      </c>
      <c r="G123" s="117">
        <f>-3.1*1.5</f>
        <v>-4.6500000000000004</v>
      </c>
      <c r="H123" s="117">
        <f>16.6*1.5</f>
        <v>24.900000000000002</v>
      </c>
      <c r="I123" s="117">
        <f>25.3*1.5</f>
        <v>37.950000000000003</v>
      </c>
      <c r="J123" s="117">
        <f>-51.3*1.6</f>
        <v>-82.08</v>
      </c>
      <c r="K123" s="117">
        <f>55.6*1.6</f>
        <v>88.960000000000008</v>
      </c>
      <c r="L123" s="117">
        <f>55.6*1.6</f>
        <v>88.960000000000008</v>
      </c>
      <c r="M123" s="117">
        <f>79*1.65</f>
        <v>130.35</v>
      </c>
      <c r="N123" s="117">
        <f>60*1.65</f>
        <v>99</v>
      </c>
      <c r="O123" s="117">
        <f>63.2*1.65</f>
        <v>104.28</v>
      </c>
      <c r="P123" s="117">
        <v>70</v>
      </c>
      <c r="Q123" s="117">
        <f>37.7*1.6</f>
        <v>60.320000000000007</v>
      </c>
      <c r="R123" s="117">
        <f>38*1.65</f>
        <v>62.699999999999996</v>
      </c>
      <c r="S123" s="117">
        <f>53.5*1.5</f>
        <v>80.25</v>
      </c>
      <c r="T123" s="117">
        <f>59.4*1.5</f>
        <v>89.1</v>
      </c>
      <c r="U123" s="117">
        <f>59.8*1.5</f>
        <v>89.699999999999989</v>
      </c>
      <c r="V123" s="117">
        <f>32.4*1.5</f>
        <v>48.599999999999994</v>
      </c>
      <c r="W123" s="117">
        <v>68</v>
      </c>
      <c r="X123" s="117">
        <f>1.5*65.4</f>
        <v>98.100000000000009</v>
      </c>
      <c r="Y123" s="117">
        <f>66.1*1.6</f>
        <v>105.75999999999999</v>
      </c>
      <c r="Z123" s="117">
        <f>55.7*1.6</f>
        <v>89.12</v>
      </c>
      <c r="AA123" s="117">
        <f>50.6*1.6</f>
        <v>80.960000000000008</v>
      </c>
      <c r="AB123" s="117">
        <f>62*1.5</f>
        <v>93</v>
      </c>
      <c r="AC123" s="117">
        <f>57*1.5</f>
        <v>85.5</v>
      </c>
      <c r="AD123" s="117">
        <f>55*1.5</f>
        <v>82.5</v>
      </c>
      <c r="AE123" s="117">
        <v>29</v>
      </c>
      <c r="AF123" s="117">
        <f>15.2*1.5</f>
        <v>22.799999999999997</v>
      </c>
      <c r="AG123" s="118">
        <v>120</v>
      </c>
      <c r="AH123" s="47">
        <f t="shared" si="49"/>
        <v>130.35</v>
      </c>
      <c r="AI123" s="48">
        <f t="shared" si="50"/>
        <v>-82.08</v>
      </c>
    </row>
    <row r="124" spans="1:35" x14ac:dyDescent="0.25">
      <c r="A124" s="182" t="s">
        <v>266</v>
      </c>
      <c r="B124" s="117">
        <v>47</v>
      </c>
      <c r="C124" s="117">
        <v>37</v>
      </c>
      <c r="D124" s="117">
        <v>37</v>
      </c>
      <c r="E124" s="117">
        <v>32.700000000000003</v>
      </c>
      <c r="F124" s="117">
        <v>21</v>
      </c>
      <c r="G124" s="117">
        <v>28.9</v>
      </c>
      <c r="H124" s="117">
        <v>44.3</v>
      </c>
      <c r="I124" s="117">
        <v>52.7</v>
      </c>
      <c r="J124" s="117">
        <v>72.8</v>
      </c>
      <c r="K124" s="117">
        <v>76</v>
      </c>
      <c r="L124" s="117">
        <v>76</v>
      </c>
      <c r="M124" s="117">
        <v>96</v>
      </c>
      <c r="N124" s="117">
        <v>81</v>
      </c>
      <c r="O124" s="117">
        <v>83</v>
      </c>
      <c r="P124" s="117">
        <v>70.8</v>
      </c>
      <c r="Q124" s="117">
        <v>61.4</v>
      </c>
      <c r="R124" s="117">
        <v>61</v>
      </c>
      <c r="S124" s="117">
        <v>74.3</v>
      </c>
      <c r="T124" s="117">
        <v>79.5</v>
      </c>
      <c r="U124" s="117">
        <v>79.900000000000006</v>
      </c>
      <c r="V124" s="117">
        <v>60</v>
      </c>
      <c r="W124" s="117">
        <v>67</v>
      </c>
      <c r="X124" s="117">
        <v>84.4</v>
      </c>
      <c r="Y124" s="117">
        <v>84.9</v>
      </c>
      <c r="Z124" s="117">
        <v>78.400000000000006</v>
      </c>
      <c r="AA124" s="117">
        <v>73.3</v>
      </c>
      <c r="AB124" s="117">
        <v>82</v>
      </c>
      <c r="AC124" s="117">
        <v>77.8</v>
      </c>
      <c r="AD124" s="117">
        <v>77.2</v>
      </c>
      <c r="AE124" s="117">
        <v>55.7</v>
      </c>
      <c r="AF124" s="117">
        <v>44.3</v>
      </c>
      <c r="AG124" s="118"/>
      <c r="AH124" s="47"/>
      <c r="AI124" s="48"/>
    </row>
    <row r="125" spans="1:35" x14ac:dyDescent="0.25">
      <c r="A125" s="182" t="s">
        <v>263</v>
      </c>
      <c r="B125" s="117">
        <v>24</v>
      </c>
      <c r="C125" s="117">
        <v>14</v>
      </c>
      <c r="D125" s="117">
        <v>14</v>
      </c>
      <c r="E125" s="117">
        <v>11.7</v>
      </c>
      <c r="F125" s="117">
        <v>-14.2</v>
      </c>
      <c r="G125" s="117">
        <v>-10.7</v>
      </c>
      <c r="H125" s="117">
        <v>2.2000000000000002</v>
      </c>
      <c r="I125" s="117">
        <v>0</v>
      </c>
      <c r="J125" s="117">
        <v>-25.9</v>
      </c>
      <c r="K125" s="117">
        <v>-50.7</v>
      </c>
      <c r="L125" s="117">
        <v>-50.7</v>
      </c>
      <c r="M125" s="117">
        <v>-26</v>
      </c>
      <c r="N125" s="117">
        <v>-45</v>
      </c>
      <c r="O125" s="117">
        <v>-29</v>
      </c>
      <c r="P125" s="117">
        <v>-21.9</v>
      </c>
      <c r="Q125" s="117">
        <v>-26.7</v>
      </c>
      <c r="R125" s="117">
        <v>-15.7</v>
      </c>
      <c r="S125" s="117">
        <v>1.8</v>
      </c>
      <c r="T125" s="117">
        <v>4.2</v>
      </c>
      <c r="U125" s="117">
        <v>-5.0999999999999996</v>
      </c>
      <c r="V125" s="117">
        <v>-60.6</v>
      </c>
      <c r="W125" s="117">
        <v>-67.400000000000006</v>
      </c>
      <c r="X125" s="117">
        <v>-61.9</v>
      </c>
      <c r="Y125" s="117">
        <v>-67.900000000000006</v>
      </c>
      <c r="Z125" s="117">
        <v>-74.099999999999994</v>
      </c>
      <c r="AA125" s="117">
        <v>-73.7</v>
      </c>
      <c r="AB125" s="117">
        <v>-44.4</v>
      </c>
      <c r="AC125" s="117">
        <v>-37.799999999999997</v>
      </c>
      <c r="AD125" s="117">
        <v>-24.1</v>
      </c>
      <c r="AE125" s="117">
        <v>-16</v>
      </c>
      <c r="AF125" s="117">
        <v>3.6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36</v>
      </c>
      <c r="C126" s="117">
        <v>26</v>
      </c>
      <c r="D126" s="117">
        <v>26</v>
      </c>
      <c r="E126" s="117">
        <v>18.899999999999999</v>
      </c>
      <c r="F126" s="117">
        <v>1.3</v>
      </c>
      <c r="G126" s="117">
        <v>12.9</v>
      </c>
      <c r="H126" s="117">
        <v>29.2</v>
      </c>
      <c r="I126" s="117">
        <v>43.7</v>
      </c>
      <c r="J126" s="117">
        <v>58.3</v>
      </c>
      <c r="K126" s="117">
        <v>57.3</v>
      </c>
      <c r="L126" s="117">
        <v>57.3</v>
      </c>
      <c r="M126" s="117">
        <v>77</v>
      </c>
      <c r="N126" s="117">
        <v>55</v>
      </c>
      <c r="O126" s="117">
        <v>59</v>
      </c>
      <c r="P126" s="117">
        <v>58.2</v>
      </c>
      <c r="Q126" s="117">
        <v>51.2</v>
      </c>
      <c r="R126" s="117">
        <v>57</v>
      </c>
      <c r="S126" s="117">
        <v>68</v>
      </c>
      <c r="T126" s="117">
        <v>73.7</v>
      </c>
      <c r="U126" s="117">
        <v>76.900000000000006</v>
      </c>
      <c r="V126" s="117">
        <v>40</v>
      </c>
      <c r="W126" s="117">
        <v>34.4</v>
      </c>
      <c r="X126" s="117">
        <v>53.5</v>
      </c>
      <c r="Y126" s="117">
        <v>56.3</v>
      </c>
      <c r="Z126" s="117">
        <v>51.4</v>
      </c>
      <c r="AA126" s="117">
        <v>51.2</v>
      </c>
      <c r="AB126" s="117">
        <v>68.599999999999994</v>
      </c>
      <c r="AC126" s="117">
        <v>64</v>
      </c>
      <c r="AD126" s="117">
        <v>64.5</v>
      </c>
      <c r="AE126" s="117">
        <v>43.5</v>
      </c>
      <c r="AF126" s="117">
        <v>32.9</v>
      </c>
      <c r="AG126" s="114"/>
      <c r="AH126" s="47">
        <f t="shared" si="49"/>
        <v>77</v>
      </c>
      <c r="AI126" s="48">
        <f t="shared" si="50"/>
        <v>1.3</v>
      </c>
    </row>
    <row r="127" spans="1:35" x14ac:dyDescent="0.25">
      <c r="A127" s="181" t="s">
        <v>264</v>
      </c>
      <c r="B127" s="117">
        <v>14</v>
      </c>
      <c r="C127" s="117">
        <v>15</v>
      </c>
      <c r="D127" s="117">
        <v>15</v>
      </c>
      <c r="E127" s="117">
        <v>14.9</v>
      </c>
      <c r="F127" s="117">
        <v>-7.5</v>
      </c>
      <c r="G127" s="117">
        <v>-1.1000000000000001</v>
      </c>
      <c r="H127" s="117">
        <v>5.9</v>
      </c>
      <c r="I127" s="117">
        <v>0</v>
      </c>
      <c r="J127" s="117">
        <v>-3.7</v>
      </c>
      <c r="K127" s="117">
        <v>-5.6</v>
      </c>
      <c r="L127" s="117">
        <v>-5.6</v>
      </c>
      <c r="M127" s="117">
        <v>1.3</v>
      </c>
      <c r="N127" s="117">
        <v>10</v>
      </c>
      <c r="O127" s="117">
        <v>8.1</v>
      </c>
      <c r="P127" s="117">
        <v>6</v>
      </c>
      <c r="Q127" s="117">
        <v>2.8</v>
      </c>
      <c r="R127" s="117">
        <v>-2.1</v>
      </c>
      <c r="S127" s="117">
        <v>3.7</v>
      </c>
      <c r="T127" s="117">
        <v>11.8</v>
      </c>
      <c r="U127" s="117">
        <v>8.4</v>
      </c>
      <c r="V127" s="117">
        <v>-9.1</v>
      </c>
      <c r="W127" s="117">
        <v>-3.9</v>
      </c>
      <c r="X127" s="117">
        <v>5.9</v>
      </c>
      <c r="Y127" s="117">
        <v>3.5</v>
      </c>
      <c r="Z127" s="117">
        <v>0</v>
      </c>
      <c r="AA127" s="117">
        <v>3.3</v>
      </c>
      <c r="AB127" s="117">
        <v>9.4</v>
      </c>
      <c r="AC127" s="117">
        <v>6</v>
      </c>
      <c r="AD127" s="117">
        <v>10.8</v>
      </c>
      <c r="AE127" s="117">
        <v>5.7</v>
      </c>
      <c r="AF127" s="106">
        <v>15.9</v>
      </c>
      <c r="AG127" s="114"/>
      <c r="AH127" s="47">
        <f t="shared" si="49"/>
        <v>15.9</v>
      </c>
      <c r="AI127" s="48">
        <f t="shared" si="50"/>
        <v>-9.1</v>
      </c>
    </row>
    <row r="128" spans="1:35" x14ac:dyDescent="0.25">
      <c r="A128" s="182" t="s">
        <v>126</v>
      </c>
      <c r="B128" s="106">
        <v>9</v>
      </c>
      <c r="C128" s="106">
        <v>9</v>
      </c>
      <c r="D128" s="106">
        <v>9</v>
      </c>
      <c r="E128" s="106">
        <v>7.9</v>
      </c>
      <c r="F128" s="106">
        <v>6.2</v>
      </c>
      <c r="G128" s="106">
        <v>3.9</v>
      </c>
      <c r="H128" s="106">
        <v>-1.1000000000000001</v>
      </c>
      <c r="I128" s="106">
        <v>-6.9</v>
      </c>
      <c r="J128" s="106">
        <v>-14.2</v>
      </c>
      <c r="K128" s="106">
        <v>-22.4</v>
      </c>
      <c r="L128" s="106">
        <v>-22.4</v>
      </c>
      <c r="M128" s="106">
        <v>-25.3</v>
      </c>
      <c r="N128" s="106">
        <v>-25</v>
      </c>
      <c r="O128" s="106">
        <v>-21</v>
      </c>
      <c r="P128" s="106">
        <v>-17.5</v>
      </c>
      <c r="Q128" s="106">
        <v>-10.1</v>
      </c>
      <c r="R128" s="106">
        <v>-0.4</v>
      </c>
      <c r="S128" s="106">
        <v>-4.9000000000000004</v>
      </c>
      <c r="T128" s="106">
        <v>-7.2</v>
      </c>
      <c r="U128" s="106">
        <v>-11.6</v>
      </c>
      <c r="V128" s="106">
        <v>-31</v>
      </c>
      <c r="W128" s="106">
        <v>-41.3</v>
      </c>
      <c r="X128" s="106">
        <v>43.7</v>
      </c>
      <c r="Y128" s="106">
        <v>-34.6</v>
      </c>
      <c r="Z128" s="106">
        <v>-27.3</v>
      </c>
      <c r="AA128" s="106">
        <v>-24.3</v>
      </c>
      <c r="AB128" s="106">
        <v>-16.8</v>
      </c>
      <c r="AC128" s="106">
        <v>-12.2</v>
      </c>
      <c r="AD128" s="106">
        <v>-7.9</v>
      </c>
      <c r="AE128" s="106">
        <v>-2.8</v>
      </c>
      <c r="AF128" s="106">
        <v>3.3</v>
      </c>
      <c r="AG128" s="114"/>
      <c r="AH128" s="47">
        <f t="shared" si="49"/>
        <v>43.7</v>
      </c>
      <c r="AI128" s="48">
        <f t="shared" si="50"/>
        <v>-41.3</v>
      </c>
    </row>
    <row r="129" spans="1:37" x14ac:dyDescent="0.25">
      <c r="A129" s="182" t="s">
        <v>268</v>
      </c>
      <c r="B129" s="106">
        <v>34</v>
      </c>
      <c r="C129" s="106">
        <v>42</v>
      </c>
      <c r="D129" s="106">
        <v>42</v>
      </c>
      <c r="E129" s="106">
        <v>44.7</v>
      </c>
      <c r="F129" s="106">
        <v>61.2</v>
      </c>
      <c r="G129" s="106">
        <v>56.7</v>
      </c>
      <c r="H129" s="106">
        <v>42.9</v>
      </c>
      <c r="I129" s="106">
        <v>35.299999999999997</v>
      </c>
      <c r="J129" s="106">
        <v>21.5</v>
      </c>
      <c r="K129" s="106">
        <v>23.9</v>
      </c>
      <c r="L129" s="106">
        <v>23.9</v>
      </c>
      <c r="M129" s="106">
        <v>18</v>
      </c>
      <c r="N129" s="106">
        <v>46</v>
      </c>
      <c r="O129" s="106">
        <v>42</v>
      </c>
      <c r="P129" s="106">
        <v>33</v>
      </c>
      <c r="Q129" s="106">
        <v>45</v>
      </c>
      <c r="R129" s="106">
        <v>42</v>
      </c>
      <c r="S129" s="106">
        <v>24.3</v>
      </c>
      <c r="T129" s="106">
        <v>19.2</v>
      </c>
      <c r="U129" s="106">
        <v>16.7</v>
      </c>
      <c r="V129" s="106">
        <v>48.4</v>
      </c>
      <c r="W129" s="106">
        <v>46.4</v>
      </c>
      <c r="X129" s="106">
        <v>28.2</v>
      </c>
      <c r="Y129" s="106">
        <v>22.8</v>
      </c>
      <c r="Z129" s="106">
        <v>24.1</v>
      </c>
      <c r="AA129" s="106">
        <v>31.7</v>
      </c>
      <c r="AB129" s="106">
        <v>19.2</v>
      </c>
      <c r="AC129" s="106">
        <v>18.899999999999999</v>
      </c>
      <c r="AD129" s="106">
        <v>15</v>
      </c>
      <c r="AE129" s="106">
        <v>29.8</v>
      </c>
      <c r="AF129" s="106">
        <v>36.9</v>
      </c>
      <c r="AG129" s="114"/>
      <c r="AH129" s="47">
        <f t="shared" si="49"/>
        <v>61.2</v>
      </c>
      <c r="AI129" s="48">
        <f t="shared" si="50"/>
        <v>15</v>
      </c>
    </row>
    <row r="130" spans="1:37" ht="15.75" thickBot="1" x14ac:dyDescent="0.3">
      <c r="A130" s="182" t="s">
        <v>265</v>
      </c>
      <c r="B130" s="106">
        <v>6</v>
      </c>
      <c r="C130" s="106">
        <v>63</v>
      </c>
      <c r="D130" s="106">
        <v>63</v>
      </c>
      <c r="E130" s="106">
        <v>64.599999999999994</v>
      </c>
      <c r="F130" s="106">
        <v>66.400000000000006</v>
      </c>
      <c r="G130" s="106">
        <v>70.5</v>
      </c>
      <c r="H130" s="106">
        <v>77.3</v>
      </c>
      <c r="I130" s="106">
        <v>82.9</v>
      </c>
      <c r="J130" s="106">
        <v>85.1</v>
      </c>
      <c r="K130" s="106">
        <v>90.3</v>
      </c>
      <c r="L130" s="106">
        <v>90.3</v>
      </c>
      <c r="M130" s="106">
        <v>117</v>
      </c>
      <c r="N130" s="106">
        <v>121</v>
      </c>
      <c r="O130" s="106">
        <v>118</v>
      </c>
      <c r="P130" s="106">
        <v>102</v>
      </c>
      <c r="Q130" s="106">
        <v>94</v>
      </c>
      <c r="R130" s="106">
        <v>84.4</v>
      </c>
      <c r="S130" s="106">
        <v>87.3</v>
      </c>
      <c r="T130" s="106">
        <v>92.7</v>
      </c>
      <c r="U130" s="106">
        <v>86.9</v>
      </c>
      <c r="V130" s="106">
        <v>73.5</v>
      </c>
      <c r="W130" s="106">
        <v>109.3</v>
      </c>
      <c r="X130" s="106">
        <v>111.8</v>
      </c>
      <c r="Y130" s="106">
        <v>102.2</v>
      </c>
      <c r="Z130" s="106">
        <v>97.4</v>
      </c>
      <c r="AA130" s="106">
        <v>99</v>
      </c>
      <c r="AB130" s="106">
        <v>95.2</v>
      </c>
      <c r="AC130" s="106">
        <v>93.6</v>
      </c>
      <c r="AD130" s="106">
        <v>88</v>
      </c>
      <c r="AE130" s="106">
        <v>76.5</v>
      </c>
      <c r="AF130" s="106">
        <v>74.2</v>
      </c>
      <c r="AG130" s="114"/>
      <c r="AH130" s="47">
        <f t="shared" si="49"/>
        <v>121</v>
      </c>
      <c r="AI130" s="48">
        <f t="shared" si="50"/>
        <v>6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50" t="s">
        <v>243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54" t="s">
        <v>244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54" t="s">
        <v>245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ht="15.75" thickBot="1" x14ac:dyDescent="0.3">
      <c r="A135" s="157" t="s">
        <v>246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9"/>
      <c r="AG135" s="153"/>
      <c r="AH135" s="47"/>
      <c r="AI135" s="48"/>
    </row>
    <row r="136" spans="1:37" ht="15.75" thickBot="1" x14ac:dyDescent="0.3">
      <c r="A136" s="122" t="s">
        <v>129</v>
      </c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83"/>
      <c r="AH136" s="47"/>
      <c r="AI136" s="48"/>
      <c r="AK136" s="50"/>
    </row>
    <row r="137" spans="1:37" x14ac:dyDescent="0.25">
      <c r="A137" s="125" t="s">
        <v>130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>
        <v>9.94</v>
      </c>
      <c r="AH137" s="47"/>
      <c r="AI137" s="48"/>
      <c r="AK137" s="50"/>
    </row>
    <row r="138" spans="1:37" x14ac:dyDescent="0.25">
      <c r="A138" s="103" t="s">
        <v>131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132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133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134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135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136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137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138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139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140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141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142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143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144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145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146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1">
        <v>9.9</v>
      </c>
      <c r="AH153" s="47"/>
      <c r="AI153" s="48"/>
      <c r="AK153" s="50"/>
    </row>
    <row r="154" spans="1:37" x14ac:dyDescent="0.25">
      <c r="A154" s="116" t="s">
        <v>147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9.6579999999999995</v>
      </c>
      <c r="AH154" s="47"/>
      <c r="AI154" s="48"/>
      <c r="AK154" s="50"/>
    </row>
    <row r="155" spans="1:37" x14ac:dyDescent="0.25">
      <c r="A155" s="116" t="s">
        <v>148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9.6</v>
      </c>
      <c r="AH155" s="47"/>
      <c r="AI155" s="48"/>
      <c r="AK155" s="50"/>
    </row>
    <row r="156" spans="1:37" x14ac:dyDescent="0.25">
      <c r="A156" s="116" t="s">
        <v>149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9.51</v>
      </c>
      <c r="AH156" s="47"/>
      <c r="AI156" s="48"/>
      <c r="AK156" s="50"/>
    </row>
    <row r="157" spans="1:37" x14ac:dyDescent="0.25">
      <c r="A157" s="116" t="s">
        <v>150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9.4</v>
      </c>
      <c r="AH157" s="47"/>
      <c r="AI157" s="48"/>
      <c r="AK157" s="50"/>
    </row>
    <row r="158" spans="1:37" x14ac:dyDescent="0.25">
      <c r="A158" s="116" t="s">
        <v>151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8.8000000000000007</v>
      </c>
      <c r="AH158" s="47"/>
      <c r="AI158" s="48"/>
      <c r="AK158" s="50"/>
    </row>
    <row r="159" spans="1:37" x14ac:dyDescent="0.25">
      <c r="A159" s="116" t="s">
        <v>152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8.5</v>
      </c>
      <c r="AH159" s="47"/>
      <c r="AI159" s="48"/>
      <c r="AK159" s="50"/>
    </row>
    <row r="160" spans="1:37" x14ac:dyDescent="0.25">
      <c r="A160" s="116" t="s">
        <v>153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8.5</v>
      </c>
      <c r="AH160" s="47"/>
      <c r="AI160" s="48"/>
      <c r="AK160" s="50"/>
    </row>
    <row r="161" spans="1:37" x14ac:dyDescent="0.25">
      <c r="A161" s="116" t="s">
        <v>154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8.4</v>
      </c>
      <c r="AH161" s="47"/>
      <c r="AI161" s="48"/>
      <c r="AK161" s="50"/>
    </row>
    <row r="162" spans="1:37" ht="13.5" customHeight="1" x14ac:dyDescent="0.25">
      <c r="A162" s="116" t="s">
        <v>155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</v>
      </c>
      <c r="AH162" s="47"/>
      <c r="AI162" s="48"/>
      <c r="AK162" s="50"/>
    </row>
    <row r="163" spans="1:37" x14ac:dyDescent="0.25">
      <c r="A163" s="116" t="s">
        <v>156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</v>
      </c>
      <c r="AH163" s="47"/>
      <c r="AI163" s="48"/>
      <c r="AK163" s="50"/>
    </row>
    <row r="164" spans="1:37" x14ac:dyDescent="0.25">
      <c r="A164" s="116" t="s">
        <v>157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158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7.8</v>
      </c>
      <c r="AH165" s="47"/>
      <c r="AI165" s="48"/>
      <c r="AK165" s="50"/>
    </row>
    <row r="166" spans="1:37" x14ac:dyDescent="0.25">
      <c r="A166" s="116" t="s">
        <v>159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7.6</v>
      </c>
      <c r="AH166" s="47"/>
      <c r="AI166" s="48"/>
      <c r="AK166" s="50"/>
    </row>
    <row r="167" spans="1:37" x14ac:dyDescent="0.25">
      <c r="A167" s="116" t="s">
        <v>160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7.5</v>
      </c>
      <c r="AH167" s="47"/>
      <c r="AI167" s="48"/>
      <c r="AK167" s="50"/>
    </row>
    <row r="168" spans="1:37" x14ac:dyDescent="0.25">
      <c r="A168" s="116" t="s">
        <v>161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7.5</v>
      </c>
      <c r="AH168" s="47"/>
      <c r="AI168" s="48"/>
      <c r="AK168" s="50"/>
    </row>
    <row r="169" spans="1:37" x14ac:dyDescent="0.25">
      <c r="A169" s="116" t="s">
        <v>162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</v>
      </c>
      <c r="AH169" s="47"/>
      <c r="AI169" s="48"/>
      <c r="AK169" s="50"/>
    </row>
    <row r="170" spans="1:37" x14ac:dyDescent="0.25">
      <c r="A170" s="116" t="s">
        <v>163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</v>
      </c>
      <c r="AH170" s="47"/>
      <c r="AI170" s="48"/>
      <c r="AK170" s="50"/>
    </row>
    <row r="171" spans="1:37" x14ac:dyDescent="0.25">
      <c r="A171" s="116" t="s">
        <v>164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165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166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6.6</v>
      </c>
      <c r="AH173" s="47"/>
      <c r="AI173" s="48"/>
      <c r="AK173" s="50"/>
    </row>
    <row r="174" spans="1:37" x14ac:dyDescent="0.25">
      <c r="A174" s="116" t="s">
        <v>167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6.6</v>
      </c>
      <c r="AH174" s="47"/>
      <c r="AI174" s="48"/>
      <c r="AK174" s="50"/>
    </row>
    <row r="175" spans="1:37" x14ac:dyDescent="0.25">
      <c r="A175" s="116" t="s">
        <v>168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6.4</v>
      </c>
      <c r="AH175" s="47"/>
      <c r="AI175" s="48"/>
      <c r="AK175" s="50"/>
    </row>
    <row r="176" spans="1:37" x14ac:dyDescent="0.25">
      <c r="A176" s="116" t="s">
        <v>169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</v>
      </c>
      <c r="AH176" s="47"/>
      <c r="AI176" s="48"/>
      <c r="AK176" s="50"/>
    </row>
    <row r="177" spans="1:37" x14ac:dyDescent="0.25">
      <c r="A177" s="116" t="s">
        <v>170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5.0999999999999996</v>
      </c>
      <c r="AH177" s="47"/>
      <c r="AI177" s="48"/>
      <c r="AK177" s="50"/>
    </row>
    <row r="178" spans="1:37" x14ac:dyDescent="0.25">
      <c r="A178" s="116" t="s">
        <v>171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03" t="s">
        <v>172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1">
        <v>5</v>
      </c>
      <c r="AH179" s="47"/>
      <c r="AI179" s="48"/>
      <c r="AK179" s="50"/>
    </row>
    <row r="180" spans="1:37" x14ac:dyDescent="0.25">
      <c r="A180" s="116" t="s">
        <v>173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16" t="s">
        <v>174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5</v>
      </c>
      <c r="AH181" s="47"/>
      <c r="AI181" s="48"/>
      <c r="AK181" s="50"/>
    </row>
    <row r="182" spans="1:37" x14ac:dyDescent="0.25">
      <c r="A182" s="116" t="s">
        <v>175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176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177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178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4.9930000000000003</v>
      </c>
      <c r="AH185" s="47"/>
      <c r="AI185" s="48"/>
      <c r="AK185" s="50"/>
    </row>
    <row r="186" spans="1:37" x14ac:dyDescent="0.25">
      <c r="A186" s="116" t="s">
        <v>179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4.9800000000000004</v>
      </c>
      <c r="AH186" s="47"/>
      <c r="AI186" s="48"/>
      <c r="AK186" s="50"/>
    </row>
    <row r="187" spans="1:37" x14ac:dyDescent="0.25">
      <c r="A187" s="116" t="s">
        <v>180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4.95</v>
      </c>
      <c r="AH187" s="47"/>
      <c r="AI187" s="48"/>
      <c r="AK187" s="50"/>
    </row>
    <row r="188" spans="1:37" x14ac:dyDescent="0.25">
      <c r="A188" s="116" t="s">
        <v>181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4.95</v>
      </c>
      <c r="AH188" s="47"/>
      <c r="AI188" s="48"/>
      <c r="AK188" s="50"/>
    </row>
    <row r="189" spans="1:37" x14ac:dyDescent="0.25">
      <c r="A189" s="116" t="s">
        <v>182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4.8</v>
      </c>
      <c r="AH189" s="47"/>
      <c r="AI189" s="48"/>
      <c r="AK189" s="50"/>
    </row>
    <row r="190" spans="1:37" x14ac:dyDescent="0.25">
      <c r="A190" s="116" t="s">
        <v>183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4.8</v>
      </c>
      <c r="AH190" s="47"/>
      <c r="AI190" s="48"/>
      <c r="AK190" s="50"/>
    </row>
    <row r="191" spans="1:37" x14ac:dyDescent="0.25">
      <c r="A191" s="116" t="s">
        <v>184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185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4.5</v>
      </c>
      <c r="AH192" s="47"/>
      <c r="AI192" s="48"/>
      <c r="AK192" s="50"/>
    </row>
    <row r="193" spans="1:37" x14ac:dyDescent="0.25">
      <c r="A193" s="116" t="s">
        <v>186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4.5</v>
      </c>
      <c r="AH193" s="47"/>
      <c r="AI193" s="48"/>
      <c r="AK193" s="50"/>
    </row>
    <row r="194" spans="1:37" x14ac:dyDescent="0.25">
      <c r="A194" s="116" t="s">
        <v>187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4.4550000000000001</v>
      </c>
      <c r="AH194" s="47"/>
      <c r="AI194" s="48"/>
      <c r="AK194" s="50"/>
    </row>
    <row r="195" spans="1:37" x14ac:dyDescent="0.25">
      <c r="A195" s="116" t="s">
        <v>188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4.41</v>
      </c>
      <c r="AH195" s="47"/>
      <c r="AI195" s="48"/>
      <c r="AK195" s="50"/>
    </row>
    <row r="196" spans="1:37" x14ac:dyDescent="0.25">
      <c r="A196" s="116" t="s">
        <v>189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4.4000000000000004</v>
      </c>
      <c r="AH196" s="47"/>
      <c r="AI196" s="48"/>
      <c r="AK196" s="50"/>
    </row>
    <row r="197" spans="1:37" x14ac:dyDescent="0.25">
      <c r="A197" s="116" t="s">
        <v>190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4.3600000000000003</v>
      </c>
      <c r="AH197" s="47"/>
      <c r="AI197" s="48"/>
      <c r="AK197" s="50"/>
    </row>
    <row r="198" spans="1:37" x14ac:dyDescent="0.25">
      <c r="A198" s="116" t="s">
        <v>191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4.2</v>
      </c>
      <c r="AH198" s="47"/>
      <c r="AI198" s="48"/>
      <c r="AK198" s="50"/>
    </row>
    <row r="199" spans="1:37" x14ac:dyDescent="0.25">
      <c r="A199" s="116" t="s">
        <v>192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193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194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195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196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197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198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199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200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3.75</v>
      </c>
      <c r="AH207" s="47"/>
      <c r="AI207" s="48"/>
      <c r="AK207" s="50"/>
    </row>
    <row r="208" spans="1:37" x14ac:dyDescent="0.25">
      <c r="A208" s="116" t="s">
        <v>201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3.52</v>
      </c>
      <c r="AH208" s="47"/>
      <c r="AI208" s="48"/>
      <c r="AK208" s="50"/>
    </row>
    <row r="209" spans="1:37" x14ac:dyDescent="0.25">
      <c r="A209" s="116" t="s">
        <v>202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3.33</v>
      </c>
      <c r="AH209" s="47"/>
      <c r="AI209" s="48"/>
      <c r="AK209" s="50"/>
    </row>
    <row r="210" spans="1:37" x14ac:dyDescent="0.25">
      <c r="A210" s="116" t="s">
        <v>203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3.2</v>
      </c>
      <c r="AH210" s="47"/>
      <c r="AI210" s="48"/>
      <c r="AK210" s="50"/>
    </row>
    <row r="211" spans="1:37" x14ac:dyDescent="0.25">
      <c r="A211" s="116" t="s">
        <v>204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205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206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207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208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209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210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211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212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2.83</v>
      </c>
      <c r="AH219" s="47"/>
      <c r="AI219" s="48"/>
      <c r="AK219" s="50"/>
    </row>
    <row r="220" spans="1:37" x14ac:dyDescent="0.25">
      <c r="A220" s="116" t="s">
        <v>213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2.5</v>
      </c>
      <c r="AH220" s="47"/>
      <c r="AI220" s="48"/>
      <c r="AK220" s="50"/>
    </row>
    <row r="221" spans="1:37" x14ac:dyDescent="0.25">
      <c r="A221" s="116" t="s">
        <v>214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2.5</v>
      </c>
      <c r="AH221" s="47"/>
      <c r="AI221" s="48"/>
      <c r="AK221" s="50"/>
    </row>
    <row r="222" spans="1:37" x14ac:dyDescent="0.25">
      <c r="A222" s="116" t="s">
        <v>215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2.4</v>
      </c>
      <c r="AH222" s="47"/>
      <c r="AI222" s="48"/>
      <c r="AK222" s="50"/>
    </row>
    <row r="223" spans="1:37" x14ac:dyDescent="0.25">
      <c r="A223" s="116" t="s">
        <v>216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2.4</v>
      </c>
      <c r="AH223" s="47"/>
      <c r="AI223" s="48"/>
      <c r="AK223" s="50"/>
    </row>
    <row r="224" spans="1:37" x14ac:dyDescent="0.25">
      <c r="A224" s="116" t="s">
        <v>217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2.2000000000000002</v>
      </c>
      <c r="AH224" s="47"/>
      <c r="AI224" s="48"/>
      <c r="AK224" s="50"/>
    </row>
    <row r="225" spans="1:37" x14ac:dyDescent="0.25">
      <c r="A225" s="116" t="s">
        <v>218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</v>
      </c>
      <c r="AH225" s="47"/>
      <c r="AI225" s="48"/>
      <c r="AK225" s="50"/>
    </row>
    <row r="226" spans="1:37" x14ac:dyDescent="0.25">
      <c r="A226" s="116" t="s">
        <v>219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</v>
      </c>
      <c r="AH226" s="47"/>
      <c r="AI226" s="48"/>
      <c r="AK226" s="50"/>
    </row>
    <row r="227" spans="1:37" x14ac:dyDescent="0.25">
      <c r="A227" s="116" t="s">
        <v>220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221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1.8</v>
      </c>
      <c r="AH228" s="47"/>
      <c r="AI228" s="48"/>
      <c r="AK228" s="50"/>
    </row>
    <row r="229" spans="1:37" x14ac:dyDescent="0.25">
      <c r="A229" s="116" t="s">
        <v>222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1.8</v>
      </c>
      <c r="AH229" s="47"/>
      <c r="AI229" s="48"/>
      <c r="AK229" s="50"/>
    </row>
    <row r="230" spans="1:37" x14ac:dyDescent="0.25">
      <c r="A230" s="116" t="s">
        <v>223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1.65</v>
      </c>
      <c r="AH230" s="47"/>
      <c r="AI230" s="48"/>
      <c r="AK230" s="50"/>
    </row>
    <row r="231" spans="1:37" x14ac:dyDescent="0.25">
      <c r="A231" s="116" t="s">
        <v>224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1.5</v>
      </c>
      <c r="AH231" s="47"/>
      <c r="AI231" s="48"/>
      <c r="AK231" s="50"/>
    </row>
    <row r="232" spans="1:37" x14ac:dyDescent="0.25">
      <c r="A232" s="116" t="s">
        <v>225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0.998</v>
      </c>
      <c r="AH232" s="47"/>
      <c r="AI232" s="48"/>
      <c r="AK232" s="50"/>
    </row>
    <row r="233" spans="1:37" x14ac:dyDescent="0.25">
      <c r="A233" s="116" t="s">
        <v>226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0.997</v>
      </c>
      <c r="AH233" s="47"/>
      <c r="AI233" s="48"/>
      <c r="AK233" s="50"/>
    </row>
    <row r="234" spans="1:37" x14ac:dyDescent="0.25">
      <c r="A234" s="116" t="s">
        <v>227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0.997</v>
      </c>
      <c r="AH234" s="47"/>
      <c r="AI234" s="48"/>
      <c r="AK234" s="50"/>
    </row>
    <row r="235" spans="1:37" x14ac:dyDescent="0.25">
      <c r="A235" s="116" t="s">
        <v>228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0.996</v>
      </c>
      <c r="AH235" s="47"/>
      <c r="AI235" s="48"/>
      <c r="AK235" s="50"/>
    </row>
    <row r="236" spans="1:37" x14ac:dyDescent="0.25">
      <c r="A236" s="116" t="s">
        <v>229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0.996</v>
      </c>
      <c r="AH236" s="47"/>
      <c r="AI236" s="48"/>
      <c r="AK236" s="50"/>
    </row>
    <row r="237" spans="1:37" x14ac:dyDescent="0.25">
      <c r="A237" s="116" t="s">
        <v>230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231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0.995</v>
      </c>
      <c r="AH238" s="47"/>
      <c r="AI238" s="48"/>
      <c r="AK238" s="50"/>
    </row>
    <row r="239" spans="1:37" x14ac:dyDescent="0.25">
      <c r="A239" s="116" t="s">
        <v>232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0.99299999999999999</v>
      </c>
      <c r="AH239" s="47"/>
      <c r="AI239" s="48"/>
      <c r="AK239" s="50"/>
    </row>
    <row r="240" spans="1:37" x14ac:dyDescent="0.25">
      <c r="A240" s="116" t="s">
        <v>233</v>
      </c>
      <c r="B240" s="129"/>
      <c r="C240" s="127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</v>
      </c>
      <c r="AH240" s="47"/>
      <c r="AI240" s="48"/>
      <c r="AK240" s="50"/>
    </row>
    <row r="241" spans="1:37" ht="15.75" thickBot="1" x14ac:dyDescent="0.3">
      <c r="A241" s="116" t="s">
        <v>234</v>
      </c>
      <c r="B241" s="133"/>
      <c r="C241" s="134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2">
        <v>0.97899999999999998</v>
      </c>
      <c r="AH241" s="47"/>
      <c r="AI241" s="48"/>
      <c r="AK241" s="50"/>
    </row>
    <row r="242" spans="1:37" ht="15.75" thickBot="1" x14ac:dyDescent="0.3">
      <c r="A242" s="135" t="s">
        <v>235</v>
      </c>
      <c r="B242" s="136">
        <f t="shared" ref="B242:AG242" si="183">SUM(B137:B241)</f>
        <v>0</v>
      </c>
      <c r="C242" s="137">
        <f t="shared" si="183"/>
        <v>0</v>
      </c>
      <c r="D242" s="137">
        <f t="shared" si="183"/>
        <v>0</v>
      </c>
      <c r="E242" s="137">
        <f t="shared" si="183"/>
        <v>0</v>
      </c>
      <c r="F242" s="137">
        <f t="shared" si="183"/>
        <v>0</v>
      </c>
      <c r="G242" s="137">
        <f t="shared" si="183"/>
        <v>0</v>
      </c>
      <c r="H242" s="137">
        <f t="shared" si="183"/>
        <v>0</v>
      </c>
      <c r="I242" s="137">
        <f t="shared" si="183"/>
        <v>0</v>
      </c>
      <c r="J242" s="137">
        <f t="shared" si="183"/>
        <v>0</v>
      </c>
      <c r="K242" s="137">
        <f t="shared" si="183"/>
        <v>0</v>
      </c>
      <c r="L242" s="137">
        <f t="shared" si="183"/>
        <v>0</v>
      </c>
      <c r="M242" s="137">
        <f t="shared" si="183"/>
        <v>0</v>
      </c>
      <c r="N242" s="137">
        <f t="shared" si="183"/>
        <v>0</v>
      </c>
      <c r="O242" s="137">
        <f t="shared" si="183"/>
        <v>0</v>
      </c>
      <c r="P242" s="137">
        <f t="shared" si="183"/>
        <v>0</v>
      </c>
      <c r="Q242" s="137">
        <f t="shared" si="183"/>
        <v>0</v>
      </c>
      <c r="R242" s="137">
        <f t="shared" si="183"/>
        <v>0</v>
      </c>
      <c r="S242" s="137">
        <f t="shared" si="183"/>
        <v>0</v>
      </c>
      <c r="T242" s="137">
        <f t="shared" si="183"/>
        <v>0</v>
      </c>
      <c r="U242" s="137">
        <f t="shared" si="183"/>
        <v>0</v>
      </c>
      <c r="V242" s="137">
        <f t="shared" si="183"/>
        <v>0</v>
      </c>
      <c r="W242" s="137">
        <f t="shared" si="183"/>
        <v>0</v>
      </c>
      <c r="X242" s="137">
        <f t="shared" si="183"/>
        <v>0</v>
      </c>
      <c r="Y242" s="137">
        <f t="shared" si="183"/>
        <v>0</v>
      </c>
      <c r="Z242" s="137">
        <f t="shared" si="183"/>
        <v>0</v>
      </c>
      <c r="AA242" s="137">
        <f t="shared" si="183"/>
        <v>0</v>
      </c>
      <c r="AB242" s="137">
        <f t="shared" si="183"/>
        <v>0</v>
      </c>
      <c r="AC242" s="137">
        <f t="shared" si="183"/>
        <v>0</v>
      </c>
      <c r="AD242" s="137">
        <f t="shared" si="183"/>
        <v>0</v>
      </c>
      <c r="AE242" s="137">
        <f t="shared" si="183"/>
        <v>0</v>
      </c>
      <c r="AF242" s="138">
        <f t="shared" si="183"/>
        <v>0</v>
      </c>
      <c r="AG242" s="139">
        <f t="shared" si="183"/>
        <v>412.72299999999984</v>
      </c>
      <c r="AH242" s="47"/>
      <c r="AI242" s="48"/>
      <c r="AK242" s="50"/>
    </row>
    <row r="243" spans="1:37" ht="15.75" thickBot="1" x14ac:dyDescent="0.3">
      <c r="A243" s="26" t="s">
        <v>75</v>
      </c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19"/>
      <c r="AH243" s="47"/>
      <c r="AI243" s="48"/>
      <c r="AK243" s="50"/>
    </row>
    <row r="244" spans="1:37" x14ac:dyDescent="0.25">
      <c r="A244" s="100" t="s">
        <v>236</v>
      </c>
      <c r="B244" s="141">
        <f t="shared" ref="B244:B249" si="184">AF244</f>
        <v>0.3</v>
      </c>
      <c r="C244" s="141">
        <v>0.3</v>
      </c>
      <c r="D244" s="141">
        <f t="shared" ref="D244:S249" si="185">C244</f>
        <v>0.3</v>
      </c>
      <c r="E244" s="141">
        <f t="shared" si="185"/>
        <v>0.3</v>
      </c>
      <c r="F244" s="141">
        <f t="shared" si="185"/>
        <v>0.3</v>
      </c>
      <c r="G244" s="141">
        <f t="shared" si="185"/>
        <v>0.3</v>
      </c>
      <c r="H244" s="141">
        <f t="shared" si="185"/>
        <v>0.3</v>
      </c>
      <c r="I244" s="141">
        <f t="shared" si="185"/>
        <v>0.3</v>
      </c>
      <c r="J244" s="141">
        <f t="shared" si="185"/>
        <v>0.3</v>
      </c>
      <c r="K244" s="141">
        <f t="shared" si="185"/>
        <v>0.3</v>
      </c>
      <c r="L244" s="141">
        <f t="shared" si="185"/>
        <v>0.3</v>
      </c>
      <c r="M244" s="141">
        <f t="shared" si="185"/>
        <v>0.3</v>
      </c>
      <c r="N244" s="141">
        <f t="shared" si="185"/>
        <v>0.3</v>
      </c>
      <c r="O244" s="141">
        <f t="shared" si="185"/>
        <v>0.3</v>
      </c>
      <c r="P244" s="141">
        <f t="shared" si="185"/>
        <v>0.3</v>
      </c>
      <c r="Q244" s="141">
        <f t="shared" si="185"/>
        <v>0.3</v>
      </c>
      <c r="R244" s="141">
        <f t="shared" si="185"/>
        <v>0.3</v>
      </c>
      <c r="S244" s="141">
        <f t="shared" si="185"/>
        <v>0.3</v>
      </c>
      <c r="T244" s="141">
        <f t="shared" ref="T244:AF249" si="186">S244</f>
        <v>0.3</v>
      </c>
      <c r="U244" s="141">
        <f t="shared" si="186"/>
        <v>0.3</v>
      </c>
      <c r="V244" s="141">
        <f t="shared" si="186"/>
        <v>0.3</v>
      </c>
      <c r="W244" s="141">
        <f t="shared" si="186"/>
        <v>0.3</v>
      </c>
      <c r="X244" s="141">
        <f t="shared" si="186"/>
        <v>0.3</v>
      </c>
      <c r="Y244" s="141">
        <f t="shared" si="186"/>
        <v>0.3</v>
      </c>
      <c r="Z244" s="141">
        <f t="shared" si="186"/>
        <v>0.3</v>
      </c>
      <c r="AA244" s="141">
        <f t="shared" si="186"/>
        <v>0.3</v>
      </c>
      <c r="AB244" s="141">
        <f t="shared" si="186"/>
        <v>0.3</v>
      </c>
      <c r="AC244" s="141">
        <f t="shared" si="186"/>
        <v>0.3</v>
      </c>
      <c r="AD244" s="141">
        <f t="shared" si="186"/>
        <v>0.3</v>
      </c>
      <c r="AE244" s="141">
        <f t="shared" si="186"/>
        <v>0.3</v>
      </c>
      <c r="AF244" s="141">
        <f t="shared" si="186"/>
        <v>0.3</v>
      </c>
      <c r="AG244" s="142">
        <v>2.4</v>
      </c>
      <c r="AH244" s="47"/>
      <c r="AI244" s="48"/>
      <c r="AK244" s="50"/>
    </row>
    <row r="245" spans="1:37" x14ac:dyDescent="0.25">
      <c r="A245" s="103" t="s">
        <v>237</v>
      </c>
      <c r="B245" s="129">
        <f t="shared" si="184"/>
        <v>0.4</v>
      </c>
      <c r="C245" s="129">
        <v>0.4</v>
      </c>
      <c r="D245" s="129">
        <f t="shared" si="185"/>
        <v>0.4</v>
      </c>
      <c r="E245" s="129">
        <f t="shared" si="185"/>
        <v>0.4</v>
      </c>
      <c r="F245" s="129">
        <f t="shared" si="185"/>
        <v>0.4</v>
      </c>
      <c r="G245" s="129">
        <f t="shared" si="185"/>
        <v>0.4</v>
      </c>
      <c r="H245" s="129">
        <f t="shared" si="185"/>
        <v>0.4</v>
      </c>
      <c r="I245" s="129">
        <f t="shared" si="185"/>
        <v>0.4</v>
      </c>
      <c r="J245" s="129">
        <f t="shared" si="185"/>
        <v>0.4</v>
      </c>
      <c r="K245" s="129">
        <f t="shared" si="185"/>
        <v>0.4</v>
      </c>
      <c r="L245" s="129">
        <f t="shared" si="185"/>
        <v>0.4</v>
      </c>
      <c r="M245" s="129">
        <f t="shared" si="185"/>
        <v>0.4</v>
      </c>
      <c r="N245" s="129">
        <f t="shared" si="185"/>
        <v>0.4</v>
      </c>
      <c r="O245" s="129">
        <f t="shared" si="185"/>
        <v>0.4</v>
      </c>
      <c r="P245" s="129">
        <f t="shared" si="185"/>
        <v>0.4</v>
      </c>
      <c r="Q245" s="129">
        <f t="shared" si="185"/>
        <v>0.4</v>
      </c>
      <c r="R245" s="129">
        <f t="shared" si="185"/>
        <v>0.4</v>
      </c>
      <c r="S245" s="129">
        <f t="shared" si="185"/>
        <v>0.4</v>
      </c>
      <c r="T245" s="129">
        <f t="shared" si="186"/>
        <v>0.4</v>
      </c>
      <c r="U245" s="129">
        <f t="shared" si="186"/>
        <v>0.4</v>
      </c>
      <c r="V245" s="129">
        <f t="shared" si="186"/>
        <v>0.4</v>
      </c>
      <c r="W245" s="129">
        <f t="shared" si="186"/>
        <v>0.4</v>
      </c>
      <c r="X245" s="129">
        <f t="shared" si="186"/>
        <v>0.4</v>
      </c>
      <c r="Y245" s="129">
        <f t="shared" si="186"/>
        <v>0.4</v>
      </c>
      <c r="Z245" s="129">
        <f t="shared" si="186"/>
        <v>0.4</v>
      </c>
      <c r="AA245" s="129">
        <f t="shared" si="186"/>
        <v>0.4</v>
      </c>
      <c r="AB245" s="129">
        <f t="shared" si="186"/>
        <v>0.4</v>
      </c>
      <c r="AC245" s="129">
        <f t="shared" si="186"/>
        <v>0.4</v>
      </c>
      <c r="AD245" s="129">
        <f t="shared" si="186"/>
        <v>0.4</v>
      </c>
      <c r="AE245" s="129">
        <f t="shared" si="186"/>
        <v>0.4</v>
      </c>
      <c r="AF245" s="129">
        <f t="shared" si="186"/>
        <v>0.4</v>
      </c>
      <c r="AG245" s="143">
        <v>2</v>
      </c>
      <c r="AH245" s="47"/>
      <c r="AI245" s="48"/>
      <c r="AK245" s="50"/>
    </row>
    <row r="246" spans="1:37" x14ac:dyDescent="0.25">
      <c r="A246" s="103" t="s">
        <v>238</v>
      </c>
      <c r="B246" s="129">
        <f t="shared" si="184"/>
        <v>1.5</v>
      </c>
      <c r="C246" s="129">
        <v>1.5</v>
      </c>
      <c r="D246" s="129">
        <f t="shared" si="185"/>
        <v>1.5</v>
      </c>
      <c r="E246" s="129">
        <f t="shared" si="185"/>
        <v>1.5</v>
      </c>
      <c r="F246" s="129">
        <f t="shared" si="185"/>
        <v>1.5</v>
      </c>
      <c r="G246" s="129">
        <f t="shared" si="185"/>
        <v>1.5</v>
      </c>
      <c r="H246" s="129">
        <f t="shared" si="185"/>
        <v>1.5</v>
      </c>
      <c r="I246" s="129">
        <f t="shared" si="185"/>
        <v>1.5</v>
      </c>
      <c r="J246" s="129">
        <f t="shared" si="185"/>
        <v>1.5</v>
      </c>
      <c r="K246" s="129">
        <f t="shared" si="185"/>
        <v>1.5</v>
      </c>
      <c r="L246" s="129">
        <f t="shared" si="185"/>
        <v>1.5</v>
      </c>
      <c r="M246" s="129">
        <f t="shared" si="185"/>
        <v>1.5</v>
      </c>
      <c r="N246" s="129">
        <f t="shared" si="185"/>
        <v>1.5</v>
      </c>
      <c r="O246" s="129">
        <f t="shared" si="185"/>
        <v>1.5</v>
      </c>
      <c r="P246" s="129">
        <f t="shared" si="185"/>
        <v>1.5</v>
      </c>
      <c r="Q246" s="129">
        <f t="shared" si="185"/>
        <v>1.5</v>
      </c>
      <c r="R246" s="129">
        <f t="shared" si="185"/>
        <v>1.5</v>
      </c>
      <c r="S246" s="129">
        <f t="shared" si="185"/>
        <v>1.5</v>
      </c>
      <c r="T246" s="129">
        <f t="shared" si="186"/>
        <v>1.5</v>
      </c>
      <c r="U246" s="129">
        <f t="shared" si="186"/>
        <v>1.5</v>
      </c>
      <c r="V246" s="129">
        <f t="shared" si="186"/>
        <v>1.5</v>
      </c>
      <c r="W246" s="129">
        <f t="shared" si="186"/>
        <v>1.5</v>
      </c>
      <c r="X246" s="129">
        <f t="shared" si="186"/>
        <v>1.5</v>
      </c>
      <c r="Y246" s="129">
        <f t="shared" si="186"/>
        <v>1.5</v>
      </c>
      <c r="Z246" s="129">
        <f t="shared" si="186"/>
        <v>1.5</v>
      </c>
      <c r="AA246" s="129">
        <f t="shared" si="186"/>
        <v>1.5</v>
      </c>
      <c r="AB246" s="129">
        <f t="shared" si="186"/>
        <v>1.5</v>
      </c>
      <c r="AC246" s="129">
        <f t="shared" si="186"/>
        <v>1.5</v>
      </c>
      <c r="AD246" s="129">
        <f t="shared" si="186"/>
        <v>1.5</v>
      </c>
      <c r="AE246" s="129">
        <f t="shared" si="186"/>
        <v>1.5</v>
      </c>
      <c r="AF246" s="129">
        <f t="shared" si="186"/>
        <v>1.5</v>
      </c>
      <c r="AG246" s="143">
        <v>1.5</v>
      </c>
      <c r="AH246" s="47"/>
      <c r="AI246" s="48"/>
      <c r="AK246" s="50"/>
    </row>
    <row r="247" spans="1:37" x14ac:dyDescent="0.25">
      <c r="A247" s="103" t="s">
        <v>239</v>
      </c>
      <c r="B247" s="129">
        <f t="shared" si="184"/>
        <v>0.3</v>
      </c>
      <c r="C247" s="129">
        <v>0.3</v>
      </c>
      <c r="D247" s="129">
        <f t="shared" si="185"/>
        <v>0.3</v>
      </c>
      <c r="E247" s="129">
        <f t="shared" si="185"/>
        <v>0.3</v>
      </c>
      <c r="F247" s="129">
        <f t="shared" si="185"/>
        <v>0.3</v>
      </c>
      <c r="G247" s="129">
        <f t="shared" si="185"/>
        <v>0.3</v>
      </c>
      <c r="H247" s="129">
        <f t="shared" si="185"/>
        <v>0.3</v>
      </c>
      <c r="I247" s="129">
        <f t="shared" si="185"/>
        <v>0.3</v>
      </c>
      <c r="J247" s="129">
        <f t="shared" si="185"/>
        <v>0.3</v>
      </c>
      <c r="K247" s="129">
        <f t="shared" si="185"/>
        <v>0.3</v>
      </c>
      <c r="L247" s="129">
        <f t="shared" si="185"/>
        <v>0.3</v>
      </c>
      <c r="M247" s="129">
        <f t="shared" si="185"/>
        <v>0.3</v>
      </c>
      <c r="N247" s="129">
        <f t="shared" si="185"/>
        <v>0.3</v>
      </c>
      <c r="O247" s="129">
        <f t="shared" si="185"/>
        <v>0.3</v>
      </c>
      <c r="P247" s="129">
        <f t="shared" si="185"/>
        <v>0.3</v>
      </c>
      <c r="Q247" s="129">
        <f t="shared" si="185"/>
        <v>0.3</v>
      </c>
      <c r="R247" s="129">
        <f t="shared" si="185"/>
        <v>0.3</v>
      </c>
      <c r="S247" s="129">
        <f t="shared" si="185"/>
        <v>0.3</v>
      </c>
      <c r="T247" s="129">
        <f t="shared" si="186"/>
        <v>0.3</v>
      </c>
      <c r="U247" s="129">
        <f t="shared" si="186"/>
        <v>0.3</v>
      </c>
      <c r="V247" s="129">
        <f t="shared" si="186"/>
        <v>0.3</v>
      </c>
      <c r="W247" s="129">
        <f t="shared" si="186"/>
        <v>0.3</v>
      </c>
      <c r="X247" s="129">
        <f t="shared" si="186"/>
        <v>0.3</v>
      </c>
      <c r="Y247" s="129">
        <f t="shared" si="186"/>
        <v>0.3</v>
      </c>
      <c r="Z247" s="129">
        <f t="shared" si="186"/>
        <v>0.3</v>
      </c>
      <c r="AA247" s="129">
        <f t="shared" si="186"/>
        <v>0.3</v>
      </c>
      <c r="AB247" s="129">
        <f t="shared" si="186"/>
        <v>0.3</v>
      </c>
      <c r="AC247" s="129">
        <f t="shared" si="186"/>
        <v>0.3</v>
      </c>
      <c r="AD247" s="129">
        <f t="shared" si="186"/>
        <v>0.3</v>
      </c>
      <c r="AE247" s="129">
        <f t="shared" si="186"/>
        <v>0.3</v>
      </c>
      <c r="AF247" s="129">
        <f t="shared" si="186"/>
        <v>0.3</v>
      </c>
      <c r="AG247" s="143">
        <v>1</v>
      </c>
      <c r="AH247" s="47"/>
      <c r="AI247" s="48"/>
      <c r="AK247" s="50"/>
    </row>
    <row r="248" spans="1:37" x14ac:dyDescent="0.25">
      <c r="A248" s="103" t="s">
        <v>240</v>
      </c>
      <c r="B248" s="129">
        <f t="shared" si="184"/>
        <v>0.4</v>
      </c>
      <c r="C248" s="129">
        <v>0.4</v>
      </c>
      <c r="D248" s="129">
        <f t="shared" si="185"/>
        <v>0.4</v>
      </c>
      <c r="E248" s="129">
        <f t="shared" si="185"/>
        <v>0.4</v>
      </c>
      <c r="F248" s="129">
        <f t="shared" si="185"/>
        <v>0.4</v>
      </c>
      <c r="G248" s="129">
        <f t="shared" si="185"/>
        <v>0.4</v>
      </c>
      <c r="H248" s="129">
        <f t="shared" si="185"/>
        <v>0.4</v>
      </c>
      <c r="I248" s="129">
        <f t="shared" si="185"/>
        <v>0.4</v>
      </c>
      <c r="J248" s="129">
        <f t="shared" si="185"/>
        <v>0.4</v>
      </c>
      <c r="K248" s="129">
        <f t="shared" si="185"/>
        <v>0.4</v>
      </c>
      <c r="L248" s="129">
        <f t="shared" si="185"/>
        <v>0.4</v>
      </c>
      <c r="M248" s="129">
        <f t="shared" si="185"/>
        <v>0.4</v>
      </c>
      <c r="N248" s="129">
        <f t="shared" si="185"/>
        <v>0.4</v>
      </c>
      <c r="O248" s="129">
        <f t="shared" si="185"/>
        <v>0.4</v>
      </c>
      <c r="P248" s="129">
        <f t="shared" si="185"/>
        <v>0.4</v>
      </c>
      <c r="Q248" s="129">
        <f t="shared" si="185"/>
        <v>0.4</v>
      </c>
      <c r="R248" s="129">
        <f t="shared" si="185"/>
        <v>0.4</v>
      </c>
      <c r="S248" s="129">
        <f t="shared" si="185"/>
        <v>0.4</v>
      </c>
      <c r="T248" s="129">
        <f t="shared" si="186"/>
        <v>0.4</v>
      </c>
      <c r="U248" s="129">
        <f t="shared" si="186"/>
        <v>0.4</v>
      </c>
      <c r="V248" s="129">
        <f t="shared" si="186"/>
        <v>0.4</v>
      </c>
      <c r="W248" s="129">
        <f t="shared" si="186"/>
        <v>0.4</v>
      </c>
      <c r="X248" s="129">
        <f t="shared" si="186"/>
        <v>0.4</v>
      </c>
      <c r="Y248" s="129">
        <f t="shared" si="186"/>
        <v>0.4</v>
      </c>
      <c r="Z248" s="129">
        <f t="shared" si="186"/>
        <v>0.4</v>
      </c>
      <c r="AA248" s="129">
        <f t="shared" si="186"/>
        <v>0.4</v>
      </c>
      <c r="AB248" s="129">
        <f t="shared" si="186"/>
        <v>0.4</v>
      </c>
      <c r="AC248" s="129">
        <f t="shared" si="186"/>
        <v>0.4</v>
      </c>
      <c r="AD248" s="129">
        <f t="shared" si="186"/>
        <v>0.4</v>
      </c>
      <c r="AE248" s="129">
        <f t="shared" si="186"/>
        <v>0.4</v>
      </c>
      <c r="AF248" s="129">
        <f t="shared" si="186"/>
        <v>0.4</v>
      </c>
      <c r="AG248" s="143">
        <v>1</v>
      </c>
      <c r="AH248" s="47"/>
      <c r="AI248" s="48"/>
      <c r="AK248" s="50"/>
    </row>
    <row r="249" spans="1:37" ht="15.75" thickBot="1" x14ac:dyDescent="0.3">
      <c r="A249" s="116" t="s">
        <v>241</v>
      </c>
      <c r="B249" s="133">
        <f t="shared" si="184"/>
        <v>0.64</v>
      </c>
      <c r="C249" s="133">
        <v>0.64</v>
      </c>
      <c r="D249" s="133">
        <f t="shared" si="185"/>
        <v>0.64</v>
      </c>
      <c r="E249" s="133">
        <f t="shared" si="185"/>
        <v>0.64</v>
      </c>
      <c r="F249" s="133">
        <f t="shared" si="185"/>
        <v>0.64</v>
      </c>
      <c r="G249" s="133">
        <f t="shared" si="185"/>
        <v>0.64</v>
      </c>
      <c r="H249" s="133">
        <f t="shared" si="185"/>
        <v>0.64</v>
      </c>
      <c r="I249" s="133">
        <f t="shared" si="185"/>
        <v>0.64</v>
      </c>
      <c r="J249" s="133">
        <f t="shared" si="185"/>
        <v>0.64</v>
      </c>
      <c r="K249" s="133">
        <f t="shared" si="185"/>
        <v>0.64</v>
      </c>
      <c r="L249" s="133">
        <f t="shared" si="185"/>
        <v>0.64</v>
      </c>
      <c r="M249" s="133">
        <f t="shared" si="185"/>
        <v>0.64</v>
      </c>
      <c r="N249" s="133">
        <f t="shared" si="185"/>
        <v>0.64</v>
      </c>
      <c r="O249" s="133">
        <f t="shared" si="185"/>
        <v>0.64</v>
      </c>
      <c r="P249" s="133">
        <f t="shared" si="185"/>
        <v>0.64</v>
      </c>
      <c r="Q249" s="133">
        <f t="shared" si="185"/>
        <v>0.64</v>
      </c>
      <c r="R249" s="133">
        <f t="shared" si="185"/>
        <v>0.64</v>
      </c>
      <c r="S249" s="133">
        <f t="shared" si="185"/>
        <v>0.64</v>
      </c>
      <c r="T249" s="133">
        <f t="shared" si="186"/>
        <v>0.64</v>
      </c>
      <c r="U249" s="133">
        <f t="shared" si="186"/>
        <v>0.64</v>
      </c>
      <c r="V249" s="133">
        <f t="shared" si="186"/>
        <v>0.64</v>
      </c>
      <c r="W249" s="133">
        <f t="shared" si="186"/>
        <v>0.64</v>
      </c>
      <c r="X249" s="133">
        <f t="shared" si="186"/>
        <v>0.64</v>
      </c>
      <c r="Y249" s="133">
        <f t="shared" si="186"/>
        <v>0.64</v>
      </c>
      <c r="Z249" s="133">
        <f t="shared" si="186"/>
        <v>0.64</v>
      </c>
      <c r="AA249" s="133">
        <f t="shared" si="186"/>
        <v>0.64</v>
      </c>
      <c r="AB249" s="133">
        <f t="shared" si="186"/>
        <v>0.64</v>
      </c>
      <c r="AC249" s="133">
        <f t="shared" si="186"/>
        <v>0.64</v>
      </c>
      <c r="AD249" s="133">
        <f t="shared" si="186"/>
        <v>0.64</v>
      </c>
      <c r="AE249" s="133">
        <f t="shared" si="186"/>
        <v>0.64</v>
      </c>
      <c r="AF249" s="133">
        <f t="shared" si="186"/>
        <v>0.64</v>
      </c>
      <c r="AG249" s="144">
        <v>0.66</v>
      </c>
      <c r="AH249" s="47"/>
      <c r="AI249" s="48"/>
    </row>
    <row r="250" spans="1:37" ht="15.75" thickBot="1" x14ac:dyDescent="0.3">
      <c r="A250" s="145" t="s">
        <v>75</v>
      </c>
      <c r="B250" s="137">
        <f t="shared" ref="B250:AG250" si="187">SUM(B244:B249)</f>
        <v>3.54</v>
      </c>
      <c r="C250" s="137">
        <f t="shared" si="187"/>
        <v>3.54</v>
      </c>
      <c r="D250" s="137">
        <f t="shared" si="187"/>
        <v>3.54</v>
      </c>
      <c r="E250" s="137">
        <f t="shared" si="187"/>
        <v>3.54</v>
      </c>
      <c r="F250" s="137">
        <f t="shared" si="187"/>
        <v>3.54</v>
      </c>
      <c r="G250" s="137">
        <f t="shared" si="187"/>
        <v>3.54</v>
      </c>
      <c r="H250" s="137">
        <f t="shared" si="187"/>
        <v>3.54</v>
      </c>
      <c r="I250" s="137">
        <f t="shared" si="187"/>
        <v>3.54</v>
      </c>
      <c r="J250" s="137">
        <f t="shared" si="187"/>
        <v>3.54</v>
      </c>
      <c r="K250" s="137">
        <f t="shared" si="187"/>
        <v>3.54</v>
      </c>
      <c r="L250" s="137">
        <f t="shared" si="187"/>
        <v>3.54</v>
      </c>
      <c r="M250" s="137">
        <f t="shared" si="187"/>
        <v>3.54</v>
      </c>
      <c r="N250" s="137">
        <f t="shared" si="187"/>
        <v>3.54</v>
      </c>
      <c r="O250" s="137">
        <f t="shared" si="187"/>
        <v>3.54</v>
      </c>
      <c r="P250" s="137">
        <f t="shared" si="187"/>
        <v>3.54</v>
      </c>
      <c r="Q250" s="137">
        <f t="shared" si="187"/>
        <v>3.54</v>
      </c>
      <c r="R250" s="137">
        <f t="shared" si="187"/>
        <v>3.54</v>
      </c>
      <c r="S250" s="137">
        <f t="shared" si="187"/>
        <v>3.54</v>
      </c>
      <c r="T250" s="137">
        <f t="shared" si="187"/>
        <v>3.54</v>
      </c>
      <c r="U250" s="137">
        <f t="shared" si="187"/>
        <v>3.54</v>
      </c>
      <c r="V250" s="137">
        <f t="shared" si="187"/>
        <v>3.54</v>
      </c>
      <c r="W250" s="137">
        <f t="shared" si="187"/>
        <v>3.54</v>
      </c>
      <c r="X250" s="137">
        <f t="shared" si="187"/>
        <v>3.54</v>
      </c>
      <c r="Y250" s="137">
        <f t="shared" si="187"/>
        <v>3.54</v>
      </c>
      <c r="Z250" s="137">
        <f t="shared" si="187"/>
        <v>3.54</v>
      </c>
      <c r="AA250" s="137">
        <f t="shared" si="187"/>
        <v>3.54</v>
      </c>
      <c r="AB250" s="137">
        <f t="shared" si="187"/>
        <v>3.54</v>
      </c>
      <c r="AC250" s="137">
        <f t="shared" si="187"/>
        <v>3.54</v>
      </c>
      <c r="AD250" s="137">
        <f t="shared" si="187"/>
        <v>3.54</v>
      </c>
      <c r="AE250" s="137">
        <f t="shared" si="187"/>
        <v>3.54</v>
      </c>
      <c r="AF250" s="137">
        <f t="shared" si="187"/>
        <v>3.54</v>
      </c>
      <c r="AG250" s="146">
        <f t="shared" si="187"/>
        <v>8.56</v>
      </c>
      <c r="AH250" s="47"/>
      <c r="AI250" s="48"/>
    </row>
    <row r="251" spans="1:37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140"/>
      <c r="AH251" s="43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1641.2670833333334</v>
      </c>
      <c r="C254" s="162">
        <f>INDEX(G9:N9,1,MATCH(MAX(G99:N99),G99:N99,0))</f>
        <v>0.375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15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2080/09/15)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2080/09/15)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188">B99</f>
        <v>945.2670833333334</v>
      </c>
      <c r="U259" s="171">
        <f t="shared" si="188"/>
        <v>917.46708333333333</v>
      </c>
      <c r="V259" s="171">
        <f t="shared" si="188"/>
        <v>902.56708333333336</v>
      </c>
      <c r="W259" s="171">
        <f t="shared" si="188"/>
        <v>917.66708333333338</v>
      </c>
      <c r="X259" s="171">
        <f t="shared" si="188"/>
        <v>918.06708333333336</v>
      </c>
      <c r="Y259" s="171">
        <f t="shared" si="188"/>
        <v>999.06708333333336</v>
      </c>
      <c r="Z259" s="171">
        <f t="shared" si="188"/>
        <v>1088.8670833333333</v>
      </c>
      <c r="AA259" s="171">
        <f t="shared" si="188"/>
        <v>1230.7670833333334</v>
      </c>
      <c r="AB259" s="171">
        <f t="shared" si="188"/>
        <v>1369.2670833333334</v>
      </c>
      <c r="AC259" s="171">
        <f t="shared" si="188"/>
        <v>1460.4670833333334</v>
      </c>
      <c r="AD259" s="171">
        <f t="shared" si="188"/>
        <v>1562.8670833333333</v>
      </c>
      <c r="AE259" s="171">
        <f t="shared" si="188"/>
        <v>1611.2670833333334</v>
      </c>
      <c r="AF259" s="171">
        <f t="shared" si="188"/>
        <v>1641.2670833333334</v>
      </c>
      <c r="AG259" s="171">
        <f t="shared" si="188"/>
        <v>1590.1670833333335</v>
      </c>
      <c r="AH259" s="171">
        <f t="shared" si="188"/>
        <v>1493.8670833333333</v>
      </c>
      <c r="AI259" s="171">
        <f t="shared" si="188"/>
        <v>1407.3670833333333</v>
      </c>
      <c r="AJ259" s="171">
        <f t="shared" si="188"/>
        <v>1335.5670833333334</v>
      </c>
      <c r="AK259" s="171">
        <f t="shared" si="188"/>
        <v>1340.7670833333332</v>
      </c>
      <c r="AL259" s="171">
        <f t="shared" si="188"/>
        <v>1348.0670833333334</v>
      </c>
      <c r="AM259" s="171">
        <f t="shared" si="188"/>
        <v>1354.3670833333335</v>
      </c>
      <c r="AN259" s="171">
        <f t="shared" si="188"/>
        <v>1621.8670833333335</v>
      </c>
      <c r="AO259" s="171">
        <f t="shared" si="188"/>
        <v>1564.5670833333334</v>
      </c>
      <c r="AP259" s="171">
        <f t="shared" si="188"/>
        <v>1708.0670833333334</v>
      </c>
      <c r="AQ259" s="171">
        <f t="shared" si="188"/>
        <v>1639.9670833333334</v>
      </c>
      <c r="AR259" s="171">
        <f t="shared" si="188"/>
        <v>1571.0670833333336</v>
      </c>
      <c r="AS259" s="171">
        <f t="shared" si="188"/>
        <v>1485.9670833333334</v>
      </c>
      <c r="AT259" s="171">
        <f t="shared" si="188"/>
        <v>1421.7670833333336</v>
      </c>
      <c r="AU259" s="171">
        <f t="shared" si="188"/>
        <v>1354.1670833333333</v>
      </c>
      <c r="AV259" s="171">
        <f t="shared" si="188"/>
        <v>1245.8670833333335</v>
      </c>
      <c r="AW259" s="171">
        <f t="shared" si="188"/>
        <v>1111.1670833333335</v>
      </c>
      <c r="AX259" s="171">
        <f t="shared" si="188"/>
        <v>1069.5670833333334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189">C249</f>
        <v>0.64</v>
      </c>
      <c r="C280" s="174">
        <f t="shared" si="189"/>
        <v>0.64</v>
      </c>
      <c r="D280" s="174">
        <f t="shared" si="189"/>
        <v>0.64</v>
      </c>
      <c r="E280" s="174">
        <f t="shared" si="189"/>
        <v>0.64</v>
      </c>
      <c r="F280" s="174">
        <f t="shared" si="189"/>
        <v>0.64</v>
      </c>
      <c r="G280" s="174">
        <f t="shared" si="189"/>
        <v>0.64</v>
      </c>
      <c r="H280" s="174">
        <f t="shared" si="189"/>
        <v>0.64</v>
      </c>
      <c r="I280" s="174">
        <f t="shared" si="189"/>
        <v>0.64</v>
      </c>
      <c r="J280" s="174">
        <f t="shared" si="189"/>
        <v>0.64</v>
      </c>
      <c r="K280" s="174">
        <f t="shared" si="189"/>
        <v>0.64</v>
      </c>
      <c r="L280" s="174">
        <f t="shared" si="189"/>
        <v>0.64</v>
      </c>
      <c r="M280" s="174">
        <f t="shared" si="189"/>
        <v>0.64</v>
      </c>
      <c r="N280" s="174">
        <f t="shared" si="189"/>
        <v>0.64</v>
      </c>
      <c r="O280" s="174">
        <f t="shared" si="189"/>
        <v>0.64</v>
      </c>
      <c r="P280" s="174">
        <f t="shared" si="189"/>
        <v>0.64</v>
      </c>
      <c r="Q280" s="174">
        <f t="shared" si="189"/>
        <v>0.64</v>
      </c>
      <c r="R280" s="174">
        <f t="shared" si="189"/>
        <v>0.64</v>
      </c>
      <c r="S280" s="174">
        <f t="shared" si="189"/>
        <v>0.64</v>
      </c>
      <c r="T280" s="174">
        <f t="shared" si="189"/>
        <v>0.64</v>
      </c>
      <c r="U280" s="174">
        <f t="shared" si="189"/>
        <v>0.64</v>
      </c>
      <c r="V280" s="174">
        <f t="shared" si="189"/>
        <v>0.64</v>
      </c>
      <c r="W280" s="174">
        <f t="shared" si="189"/>
        <v>0.64</v>
      </c>
      <c r="X280" s="174">
        <f t="shared" si="189"/>
        <v>0.64</v>
      </c>
      <c r="Y280" s="174">
        <f t="shared" si="189"/>
        <v>0.64</v>
      </c>
      <c r="Z280" s="174">
        <f t="shared" si="189"/>
        <v>0.64</v>
      </c>
      <c r="AA280" s="174">
        <f t="shared" si="189"/>
        <v>0.64</v>
      </c>
      <c r="AB280" s="174">
        <f t="shared" si="189"/>
        <v>0.64</v>
      </c>
      <c r="AC280" s="174">
        <f t="shared" si="189"/>
        <v>0.64</v>
      </c>
      <c r="AD280" s="174">
        <f t="shared" si="189"/>
        <v>0.64</v>
      </c>
      <c r="AE280" s="174">
        <f t="shared" si="189"/>
        <v>0.64</v>
      </c>
      <c r="AF280" s="174">
        <f>B249</f>
        <v>0.64</v>
      </c>
      <c r="AG280" s="43"/>
      <c r="AH280" s="43"/>
    </row>
    <row r="281" spans="1:34" x14ac:dyDescent="0.25">
      <c r="A281" s="175" t="str">
        <f>A132</f>
        <v>KGA</v>
      </c>
      <c r="B281" s="175" t="str">
        <f t="shared" ref="B281:AF281" si="190">IF(B132&lt;100,"",B132-520)</f>
        <v/>
      </c>
      <c r="C281" s="175" t="str">
        <f t="shared" si="190"/>
        <v/>
      </c>
      <c r="D281" s="175" t="str">
        <f t="shared" si="190"/>
        <v/>
      </c>
      <c r="E281" s="175" t="str">
        <f t="shared" si="190"/>
        <v/>
      </c>
      <c r="F281" s="175" t="str">
        <f t="shared" si="190"/>
        <v/>
      </c>
      <c r="G281" s="175" t="str">
        <f t="shared" si="190"/>
        <v/>
      </c>
      <c r="H281" s="175" t="str">
        <f t="shared" si="190"/>
        <v/>
      </c>
      <c r="I281" s="175" t="str">
        <f t="shared" si="190"/>
        <v/>
      </c>
      <c r="J281" s="175" t="str">
        <f t="shared" si="190"/>
        <v/>
      </c>
      <c r="K281" s="175" t="str">
        <f t="shared" si="190"/>
        <v/>
      </c>
      <c r="L281" s="175" t="str">
        <f t="shared" si="190"/>
        <v/>
      </c>
      <c r="M281" s="175" t="str">
        <f t="shared" si="190"/>
        <v/>
      </c>
      <c r="N281" s="175" t="str">
        <f t="shared" si="190"/>
        <v/>
      </c>
      <c r="O281" s="175" t="str">
        <f t="shared" si="190"/>
        <v/>
      </c>
      <c r="P281" s="175" t="str">
        <f t="shared" si="190"/>
        <v/>
      </c>
      <c r="Q281" s="175" t="str">
        <f t="shared" si="190"/>
        <v/>
      </c>
      <c r="R281" s="175" t="str">
        <f t="shared" si="190"/>
        <v/>
      </c>
      <c r="S281" s="175" t="str">
        <f t="shared" si="190"/>
        <v/>
      </c>
      <c r="T281" s="175" t="str">
        <f t="shared" si="190"/>
        <v/>
      </c>
      <c r="U281" s="175" t="str">
        <f t="shared" si="190"/>
        <v/>
      </c>
      <c r="V281" s="175" t="str">
        <f t="shared" si="190"/>
        <v/>
      </c>
      <c r="W281" s="175" t="str">
        <f t="shared" si="190"/>
        <v/>
      </c>
      <c r="X281" s="175" t="str">
        <f t="shared" si="190"/>
        <v/>
      </c>
      <c r="Y281" s="175" t="str">
        <f t="shared" si="190"/>
        <v/>
      </c>
      <c r="Z281" s="175" t="str">
        <f t="shared" si="190"/>
        <v/>
      </c>
      <c r="AA281" s="175" t="str">
        <f t="shared" si="190"/>
        <v/>
      </c>
      <c r="AB281" s="175" t="str">
        <f t="shared" si="190"/>
        <v/>
      </c>
      <c r="AC281" s="175" t="str">
        <f t="shared" si="190"/>
        <v/>
      </c>
      <c r="AD281" s="175" t="str">
        <f t="shared" si="190"/>
        <v/>
      </c>
      <c r="AE281" s="175" t="str">
        <f t="shared" si="190"/>
        <v/>
      </c>
      <c r="AF281" s="175" t="str">
        <f t="shared" si="190"/>
        <v/>
      </c>
      <c r="AG281" s="43"/>
      <c r="AH281" s="43"/>
    </row>
    <row r="282" spans="1:34" x14ac:dyDescent="0.25">
      <c r="A282" s="175" t="str">
        <f>A133</f>
        <v>MMRS</v>
      </c>
      <c r="B282" s="175" t="str">
        <f t="shared" ref="B282:AF282" si="191">IF(B133&lt;100,"",B133-620)</f>
        <v/>
      </c>
      <c r="C282" s="175" t="str">
        <f t="shared" si="191"/>
        <v/>
      </c>
      <c r="D282" s="175" t="str">
        <f t="shared" si="191"/>
        <v/>
      </c>
      <c r="E282" s="175" t="str">
        <f t="shared" si="191"/>
        <v/>
      </c>
      <c r="F282" s="175" t="str">
        <f t="shared" si="191"/>
        <v/>
      </c>
      <c r="G282" s="175" t="str">
        <f t="shared" si="191"/>
        <v/>
      </c>
      <c r="H282" s="175" t="str">
        <f t="shared" si="191"/>
        <v/>
      </c>
      <c r="I282" s="175" t="str">
        <f t="shared" si="191"/>
        <v/>
      </c>
      <c r="J282" s="175" t="str">
        <f t="shared" si="191"/>
        <v/>
      </c>
      <c r="K282" s="175" t="str">
        <f t="shared" si="191"/>
        <v/>
      </c>
      <c r="L282" s="175" t="str">
        <f t="shared" si="191"/>
        <v/>
      </c>
      <c r="M282" s="175" t="str">
        <f t="shared" si="191"/>
        <v/>
      </c>
      <c r="N282" s="175" t="str">
        <f t="shared" si="191"/>
        <v/>
      </c>
      <c r="O282" s="175" t="str">
        <f t="shared" si="191"/>
        <v/>
      </c>
      <c r="P282" s="175" t="str">
        <f t="shared" si="191"/>
        <v/>
      </c>
      <c r="Q282" s="175" t="str">
        <f t="shared" si="191"/>
        <v/>
      </c>
      <c r="R282" s="175" t="str">
        <f t="shared" si="191"/>
        <v/>
      </c>
      <c r="S282" s="175" t="str">
        <f t="shared" si="191"/>
        <v/>
      </c>
      <c r="T282" s="175" t="str">
        <f t="shared" si="191"/>
        <v/>
      </c>
      <c r="U282" s="175" t="str">
        <f t="shared" si="191"/>
        <v/>
      </c>
      <c r="V282" s="175" t="str">
        <f t="shared" si="191"/>
        <v/>
      </c>
      <c r="W282" s="175" t="str">
        <f t="shared" si="191"/>
        <v/>
      </c>
      <c r="X282" s="175" t="str">
        <f t="shared" si="191"/>
        <v/>
      </c>
      <c r="Y282" s="175" t="str">
        <f t="shared" si="191"/>
        <v/>
      </c>
      <c r="Z282" s="175" t="str">
        <f t="shared" si="191"/>
        <v/>
      </c>
      <c r="AA282" s="175" t="str">
        <f t="shared" si="191"/>
        <v/>
      </c>
      <c r="AB282" s="175" t="str">
        <f t="shared" si="191"/>
        <v/>
      </c>
      <c r="AC282" s="175" t="str">
        <f t="shared" si="191"/>
        <v/>
      </c>
      <c r="AD282" s="175" t="str">
        <f t="shared" si="191"/>
        <v/>
      </c>
      <c r="AE282" s="175" t="str">
        <f t="shared" si="191"/>
        <v/>
      </c>
      <c r="AF282" s="175" t="str">
        <f t="shared" si="191"/>
        <v/>
      </c>
      <c r="AG282" s="43"/>
      <c r="AH282" s="43"/>
    </row>
    <row r="283" spans="1:34" x14ac:dyDescent="0.25">
      <c r="A283" s="175" t="str">
        <f>A134</f>
        <v>MRS</v>
      </c>
      <c r="B283" s="175" t="str">
        <f t="shared" ref="B283:AF283" si="192">IF(B134&lt;100,"",B134-330)</f>
        <v/>
      </c>
      <c r="C283" s="175" t="str">
        <f t="shared" si="192"/>
        <v/>
      </c>
      <c r="D283" s="175" t="str">
        <f t="shared" si="192"/>
        <v/>
      </c>
      <c r="E283" s="175" t="str">
        <f t="shared" si="192"/>
        <v/>
      </c>
      <c r="F283" s="175" t="str">
        <f t="shared" si="192"/>
        <v/>
      </c>
      <c r="G283" s="175" t="str">
        <f t="shared" si="192"/>
        <v/>
      </c>
      <c r="H283" s="175" t="str">
        <f t="shared" si="192"/>
        <v/>
      </c>
      <c r="I283" s="175" t="str">
        <f t="shared" si="192"/>
        <v/>
      </c>
      <c r="J283" s="175" t="str">
        <f t="shared" si="192"/>
        <v/>
      </c>
      <c r="K283" s="175" t="str">
        <f t="shared" si="192"/>
        <v/>
      </c>
      <c r="L283" s="175" t="str">
        <f t="shared" si="192"/>
        <v/>
      </c>
      <c r="M283" s="175" t="str">
        <f t="shared" si="192"/>
        <v/>
      </c>
      <c r="N283" s="175" t="str">
        <f t="shared" si="192"/>
        <v/>
      </c>
      <c r="O283" s="175" t="str">
        <f t="shared" si="192"/>
        <v/>
      </c>
      <c r="P283" s="175" t="str">
        <f t="shared" si="192"/>
        <v/>
      </c>
      <c r="Q283" s="175" t="str">
        <f t="shared" si="192"/>
        <v/>
      </c>
      <c r="R283" s="175" t="str">
        <f t="shared" si="192"/>
        <v/>
      </c>
      <c r="S283" s="175" t="str">
        <f t="shared" si="192"/>
        <v/>
      </c>
      <c r="T283" s="175" t="str">
        <f t="shared" si="192"/>
        <v/>
      </c>
      <c r="U283" s="175" t="str">
        <f t="shared" si="192"/>
        <v/>
      </c>
      <c r="V283" s="175" t="str">
        <f t="shared" si="192"/>
        <v/>
      </c>
      <c r="W283" s="175" t="str">
        <f t="shared" si="192"/>
        <v/>
      </c>
      <c r="X283" s="175" t="str">
        <f t="shared" si="192"/>
        <v/>
      </c>
      <c r="Y283" s="175" t="str">
        <f t="shared" si="192"/>
        <v/>
      </c>
      <c r="Z283" s="175" t="str">
        <f t="shared" si="192"/>
        <v/>
      </c>
      <c r="AA283" s="175" t="str">
        <f t="shared" si="192"/>
        <v/>
      </c>
      <c r="AB283" s="175" t="str">
        <f t="shared" si="192"/>
        <v/>
      </c>
      <c r="AC283" s="175" t="str">
        <f t="shared" si="192"/>
        <v/>
      </c>
      <c r="AD283" s="175" t="str">
        <f t="shared" si="192"/>
        <v/>
      </c>
      <c r="AE283" s="175" t="str">
        <f t="shared" si="192"/>
        <v/>
      </c>
      <c r="AF283" s="175" t="str">
        <f t="shared" si="192"/>
        <v/>
      </c>
      <c r="AG283" s="43"/>
      <c r="AH283" s="43"/>
    </row>
    <row r="284" spans="1:34" x14ac:dyDescent="0.25">
      <c r="A284" s="175" t="str">
        <f>A135</f>
        <v>KL 1</v>
      </c>
      <c r="B284" s="175" t="str">
        <f t="shared" ref="B284:AF284" si="193">IF(B135&lt;100,"",B135-1500)</f>
        <v/>
      </c>
      <c r="C284" s="175" t="str">
        <f t="shared" si="193"/>
        <v/>
      </c>
      <c r="D284" s="175" t="str">
        <f t="shared" si="193"/>
        <v/>
      </c>
      <c r="E284" s="175" t="str">
        <f t="shared" si="193"/>
        <v/>
      </c>
      <c r="F284" s="175" t="str">
        <f t="shared" si="193"/>
        <v/>
      </c>
      <c r="G284" s="175" t="str">
        <f t="shared" si="193"/>
        <v/>
      </c>
      <c r="H284" s="175" t="str">
        <f t="shared" si="193"/>
        <v/>
      </c>
      <c r="I284" s="175" t="str">
        <f t="shared" si="193"/>
        <v/>
      </c>
      <c r="J284" s="175" t="str">
        <f t="shared" si="193"/>
        <v/>
      </c>
      <c r="K284" s="175" t="str">
        <f t="shared" si="193"/>
        <v/>
      </c>
      <c r="L284" s="175" t="str">
        <f t="shared" si="193"/>
        <v/>
      </c>
      <c r="M284" s="175" t="str">
        <f t="shared" si="193"/>
        <v/>
      </c>
      <c r="N284" s="175" t="str">
        <f t="shared" si="193"/>
        <v/>
      </c>
      <c r="O284" s="175" t="str">
        <f t="shared" si="193"/>
        <v/>
      </c>
      <c r="P284" s="175" t="str">
        <f t="shared" si="193"/>
        <v/>
      </c>
      <c r="Q284" s="175" t="str">
        <f t="shared" si="193"/>
        <v/>
      </c>
      <c r="R284" s="175" t="str">
        <f t="shared" si="193"/>
        <v/>
      </c>
      <c r="S284" s="175" t="str">
        <f t="shared" si="193"/>
        <v/>
      </c>
      <c r="T284" s="175" t="str">
        <f t="shared" si="193"/>
        <v/>
      </c>
      <c r="U284" s="175" t="str">
        <f t="shared" si="193"/>
        <v/>
      </c>
      <c r="V284" s="175" t="str">
        <f t="shared" si="193"/>
        <v/>
      </c>
      <c r="W284" s="175" t="str">
        <f t="shared" si="193"/>
        <v/>
      </c>
      <c r="X284" s="175" t="str">
        <f t="shared" si="193"/>
        <v/>
      </c>
      <c r="Y284" s="175" t="str">
        <f t="shared" si="193"/>
        <v/>
      </c>
      <c r="Z284" s="175" t="str">
        <f t="shared" si="193"/>
        <v/>
      </c>
      <c r="AA284" s="175" t="str">
        <f t="shared" si="193"/>
        <v/>
      </c>
      <c r="AB284" s="175" t="str">
        <f t="shared" si="193"/>
        <v/>
      </c>
      <c r="AC284" s="175" t="str">
        <f t="shared" si="193"/>
        <v/>
      </c>
      <c r="AD284" s="175" t="str">
        <f t="shared" si="193"/>
        <v/>
      </c>
      <c r="AE284" s="175" t="str">
        <f t="shared" si="193"/>
        <v/>
      </c>
      <c r="AF284" s="175" t="str">
        <f t="shared" si="193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 A136:A251">
    <cfRule type="expression" dxfId="2063" priority="53">
      <formula>$AH11=0</formula>
    </cfRule>
  </conditionalFormatting>
  <conditionalFormatting sqref="B8 M8 S8 AB8">
    <cfRule type="expression" dxfId="2062" priority="113">
      <formula>AND(C$9&gt;=14/24,C$9&lt;20/24)</formula>
    </cfRule>
    <cfRule type="expression" dxfId="2061" priority="115">
      <formula>C$9&lt;8/24</formula>
    </cfRule>
    <cfRule type="expression" dxfId="2060" priority="114">
      <formula>AND(C$9&gt;=8/24,C$9&lt;14/24)</formula>
    </cfRule>
  </conditionalFormatting>
  <conditionalFormatting sqref="B11:W54">
    <cfRule type="expression" dxfId="2059" priority="9">
      <formula>B11&gt;$AG11</formula>
    </cfRule>
  </conditionalFormatting>
  <conditionalFormatting sqref="B53:W54">
    <cfRule type="expression" dxfId="2058" priority="8">
      <formula>B$9&lt;8/24</formula>
    </cfRule>
  </conditionalFormatting>
  <conditionalFormatting sqref="B55:W55">
    <cfRule type="expression" dxfId="2057" priority="33">
      <formula>B55&gt;$AG55</formula>
    </cfRule>
  </conditionalFormatting>
  <conditionalFormatting sqref="B9:AF52">
    <cfRule type="expression" dxfId="2056" priority="24">
      <formula>B$9&gt;=20/24</formula>
    </cfRule>
    <cfRule type="expression" dxfId="2055" priority="25">
      <formula>AND(B$9&gt;=14/24,B$9&lt;20/24)</formula>
    </cfRule>
    <cfRule type="expression" dxfId="2054" priority="26">
      <formula>AND(B$9&gt;=8/24,B$9&lt;14/24)</formula>
    </cfRule>
    <cfRule type="expression" dxfId="2053" priority="27">
      <formula>B$9&lt;8/24</formula>
    </cfRule>
  </conditionalFormatting>
  <conditionalFormatting sqref="B53:AF54">
    <cfRule type="expression" dxfId="2052" priority="5">
      <formula>B$9&gt;=20/24</formula>
    </cfRule>
    <cfRule type="expression" dxfId="2051" priority="6">
      <formula>AND(B$9&gt;=14/24,B$9&lt;20/24)</formula>
    </cfRule>
    <cfRule type="expression" dxfId="2050" priority="7">
      <formula>AND(B$9&gt;=8/24,B$9&lt;14/24)</formula>
    </cfRule>
  </conditionalFormatting>
  <conditionalFormatting sqref="B55:AF57">
    <cfRule type="expression" dxfId="2049" priority="31">
      <formula>AND(B$9&gt;=8/24,B$9&lt;14/24)</formula>
    </cfRule>
    <cfRule type="expression" dxfId="2048" priority="29">
      <formula>B$9&gt;=20/24</formula>
    </cfRule>
    <cfRule type="expression" dxfId="2047" priority="30">
      <formula>AND(B$9&gt;=14/24,B$9&lt;20/24)</formula>
    </cfRule>
  </conditionalFormatting>
  <conditionalFormatting sqref="B56:AF61">
    <cfRule type="expression" dxfId="2046" priority="28">
      <formula>B56&gt;$AG56</formula>
    </cfRule>
  </conditionalFormatting>
  <conditionalFormatting sqref="B59:AF61">
    <cfRule type="expression" dxfId="2045" priority="39">
      <formula>B$9&gt;=20/24</formula>
    </cfRule>
    <cfRule type="expression" dxfId="2044" priority="40">
      <formula>AND(B$9&gt;=14/24,B$9&lt;20/24)</formula>
    </cfRule>
    <cfRule type="expression" dxfId="2043" priority="41">
      <formula>AND(B$9&gt;=8/24,B$9&lt;14/24)</formula>
    </cfRule>
    <cfRule type="expression" dxfId="2042" priority="42">
      <formula>B$9&lt;8/24</formula>
    </cfRule>
  </conditionalFormatting>
  <conditionalFormatting sqref="B63:AF74">
    <cfRule type="expression" dxfId="2041" priority="14">
      <formula>B63&gt;$AG63</formula>
    </cfRule>
  </conditionalFormatting>
  <conditionalFormatting sqref="B77:AF79">
    <cfRule type="expression" dxfId="2040" priority="43">
      <formula>B77&gt;$AG77</formula>
    </cfRule>
    <cfRule type="expression" dxfId="2039" priority="44">
      <formula>B$9&gt;=20/24</formula>
    </cfRule>
    <cfRule type="expression" dxfId="2038" priority="45">
      <formula>AND(B$9&gt;=14/24,B$9&lt;20/24)</formula>
    </cfRule>
    <cfRule type="expression" dxfId="2037" priority="46">
      <formula>AND(B$9&gt;=8/24,B$9&lt;14/24)</formula>
    </cfRule>
    <cfRule type="expression" dxfId="2036" priority="47">
      <formula>B$9&lt;8/24</formula>
    </cfRule>
  </conditionalFormatting>
  <conditionalFormatting sqref="B81:AF99">
    <cfRule type="expression" dxfId="2035" priority="10">
      <formula>B$9&gt;=20/24</formula>
    </cfRule>
    <cfRule type="expression" dxfId="2034" priority="11">
      <formula>AND(B$9&gt;=14/24,B$9&lt;20/24)</formula>
    </cfRule>
    <cfRule type="expression" dxfId="2033" priority="12">
      <formula>AND(B$9&gt;=8/24,B$9&lt;14/24)</formula>
    </cfRule>
    <cfRule type="expression" dxfId="2032" priority="13">
      <formula>B$9&lt;8/24</formula>
    </cfRule>
  </conditionalFormatting>
  <conditionalFormatting sqref="B101:AF117">
    <cfRule type="expression" dxfId="2031" priority="3">
      <formula>AND(B$9&gt;=8/24,B$9&lt;14/24)</formula>
    </cfRule>
    <cfRule type="expression" dxfId="2030" priority="4">
      <formula>B$9&lt;8/24</formula>
    </cfRule>
    <cfRule type="expression" dxfId="2029" priority="1">
      <formula>B$9&gt;=20/24</formula>
    </cfRule>
    <cfRule type="expression" dxfId="2028" priority="2">
      <formula>AND(B$9&gt;=14/24,B$9&lt;20/24)</formula>
    </cfRule>
  </conditionalFormatting>
  <conditionalFormatting sqref="B119:AF135">
    <cfRule type="expression" dxfId="2027" priority="22">
      <formula>B$9&lt;8/24</formula>
    </cfRule>
    <cfRule type="expression" dxfId="2026" priority="20">
      <formula>AND(B$9&gt;=14/24,B$9&lt;20/24)</formula>
    </cfRule>
    <cfRule type="expression" dxfId="2025" priority="19">
      <formula>B$9&gt;=20/24</formula>
    </cfRule>
    <cfRule type="expression" dxfId="2024" priority="21">
      <formula>AND(B$9&gt;=8/24,B$9&lt;14/24)</formula>
    </cfRule>
  </conditionalFormatting>
  <conditionalFormatting sqref="B242:AF242 B244:B250 D244:AF250 U258:AF258">
    <cfRule type="expression" dxfId="2023" priority="106">
      <formula>B$9&gt;=20/24</formula>
    </cfRule>
    <cfRule type="expression" dxfId="2022" priority="107">
      <formula>AND(B$9&gt;=14/24,B$9&lt;20/24)</formula>
    </cfRule>
    <cfRule type="expression" dxfId="2021" priority="109">
      <formula>B$9&lt;8/24</formula>
    </cfRule>
    <cfRule type="expression" dxfId="2020" priority="108">
      <formula>AND(B$9&gt;=8/24,B$9&lt;14/24)</formula>
    </cfRule>
  </conditionalFormatting>
  <conditionalFormatting sqref="B62:AG62">
    <cfRule type="expression" dxfId="2019" priority="48">
      <formula>B62&gt;$AG62</formula>
    </cfRule>
    <cfRule type="expression" dxfId="2018" priority="49">
      <formula>B$9&gt;=20/24</formula>
    </cfRule>
    <cfRule type="expression" dxfId="2017" priority="50">
      <formula>AND(B$9&gt;=14/24,B$9&lt;20/24)</formula>
    </cfRule>
    <cfRule type="expression" dxfId="2016" priority="52">
      <formula>B$9&lt;8/24</formula>
    </cfRule>
    <cfRule type="expression" dxfId="2015" priority="51">
      <formula>AND(B$9&gt;=8/24,B$9&lt;14/24)</formula>
    </cfRule>
  </conditionalFormatting>
  <conditionalFormatting sqref="B75:AG76 B80:AG80">
    <cfRule type="expression" dxfId="2014" priority="34">
      <formula>B75&gt;$AG75</formula>
    </cfRule>
  </conditionalFormatting>
  <conditionalFormatting sqref="B80:AG80">
    <cfRule type="expression" dxfId="2013" priority="38">
      <formula>B$9&lt;8/24</formula>
    </cfRule>
    <cfRule type="expression" dxfId="2012" priority="37">
      <formula>AND(B$9&gt;=8/24,B$9&lt;14/24)</formula>
    </cfRule>
    <cfRule type="expression" dxfId="2011" priority="35">
      <formula>B$9&gt;=20/24</formula>
    </cfRule>
    <cfRule type="expression" dxfId="2010" priority="36">
      <formula>AND(B$9&gt;=14/24,B$9&lt;20/24)</formula>
    </cfRule>
  </conditionalFormatting>
  <conditionalFormatting sqref="L63:V65">
    <cfRule type="expression" dxfId="2009" priority="88">
      <formula>AND(L$9&gt;=14/24,L$9&lt;20/24)</formula>
    </cfRule>
    <cfRule type="expression" dxfId="2008" priority="89">
      <formula>AND(L$9&gt;=8/24,L$9&lt;14/24)</formula>
    </cfRule>
    <cfRule type="expression" dxfId="2007" priority="87">
      <formula>L$9&gt;=20/24</formula>
    </cfRule>
    <cfRule type="expression" dxfId="2006" priority="90">
      <formula>L$9&lt;8/24</formula>
    </cfRule>
  </conditionalFormatting>
  <conditionalFormatting sqref="L68:V68">
    <cfRule type="expression" dxfId="2005" priority="67">
      <formula>L$9&lt;8/24</formula>
    </cfRule>
    <cfRule type="expression" dxfId="2004" priority="64">
      <formula>L$9&gt;=20/24</formula>
    </cfRule>
    <cfRule type="expression" dxfId="2003" priority="65">
      <formula>AND(L$9&gt;=14/24,L$9&lt;20/24)</formula>
    </cfRule>
    <cfRule type="expression" dxfId="2002" priority="66">
      <formula>AND(L$9&gt;=8/24,L$9&lt;14/24)</formula>
    </cfRule>
  </conditionalFormatting>
  <conditionalFormatting sqref="L69:AF74">
    <cfRule type="expression" dxfId="2001" priority="54">
      <formula>L$9&gt;=20/24</formula>
    </cfRule>
    <cfRule type="expression" dxfId="2000" priority="55">
      <formula>AND(L$9&gt;=14/24,L$9&lt;20/24)</formula>
    </cfRule>
    <cfRule type="expression" dxfId="1999" priority="56">
      <formula>AND(L$9&gt;=8/24,L$9&lt;14/24)</formula>
    </cfRule>
    <cfRule type="expression" dxfId="1998" priority="57">
      <formula>L$9&lt;8/24</formula>
    </cfRule>
  </conditionalFormatting>
  <conditionalFormatting sqref="M63:V67">
    <cfRule type="expression" dxfId="1997" priority="91">
      <formula>M$9&gt;=20/24</formula>
    </cfRule>
    <cfRule type="expression" dxfId="1996" priority="94">
      <formula>M$9&lt;8/24</formula>
    </cfRule>
    <cfRule type="expression" dxfId="1995" priority="93">
      <formula>AND(M$9&gt;=8/24,M$9&lt;14/24)</formula>
    </cfRule>
    <cfRule type="expression" dxfId="1994" priority="92">
      <formula>AND(M$9&gt;=14/24,M$9&lt;20/24)</formula>
    </cfRule>
  </conditionalFormatting>
  <conditionalFormatting sqref="O3:P3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P63:V66 B63:O74 P69:W74 N73:P73">
    <cfRule type="expression" dxfId="1993" priority="15">
      <formula>B$9&gt;=20/24</formula>
    </cfRule>
    <cfRule type="expression" dxfId="1992" priority="16">
      <formula>AND(B$9&gt;=14/24,B$9&lt;20/24)</formula>
    </cfRule>
    <cfRule type="expression" dxfId="1991" priority="18">
      <formula>B$9&lt;8/24</formula>
    </cfRule>
    <cfRule type="expression" dxfId="1990" priority="17">
      <formula>AND(B$9&gt;=8/24,B$9&lt;14/24)</formula>
    </cfRule>
  </conditionalFormatting>
  <conditionalFormatting sqref="S8 AB8 B8 M8">
    <cfRule type="expression" dxfId="1989" priority="112">
      <formula>C$9&gt;=20/24</formula>
    </cfRule>
  </conditionalFormatting>
  <conditionalFormatting sqref="S8">
    <cfRule type="expression" dxfId="1988" priority="99">
      <formula>U$9&gt;=20/24</formula>
    </cfRule>
    <cfRule type="expression" dxfId="1987" priority="102">
      <formula>U$9&lt;8/24</formula>
    </cfRule>
    <cfRule type="expression" dxfId="1986" priority="101">
      <formula>AND(U$9&gt;=8/24,U$9&lt;14/24)</formula>
    </cfRule>
    <cfRule type="expression" dxfId="1985" priority="100">
      <formula>AND(U$9&gt;=14/24,U$9&lt;20/24)</formula>
    </cfRule>
  </conditionalFormatting>
  <conditionalFormatting sqref="T258">
    <cfRule type="expression" dxfId="1984" priority="125">
      <formula>AND(AX$9&gt;=14/24,AX$9&lt;20/24)</formula>
    </cfRule>
    <cfRule type="expression" dxfId="1983" priority="126">
      <formula>AND(AX$9&gt;=8/24,AX$9&lt;14/24)</formula>
    </cfRule>
    <cfRule type="expression" dxfId="1982" priority="127">
      <formula>AX$9&lt;8/24</formula>
    </cfRule>
    <cfRule type="expression" dxfId="1981" priority="124">
      <formula>AX$9&gt;=20/24</formula>
    </cfRule>
  </conditionalFormatting>
  <conditionalFormatting sqref="V3 AB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W55:W56 B55:V57">
    <cfRule type="expression" dxfId="1980" priority="32">
      <formula>B$9&lt;8/24</formula>
    </cfRule>
  </conditionalFormatting>
  <conditionalFormatting sqref="W63:AF68">
    <cfRule type="expression" dxfId="1979" priority="61">
      <formula>W$9&lt;8/24</formula>
    </cfRule>
    <cfRule type="expression" dxfId="1978" priority="60">
      <formula>AND(W$9&gt;=8/24,W$9&lt;14/24)</formula>
    </cfRule>
    <cfRule type="expression" dxfId="1977" priority="58">
      <formula>W$9&gt;=20/24</formula>
    </cfRule>
    <cfRule type="expression" dxfId="1976" priority="59">
      <formula>AND(W$9&gt;=14/24,W$9&lt;20/24)</formula>
    </cfRule>
  </conditionalFormatting>
  <conditionalFormatting sqref="X53:AD56 AE53:AF57 W57:AD57">
    <cfRule type="expression" dxfId="1975" priority="62">
      <formula>W$9&lt;8/24</formula>
    </cfRule>
  </conditionalFormatting>
  <conditionalFormatting sqref="X11:AF52">
    <cfRule type="expression" dxfId="1974" priority="23">
      <formula>X11&gt;$AG11</formula>
    </cfRule>
  </conditionalFormatting>
  <conditionalFormatting sqref="X53:AF55">
    <cfRule type="expression" dxfId="1973" priority="63">
      <formula>X53&gt;$AG53</formula>
    </cfRule>
  </conditionalFormatting>
  <conditionalFormatting sqref="AB8">
    <cfRule type="expression" dxfId="1972" priority="98">
      <formula>AD$9&lt;8/24</formula>
    </cfRule>
    <cfRule type="expression" dxfId="1971" priority="95">
      <formula>AD$9&gt;=20/24</formula>
    </cfRule>
    <cfRule type="expression" dxfId="1970" priority="96">
      <formula>AND(AD$9&gt;=14/24,AD$9&lt;20/24)</formula>
    </cfRule>
    <cfRule type="expression" dxfId="1969" priority="97">
      <formula>AND(AD$9&gt;=8/24,AD$9&lt;14/24)</formula>
    </cfRule>
  </conditionalFormatting>
  <conditionalFormatting sqref="AG58">
    <cfRule type="expression" dxfId="1968" priority="82">
      <formula>AG58&gt;$AG58</formula>
    </cfRule>
  </conditionalFormatting>
  <conditionalFormatting sqref="AG97">
    <cfRule type="expression" dxfId="1967" priority="84">
      <formula>AND(AG$9&gt;=14/24,AG$9&lt;20/24)</formula>
    </cfRule>
    <cfRule type="expression" dxfId="1966" priority="85">
      <formula>AND(AG$9&gt;=8/24,AG$9&lt;14/24)</formula>
    </cfRule>
    <cfRule type="expression" dxfId="1965" priority="86">
      <formula>AG$9&lt;8/24</formula>
    </cfRule>
    <cfRule type="expression" dxfId="1964" priority="83">
      <formula>AG$9&gt;=20/24</formula>
    </cfRule>
  </conditionalFormatting>
  <conditionalFormatting sqref="AG258">
    <cfRule type="expression" dxfId="1963" priority="119">
      <formula>B$9&lt;8/24</formula>
    </cfRule>
    <cfRule type="expression" dxfId="1962" priority="116">
      <formula>B$9&gt;=20/24</formula>
    </cfRule>
    <cfRule type="expression" dxfId="1961" priority="117">
      <formula>AND(B$9&gt;=14/24,B$9&lt;20/24)</formula>
    </cfRule>
    <cfRule type="expression" dxfId="1960" priority="118">
      <formula>AND(B$9&gt;=8/24,B$9&lt;14/24)</formula>
    </cfRule>
  </conditionalFormatting>
  <conditionalFormatting sqref="AH258:AX258">
    <cfRule type="expression" dxfId="1959" priority="120">
      <formula>AG$9&gt;=20/24</formula>
    </cfRule>
    <cfRule type="expression" dxfId="1958" priority="121">
      <formula>AND(AG$9&gt;=14/24,AG$9&lt;20/24)</formula>
    </cfRule>
    <cfRule type="expression" dxfId="1957" priority="122">
      <formula>AND(AG$9&gt;=8/24,AG$9&lt;14/24)</formula>
    </cfRule>
    <cfRule type="expression" dxfId="1956" priority="123">
      <formula>AG$9&lt;8/24</formula>
    </cfRule>
  </conditionalFormatting>
  <conditionalFormatting sqref="AL4:AL6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955" priority="129">
      <formula>AJ$9&gt;=20/24</formula>
    </cfRule>
    <cfRule type="expression" dxfId="1954" priority="130">
      <formula>AND(AJ$9&gt;=14/24,AJ$9&lt;20/24)</formula>
    </cfRule>
    <cfRule type="expression" dxfId="1953" priority="131">
      <formula>AND(AJ$9&gt;=8/24,AJ$9&lt;14/24)</formula>
    </cfRule>
    <cfRule type="expression" dxfId="1952" priority="132">
      <formula>AJ$9&lt;8/24</formula>
    </cfRule>
  </conditionalFormatting>
  <conditionalFormatting sqref="AL88:AN88 AL94:AN94">
    <cfRule type="expression" dxfId="1951" priority="76">
      <formula>AND(AL$9&gt;=14/24,AL$9&lt;20/24)</formula>
    </cfRule>
    <cfRule type="expression" dxfId="1950" priority="75">
      <formula>AL$9&gt;=20/24</formula>
    </cfRule>
    <cfRule type="expression" dxfId="1949" priority="78">
      <formula>AL$9&lt;8/24</formula>
    </cfRule>
    <cfRule type="expression" dxfId="1948" priority="77">
      <formula>AND(AL$9&gt;=8/24,AL$9&lt;14/24)</formula>
    </cfRule>
  </conditionalFormatting>
  <conditionalFormatting sqref="AN89:AN92">
    <cfRule type="expression" dxfId="1947" priority="74">
      <formula>AN$9&lt;8/24</formula>
    </cfRule>
    <cfRule type="expression" dxfId="1946" priority="73">
      <formula>AND(AN$9&gt;=8/24,AN$9&lt;14/24)</formula>
    </cfRule>
    <cfRule type="expression" dxfId="1945" priority="72">
      <formula>AND(AN$9&gt;=14/24,AN$9&lt;20/24)</formula>
    </cfRule>
    <cfRule type="expression" dxfId="1944" priority="7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49D7-9FB4-4F42-B7DB-D09FB4EC2EA4}">
  <sheetPr codeName="Sheet17"/>
  <dimension ref="A1:CJ291"/>
  <sheetViews>
    <sheetView zoomScale="106" workbookViewId="0">
      <pane xSplit="1" ySplit="10" topLeftCell="B56" activePane="bottomRight" state="frozen"/>
      <selection activeCell="P118" sqref="P118"/>
      <selection pane="topRight" activeCell="P118" sqref="P118"/>
      <selection pane="bottomLeft" activeCell="P118" sqref="P118"/>
      <selection pane="bottomRight" activeCell="Z77" sqref="Z7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2080/09/16</v>
      </c>
      <c r="C4" s="246"/>
      <c r="D4" s="246"/>
      <c r="E4" s="247" t="str">
        <f ca="1">"2080/"&amp;"09/"&amp;INT(MID(CELL("filename",G6),FIND("]",CELL("filename",G6))+1,200))</f>
        <v>2080/09/16</v>
      </c>
      <c r="F4" s="247"/>
      <c r="G4" s="247"/>
      <c r="H4" s="247" t="str">
        <f ca="1">TEXT(E4,"dddd")</f>
        <v>Monday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155.80000000000001</v>
      </c>
      <c r="C5" s="30">
        <f t="shared" si="0"/>
        <v>156.80000000000001</v>
      </c>
      <c r="D5" s="30">
        <f t="shared" si="0"/>
        <v>152.80000000000001</v>
      </c>
      <c r="E5" s="30">
        <f t="shared" si="0"/>
        <v>143</v>
      </c>
      <c r="F5" s="30">
        <f t="shared" si="0"/>
        <v>148</v>
      </c>
      <c r="G5" s="30">
        <f t="shared" si="0"/>
        <v>178</v>
      </c>
      <c r="H5" s="30">
        <f t="shared" si="0"/>
        <v>236</v>
      </c>
      <c r="I5" s="30">
        <f t="shared" si="0"/>
        <v>247.3</v>
      </c>
      <c r="J5" s="30">
        <f t="shared" si="0"/>
        <v>261.5</v>
      </c>
      <c r="K5" s="30">
        <f t="shared" si="0"/>
        <v>146.9</v>
      </c>
      <c r="L5" s="30">
        <f t="shared" si="0"/>
        <v>102.7</v>
      </c>
      <c r="M5" s="30">
        <f t="shared" si="0"/>
        <v>45.5</v>
      </c>
      <c r="N5" s="30">
        <f t="shared" si="0"/>
        <v>62.400000000000006</v>
      </c>
      <c r="O5" s="30">
        <f t="shared" si="0"/>
        <v>177</v>
      </c>
      <c r="P5" s="30">
        <f t="shared" si="0"/>
        <v>279</v>
      </c>
      <c r="Q5" s="30">
        <f t="shared" si="0"/>
        <v>320</v>
      </c>
      <c r="R5" s="30">
        <f t="shared" si="0"/>
        <v>302</v>
      </c>
      <c r="S5" s="30">
        <f t="shared" si="0"/>
        <v>354</v>
      </c>
      <c r="T5" s="30">
        <f t="shared" si="0"/>
        <v>430.5</v>
      </c>
      <c r="U5" s="30">
        <f t="shared" si="0"/>
        <v>57.699999999999996</v>
      </c>
      <c r="V5" s="30">
        <f t="shared" si="0"/>
        <v>27.9</v>
      </c>
      <c r="W5" s="30">
        <f t="shared" si="0"/>
        <v>27.9</v>
      </c>
      <c r="X5" s="30">
        <f t="shared" si="0"/>
        <v>31.5</v>
      </c>
      <c r="Y5" s="30">
        <f t="shared" si="0"/>
        <v>250</v>
      </c>
      <c r="Z5" s="30">
        <f t="shared" si="0"/>
        <v>278</v>
      </c>
      <c r="AA5" s="30">
        <f t="shared" si="0"/>
        <v>222</v>
      </c>
      <c r="AB5" s="30">
        <f t="shared" si="0"/>
        <v>201</v>
      </c>
      <c r="AC5" s="30">
        <f t="shared" si="0"/>
        <v>243.6</v>
      </c>
      <c r="AD5" s="30">
        <f t="shared" si="0"/>
        <v>241.4</v>
      </c>
      <c r="AE5" s="30">
        <f t="shared" si="0"/>
        <v>227.7</v>
      </c>
      <c r="AF5" s="30">
        <f>B92</f>
        <v>155.69999999999999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1698MW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Load=967</v>
      </c>
      <c r="B7" s="35">
        <f>B100</f>
        <v>1002.5670833333334</v>
      </c>
      <c r="C7" s="35">
        <f t="shared" ref="C7:AF7" si="1">C100</f>
        <v>979.56708333333336</v>
      </c>
      <c r="D7" s="35">
        <f t="shared" si="1"/>
        <v>980.66708333333349</v>
      </c>
      <c r="E7" s="35">
        <f t="shared" si="1"/>
        <v>969.66708333333349</v>
      </c>
      <c r="F7" s="35">
        <f t="shared" si="1"/>
        <v>966.86708333333343</v>
      </c>
      <c r="G7" s="35">
        <f t="shared" si="1"/>
        <v>1068.8670833333335</v>
      </c>
      <c r="H7" s="35">
        <f t="shared" si="1"/>
        <v>1169.3670833333335</v>
      </c>
      <c r="I7" s="35">
        <f t="shared" si="1"/>
        <v>1251.1670833333335</v>
      </c>
      <c r="J7" s="35">
        <f t="shared" si="1"/>
        <v>1353.4670833333334</v>
      </c>
      <c r="K7" s="35">
        <f t="shared" si="1"/>
        <v>1499.3670833333335</v>
      </c>
      <c r="L7" s="35">
        <f t="shared" si="1"/>
        <v>1616.4670833333334</v>
      </c>
      <c r="M7" s="35">
        <f t="shared" si="1"/>
        <v>1697.7799999999997</v>
      </c>
      <c r="N7" s="35">
        <f t="shared" si="1"/>
        <v>1662.5799999999997</v>
      </c>
      <c r="O7" s="35">
        <f t="shared" si="1"/>
        <v>1631.8799999999999</v>
      </c>
      <c r="P7" s="35">
        <f t="shared" si="1"/>
        <v>1473.1799999999998</v>
      </c>
      <c r="Q7" s="35">
        <f t="shared" si="1"/>
        <v>1405.1799999999998</v>
      </c>
      <c r="R7" s="35">
        <f t="shared" si="1"/>
        <v>1334.98</v>
      </c>
      <c r="S7" s="35">
        <f t="shared" si="1"/>
        <v>1305.58</v>
      </c>
      <c r="T7" s="35">
        <f t="shared" si="1"/>
        <v>1324.3799999999999</v>
      </c>
      <c r="U7" s="35">
        <f t="shared" si="1"/>
        <v>1371.8799999999999</v>
      </c>
      <c r="V7" s="35">
        <f t="shared" si="1"/>
        <v>1447.28</v>
      </c>
      <c r="W7" s="35">
        <f t="shared" si="1"/>
        <v>1501.1799999999998</v>
      </c>
      <c r="X7" s="35">
        <f t="shared" si="1"/>
        <v>1681.44</v>
      </c>
      <c r="Y7" s="35">
        <f t="shared" si="1"/>
        <v>1729.7799999999997</v>
      </c>
      <c r="Z7" s="35">
        <f t="shared" si="1"/>
        <v>1564.8799999999999</v>
      </c>
      <c r="AA7" s="35">
        <f t="shared" si="1"/>
        <v>1587.8799999999999</v>
      </c>
      <c r="AB7" s="35">
        <f t="shared" si="1"/>
        <v>1459.5800000000002</v>
      </c>
      <c r="AC7" s="35">
        <f t="shared" si="1"/>
        <v>1396.7800000000002</v>
      </c>
      <c r="AD7" s="35">
        <f t="shared" si="1"/>
        <v>1347.28</v>
      </c>
      <c r="AE7" s="35">
        <f t="shared" si="1"/>
        <v>1151.48</v>
      </c>
      <c r="AF7" s="35">
        <f t="shared" si="1"/>
        <v>1054.4800000000002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36.700000000000003</v>
      </c>
      <c r="C11" s="45">
        <v>36.700000000000003</v>
      </c>
      <c r="D11" s="45">
        <v>38.799999999999997</v>
      </c>
      <c r="E11" s="45">
        <v>36</v>
      </c>
      <c r="F11" s="45">
        <v>38</v>
      </c>
      <c r="G11" s="45">
        <v>25.5</v>
      </c>
      <c r="H11" s="45">
        <v>38</v>
      </c>
      <c r="I11" s="45">
        <v>41.5</v>
      </c>
      <c r="J11" s="45">
        <v>38.700000000000003</v>
      </c>
      <c r="K11" s="45">
        <v>39.299999999999997</v>
      </c>
      <c r="L11" s="45">
        <v>41</v>
      </c>
      <c r="M11" s="45">
        <v>41</v>
      </c>
      <c r="N11" s="45">
        <v>41</v>
      </c>
      <c r="O11" s="45">
        <v>41</v>
      </c>
      <c r="P11" s="45">
        <v>41</v>
      </c>
      <c r="Q11" s="45">
        <v>41</v>
      </c>
      <c r="R11" s="45">
        <v>41</v>
      </c>
      <c r="S11" s="45">
        <v>41</v>
      </c>
      <c r="T11" s="45">
        <v>41</v>
      </c>
      <c r="U11" s="45">
        <v>41</v>
      </c>
      <c r="V11" s="45">
        <v>41</v>
      </c>
      <c r="W11" s="45">
        <v>41</v>
      </c>
      <c r="X11" s="45">
        <v>36</v>
      </c>
      <c r="Y11" s="45">
        <v>41</v>
      </c>
      <c r="Z11" s="45">
        <v>41</v>
      </c>
      <c r="AA11" s="45">
        <v>41</v>
      </c>
      <c r="AB11" s="45">
        <v>36</v>
      </c>
      <c r="AC11" s="45">
        <v>36</v>
      </c>
      <c r="AD11" s="45">
        <v>41.6</v>
      </c>
      <c r="AE11" s="45">
        <v>41.5</v>
      </c>
      <c r="AF11" s="45">
        <v>41</v>
      </c>
      <c r="AG11" s="46">
        <v>86</v>
      </c>
      <c r="AH11" s="47">
        <f t="shared" ref="AH11:AH84" si="2">MAX(B11:AF11)</f>
        <v>41.6</v>
      </c>
      <c r="AI11" s="48">
        <f t="shared" ref="AI11:AI84" si="3">MIN(B11:AF11)</f>
        <v>25.5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14.8</v>
      </c>
      <c r="C12" s="45">
        <v>14.8</v>
      </c>
      <c r="D12" s="45">
        <v>14.8</v>
      </c>
      <c r="E12" s="45">
        <v>14.8</v>
      </c>
      <c r="F12" s="45">
        <v>14.8</v>
      </c>
      <c r="G12" s="45">
        <v>14.8</v>
      </c>
      <c r="H12" s="45">
        <v>14.8</v>
      </c>
      <c r="I12" s="45">
        <v>14.8</v>
      </c>
      <c r="J12" s="45">
        <v>14.8</v>
      </c>
      <c r="K12" s="45">
        <v>14.8</v>
      </c>
      <c r="L12" s="45">
        <v>14.8</v>
      </c>
      <c r="M12" s="45">
        <v>12.4</v>
      </c>
      <c r="N12" s="45">
        <v>12.4</v>
      </c>
      <c r="O12" s="45">
        <v>12.4</v>
      </c>
      <c r="P12" s="45">
        <v>12.4</v>
      </c>
      <c r="Q12" s="45">
        <v>12.4</v>
      </c>
      <c r="R12" s="45">
        <v>12.4</v>
      </c>
      <c r="S12" s="45">
        <v>12.4</v>
      </c>
      <c r="T12" s="45">
        <v>12.4</v>
      </c>
      <c r="U12" s="45">
        <v>12.4</v>
      </c>
      <c r="V12" s="45">
        <v>12.4</v>
      </c>
      <c r="W12" s="45">
        <v>12.4</v>
      </c>
      <c r="X12" s="45">
        <v>12.4</v>
      </c>
      <c r="Y12" s="45">
        <v>12.4</v>
      </c>
      <c r="Z12" s="45">
        <v>12.4</v>
      </c>
      <c r="AA12" s="45">
        <v>12.4</v>
      </c>
      <c r="AB12" s="45">
        <v>12.4</v>
      </c>
      <c r="AC12" s="45">
        <v>13.8</v>
      </c>
      <c r="AD12" s="45">
        <v>13.8</v>
      </c>
      <c r="AE12" s="45">
        <v>13.8</v>
      </c>
      <c r="AF12" s="45">
        <v>13.8</v>
      </c>
      <c r="AG12" s="49">
        <v>54</v>
      </c>
      <c r="AH12" s="47">
        <f t="shared" si="2"/>
        <v>14.8</v>
      </c>
      <c r="AI12" s="48">
        <f t="shared" si="3"/>
        <v>12.4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18</v>
      </c>
      <c r="C13" s="45">
        <v>18</v>
      </c>
      <c r="D13" s="45">
        <v>18</v>
      </c>
      <c r="E13" s="45">
        <v>18</v>
      </c>
      <c r="F13" s="45">
        <v>18</v>
      </c>
      <c r="G13" s="45">
        <v>18</v>
      </c>
      <c r="H13" s="45">
        <v>18</v>
      </c>
      <c r="I13" s="45">
        <v>18</v>
      </c>
      <c r="J13" s="45">
        <v>18</v>
      </c>
      <c r="K13" s="45">
        <v>18</v>
      </c>
      <c r="L13" s="45">
        <v>18</v>
      </c>
      <c r="M13" s="45">
        <v>17</v>
      </c>
      <c r="N13" s="45">
        <v>17</v>
      </c>
      <c r="O13" s="45">
        <v>17</v>
      </c>
      <c r="P13" s="45">
        <v>17</v>
      </c>
      <c r="Q13" s="45">
        <v>17</v>
      </c>
      <c r="R13" s="45">
        <v>17</v>
      </c>
      <c r="S13" s="45">
        <v>17</v>
      </c>
      <c r="T13" s="45">
        <v>17</v>
      </c>
      <c r="U13" s="45">
        <v>17</v>
      </c>
      <c r="V13" s="45">
        <v>17</v>
      </c>
      <c r="W13" s="45">
        <v>17</v>
      </c>
      <c r="X13" s="45">
        <v>17</v>
      </c>
      <c r="Y13" s="45">
        <v>17</v>
      </c>
      <c r="Z13" s="45">
        <v>17</v>
      </c>
      <c r="AA13" s="45">
        <v>17</v>
      </c>
      <c r="AB13" s="45">
        <v>17</v>
      </c>
      <c r="AC13" s="45">
        <v>17</v>
      </c>
      <c r="AD13" s="45">
        <v>17</v>
      </c>
      <c r="AE13" s="45">
        <v>17</v>
      </c>
      <c r="AF13" s="45">
        <v>17</v>
      </c>
      <c r="AG13" s="49">
        <v>54</v>
      </c>
      <c r="AH13" s="47">
        <f t="shared" si="2"/>
        <v>18</v>
      </c>
      <c r="AI13" s="48">
        <f t="shared" si="3"/>
        <v>17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19.899999999999999</v>
      </c>
      <c r="C14" s="45">
        <v>19.899999999999999</v>
      </c>
      <c r="D14" s="45">
        <v>19.899999999999999</v>
      </c>
      <c r="E14" s="45">
        <v>19.899999999999999</v>
      </c>
      <c r="F14" s="45">
        <v>19.899999999999999</v>
      </c>
      <c r="G14" s="45">
        <v>19.899999999999999</v>
      </c>
      <c r="H14" s="45">
        <v>19.899999999999999</v>
      </c>
      <c r="I14" s="45">
        <v>19.899999999999999</v>
      </c>
      <c r="J14" s="45">
        <v>19.899999999999999</v>
      </c>
      <c r="K14" s="45">
        <v>19.899999999999999</v>
      </c>
      <c r="L14" s="45">
        <v>19.899999999999999</v>
      </c>
      <c r="M14" s="45">
        <v>19</v>
      </c>
      <c r="N14" s="45">
        <v>19</v>
      </c>
      <c r="O14" s="45">
        <v>19</v>
      </c>
      <c r="P14" s="45">
        <v>19</v>
      </c>
      <c r="Q14" s="45">
        <v>19</v>
      </c>
      <c r="R14" s="45">
        <v>19</v>
      </c>
      <c r="S14" s="45">
        <v>19</v>
      </c>
      <c r="T14" s="45">
        <v>19</v>
      </c>
      <c r="U14" s="45">
        <v>19</v>
      </c>
      <c r="V14" s="45">
        <v>19</v>
      </c>
      <c r="W14" s="45">
        <v>19</v>
      </c>
      <c r="X14" s="45">
        <v>19</v>
      </c>
      <c r="Y14" s="45">
        <v>19</v>
      </c>
      <c r="Z14" s="45">
        <v>19</v>
      </c>
      <c r="AA14" s="45">
        <v>19</v>
      </c>
      <c r="AB14" s="45">
        <v>20.100000000000001</v>
      </c>
      <c r="AC14" s="45">
        <v>20</v>
      </c>
      <c r="AD14" s="45">
        <v>20.100000000000001</v>
      </c>
      <c r="AE14" s="45">
        <v>20</v>
      </c>
      <c r="AF14" s="45">
        <v>20</v>
      </c>
      <c r="AG14" s="46">
        <v>52.4</v>
      </c>
      <c r="AH14" s="47">
        <f t="shared" si="2"/>
        <v>20.100000000000001</v>
      </c>
      <c r="AI14" s="48">
        <f t="shared" si="3"/>
        <v>19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41.2</v>
      </c>
      <c r="C15" s="45">
        <v>41.2</v>
      </c>
      <c r="D15" s="45">
        <v>41.7</v>
      </c>
      <c r="E15" s="45">
        <v>41.7</v>
      </c>
      <c r="F15" s="45">
        <v>41.7</v>
      </c>
      <c r="G15" s="45">
        <v>41.7</v>
      </c>
      <c r="H15" s="45">
        <v>41.7</v>
      </c>
      <c r="I15" s="45">
        <v>41.7</v>
      </c>
      <c r="J15" s="45">
        <v>41.7</v>
      </c>
      <c r="K15" s="45">
        <v>41.7</v>
      </c>
      <c r="L15" s="45">
        <v>41.7</v>
      </c>
      <c r="M15" s="51">
        <v>41.2</v>
      </c>
      <c r="N15" s="51">
        <v>41.2</v>
      </c>
      <c r="O15" s="51">
        <v>41.2</v>
      </c>
      <c r="P15" s="51">
        <v>41.2</v>
      </c>
      <c r="Q15" s="51">
        <v>41.2</v>
      </c>
      <c r="R15" s="51">
        <v>41.2</v>
      </c>
      <c r="S15" s="51">
        <v>41.2</v>
      </c>
      <c r="T15" s="51">
        <v>41.2</v>
      </c>
      <c r="U15" s="51">
        <v>41.2</v>
      </c>
      <c r="V15" s="51">
        <v>41.2</v>
      </c>
      <c r="W15" s="51">
        <v>41.2</v>
      </c>
      <c r="X15" s="51">
        <v>41.2</v>
      </c>
      <c r="Y15" s="51">
        <v>41.2</v>
      </c>
      <c r="Z15" s="51">
        <v>41.2</v>
      </c>
      <c r="AA15" s="51">
        <v>41.2</v>
      </c>
      <c r="AB15" s="51">
        <v>39.200000000000003</v>
      </c>
      <c r="AC15" s="51">
        <v>38.9</v>
      </c>
      <c r="AD15" s="51">
        <v>39.5</v>
      </c>
      <c r="AE15" s="51">
        <v>39.799999999999997</v>
      </c>
      <c r="AF15" s="51">
        <v>39.9</v>
      </c>
      <c r="AG15" s="49">
        <v>50</v>
      </c>
      <c r="AH15" s="47">
        <f t="shared" si="2"/>
        <v>41.7</v>
      </c>
      <c r="AI15" s="48">
        <f t="shared" si="3"/>
        <v>38.9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22.3</v>
      </c>
      <c r="C16" s="45">
        <v>22.3</v>
      </c>
      <c r="D16" s="45">
        <v>21.3</v>
      </c>
      <c r="E16" s="45">
        <v>21.3</v>
      </c>
      <c r="F16" s="45">
        <v>21.3</v>
      </c>
      <c r="G16" s="45">
        <v>21.3</v>
      </c>
      <c r="H16" s="45">
        <v>21.3</v>
      </c>
      <c r="I16" s="45">
        <v>21.3</v>
      </c>
      <c r="J16" s="45">
        <v>21.3</v>
      </c>
      <c r="K16" s="45">
        <v>21.3</v>
      </c>
      <c r="L16" s="45">
        <v>21.3</v>
      </c>
      <c r="M16" s="45">
        <v>21.2</v>
      </c>
      <c r="N16" s="45">
        <v>21.2</v>
      </c>
      <c r="O16" s="45">
        <v>21.2</v>
      </c>
      <c r="P16" s="45">
        <v>21.2</v>
      </c>
      <c r="Q16" s="45">
        <v>21.2</v>
      </c>
      <c r="R16" s="45">
        <v>21.2</v>
      </c>
      <c r="S16" s="45">
        <v>21.2</v>
      </c>
      <c r="T16" s="45">
        <v>21.2</v>
      </c>
      <c r="U16" s="45">
        <v>21.2</v>
      </c>
      <c r="V16" s="45">
        <v>21.2</v>
      </c>
      <c r="W16" s="45">
        <v>21.2</v>
      </c>
      <c r="X16" s="45">
        <v>21.2</v>
      </c>
      <c r="Y16" s="45">
        <v>21.2</v>
      </c>
      <c r="Z16" s="45">
        <v>21.2</v>
      </c>
      <c r="AA16" s="45">
        <v>21.2</v>
      </c>
      <c r="AB16" s="45">
        <v>23.2</v>
      </c>
      <c r="AC16" s="45">
        <v>23.3</v>
      </c>
      <c r="AD16" s="45">
        <v>22.6</v>
      </c>
      <c r="AE16" s="45">
        <v>22.6</v>
      </c>
      <c r="AF16" s="45">
        <v>21.6</v>
      </c>
      <c r="AG16" s="49">
        <v>45</v>
      </c>
      <c r="AH16" s="47">
        <f t="shared" si="2"/>
        <v>23.3</v>
      </c>
      <c r="AI16" s="48">
        <f t="shared" si="3"/>
        <v>21.2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12</v>
      </c>
      <c r="C18" s="45">
        <v>12</v>
      </c>
      <c r="D18" s="45">
        <v>12</v>
      </c>
      <c r="E18" s="45">
        <v>12</v>
      </c>
      <c r="F18" s="45">
        <v>12</v>
      </c>
      <c r="G18" s="45">
        <v>12</v>
      </c>
      <c r="H18" s="45">
        <v>11</v>
      </c>
      <c r="I18" s="45">
        <v>10.5</v>
      </c>
      <c r="J18" s="45">
        <v>10.5</v>
      </c>
      <c r="K18" s="45">
        <v>10.5</v>
      </c>
      <c r="L18" s="45">
        <v>10.5</v>
      </c>
      <c r="M18" s="45">
        <v>10.5</v>
      </c>
      <c r="N18" s="45">
        <v>10.5</v>
      </c>
      <c r="O18" s="45">
        <v>10.5</v>
      </c>
      <c r="P18" s="45">
        <v>10.5</v>
      </c>
      <c r="Q18" s="45">
        <v>10.5</v>
      </c>
      <c r="R18" s="45">
        <v>10.5</v>
      </c>
      <c r="S18" s="45">
        <v>10.5</v>
      </c>
      <c r="T18" s="45">
        <v>10.5</v>
      </c>
      <c r="U18" s="45">
        <v>10.5</v>
      </c>
      <c r="V18" s="45">
        <v>10.5</v>
      </c>
      <c r="W18" s="45">
        <v>10.5</v>
      </c>
      <c r="X18" s="45">
        <v>10.5</v>
      </c>
      <c r="Y18" s="45">
        <v>10.5</v>
      </c>
      <c r="Z18" s="45">
        <v>10.5</v>
      </c>
      <c r="AA18" s="45">
        <v>10.5</v>
      </c>
      <c r="AB18" s="45">
        <v>10.5</v>
      </c>
      <c r="AC18" s="45">
        <v>10.5</v>
      </c>
      <c r="AD18" s="45">
        <v>10.5</v>
      </c>
      <c r="AE18" s="45">
        <v>11</v>
      </c>
      <c r="AF18" s="45">
        <v>11</v>
      </c>
      <c r="AG18" s="49">
        <v>42</v>
      </c>
      <c r="AH18" s="47">
        <f t="shared" si="2"/>
        <v>12</v>
      </c>
      <c r="AI18" s="48">
        <f t="shared" si="3"/>
        <v>10.5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12.487083333333333</v>
      </c>
      <c r="C20" s="45">
        <v>12.487083333333333</v>
      </c>
      <c r="D20" s="45">
        <v>12.487083333333333</v>
      </c>
      <c r="E20" s="45">
        <v>12.487083333333333</v>
      </c>
      <c r="F20" s="45">
        <v>12.487083333333333</v>
      </c>
      <c r="G20" s="45">
        <v>12.487083333333333</v>
      </c>
      <c r="H20" s="45">
        <v>12.487083333333333</v>
      </c>
      <c r="I20" s="45">
        <v>12.487083333333333</v>
      </c>
      <c r="J20" s="45">
        <v>12.487083333333333</v>
      </c>
      <c r="K20" s="45">
        <v>12.487083333333333</v>
      </c>
      <c r="L20" s="45">
        <v>12.487083333333333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12.5</v>
      </c>
      <c r="T20" s="45">
        <v>12.5</v>
      </c>
      <c r="U20" s="45">
        <v>12.5</v>
      </c>
      <c r="V20" s="45">
        <v>12.5</v>
      </c>
      <c r="W20" s="45">
        <v>12.5</v>
      </c>
      <c r="X20" s="45">
        <v>12.5</v>
      </c>
      <c r="Y20" s="45">
        <v>12.5</v>
      </c>
      <c r="Z20" s="45">
        <v>12.5</v>
      </c>
      <c r="AA20" s="45">
        <v>12.5</v>
      </c>
      <c r="AB20" s="45">
        <v>12.5</v>
      </c>
      <c r="AC20" s="45">
        <v>12.5</v>
      </c>
      <c r="AD20" s="45">
        <v>12.5</v>
      </c>
      <c r="AE20" s="45">
        <v>12.5</v>
      </c>
      <c r="AF20" s="45">
        <v>12.5</v>
      </c>
      <c r="AG20" s="49">
        <v>38.46</v>
      </c>
      <c r="AH20" s="47">
        <f t="shared" si="2"/>
        <v>12.5</v>
      </c>
      <c r="AI20" s="48">
        <f t="shared" si="3"/>
        <v>12.487083333333333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11.5</v>
      </c>
      <c r="C22" s="45">
        <v>11.5</v>
      </c>
      <c r="D22" s="45">
        <v>11.5</v>
      </c>
      <c r="E22" s="45">
        <v>11.5</v>
      </c>
      <c r="F22" s="45">
        <v>11.5</v>
      </c>
      <c r="G22" s="45">
        <v>11.5</v>
      </c>
      <c r="H22" s="45">
        <v>11.5</v>
      </c>
      <c r="I22" s="45">
        <v>11.5</v>
      </c>
      <c r="J22" s="45">
        <v>11.5</v>
      </c>
      <c r="K22" s="45">
        <v>11.5</v>
      </c>
      <c r="L22" s="45">
        <v>11.5</v>
      </c>
      <c r="M22" s="45">
        <v>11.7</v>
      </c>
      <c r="N22" s="45">
        <v>11.7</v>
      </c>
      <c r="O22" s="45">
        <v>11.7</v>
      </c>
      <c r="P22" s="45">
        <v>11.7</v>
      </c>
      <c r="Q22" s="45">
        <v>11.7</v>
      </c>
      <c r="R22" s="45">
        <v>11.7</v>
      </c>
      <c r="S22" s="45">
        <v>11.7</v>
      </c>
      <c r="T22" s="45">
        <v>11.7</v>
      </c>
      <c r="U22" s="45">
        <v>11.7</v>
      </c>
      <c r="V22" s="45">
        <v>11.7</v>
      </c>
      <c r="W22" s="45">
        <v>11.7</v>
      </c>
      <c r="X22" s="45">
        <v>11.7</v>
      </c>
      <c r="Y22" s="45">
        <v>11.7</v>
      </c>
      <c r="Z22" s="45">
        <v>11.7</v>
      </c>
      <c r="AA22" s="45">
        <v>11.7</v>
      </c>
      <c r="AB22" s="45">
        <v>11.7</v>
      </c>
      <c r="AC22" s="45">
        <v>11.7</v>
      </c>
      <c r="AD22" s="45">
        <v>11.7</v>
      </c>
      <c r="AE22" s="45">
        <v>11.7</v>
      </c>
      <c r="AF22" s="45">
        <v>11.7</v>
      </c>
      <c r="AG22" s="52">
        <v>30</v>
      </c>
      <c r="AH22" s="47">
        <f t="shared" si="2"/>
        <v>11.7</v>
      </c>
      <c r="AI22" s="48">
        <f t="shared" si="3"/>
        <v>11.5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11</v>
      </c>
      <c r="C23" s="45">
        <v>11</v>
      </c>
      <c r="D23" s="45">
        <v>11</v>
      </c>
      <c r="E23" s="45">
        <v>11</v>
      </c>
      <c r="F23" s="45">
        <v>11</v>
      </c>
      <c r="G23" s="45">
        <v>11</v>
      </c>
      <c r="H23" s="45">
        <v>11</v>
      </c>
      <c r="I23" s="45">
        <v>11</v>
      </c>
      <c r="J23" s="45">
        <v>11</v>
      </c>
      <c r="K23" s="45">
        <v>11</v>
      </c>
      <c r="L23" s="45">
        <v>11</v>
      </c>
      <c r="M23" s="45">
        <v>11</v>
      </c>
      <c r="N23" s="45">
        <v>11</v>
      </c>
      <c r="O23" s="45">
        <v>11</v>
      </c>
      <c r="P23" s="45">
        <v>11</v>
      </c>
      <c r="Q23" s="45">
        <v>11</v>
      </c>
      <c r="R23" s="45">
        <v>11</v>
      </c>
      <c r="S23" s="45">
        <v>11</v>
      </c>
      <c r="T23" s="45">
        <v>11</v>
      </c>
      <c r="U23" s="45">
        <v>11</v>
      </c>
      <c r="V23" s="45">
        <v>11</v>
      </c>
      <c r="W23" s="45">
        <v>11</v>
      </c>
      <c r="X23" s="45">
        <v>11</v>
      </c>
      <c r="Y23" s="45">
        <v>11</v>
      </c>
      <c r="Z23" s="45">
        <v>11</v>
      </c>
      <c r="AA23" s="45">
        <v>11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49">
        <v>24.2</v>
      </c>
      <c r="AH23" s="47">
        <f t="shared" si="2"/>
        <v>13.5</v>
      </c>
      <c r="AI23" s="48">
        <f t="shared" si="3"/>
        <v>11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12.2</v>
      </c>
      <c r="C24" s="45">
        <v>12.2</v>
      </c>
      <c r="D24" s="45">
        <v>11.8</v>
      </c>
      <c r="E24" s="45">
        <v>11.8</v>
      </c>
      <c r="F24" s="45">
        <v>11.8</v>
      </c>
      <c r="G24" s="45">
        <v>11.8</v>
      </c>
      <c r="H24" s="45">
        <v>11.8</v>
      </c>
      <c r="I24" s="45">
        <v>11.8</v>
      </c>
      <c r="J24" s="45">
        <v>11.8</v>
      </c>
      <c r="K24" s="45">
        <v>11.8</v>
      </c>
      <c r="L24" s="45">
        <v>11.8</v>
      </c>
      <c r="M24" s="45">
        <v>11.3</v>
      </c>
      <c r="N24" s="45">
        <v>11.3</v>
      </c>
      <c r="O24" s="45">
        <v>11.3</v>
      </c>
      <c r="P24" s="45">
        <v>11.3</v>
      </c>
      <c r="Q24" s="45">
        <v>11.3</v>
      </c>
      <c r="R24" s="45">
        <v>11.3</v>
      </c>
      <c r="S24" s="45">
        <v>11.3</v>
      </c>
      <c r="T24" s="45">
        <v>11.3</v>
      </c>
      <c r="U24" s="45">
        <v>11.3</v>
      </c>
      <c r="V24" s="45">
        <v>11.3</v>
      </c>
      <c r="W24" s="45">
        <v>11.3</v>
      </c>
      <c r="X24" s="45">
        <v>11.3</v>
      </c>
      <c r="Y24" s="45">
        <v>11.3</v>
      </c>
      <c r="Z24" s="45">
        <v>11.3</v>
      </c>
      <c r="AA24" s="45">
        <v>11.3</v>
      </c>
      <c r="AB24" s="45">
        <v>11.5</v>
      </c>
      <c r="AC24" s="45">
        <v>11.5</v>
      </c>
      <c r="AD24" s="45">
        <v>12</v>
      </c>
      <c r="AE24" s="45">
        <v>12</v>
      </c>
      <c r="AF24" s="45">
        <v>12</v>
      </c>
      <c r="AG24" s="49">
        <v>28</v>
      </c>
      <c r="AH24" s="47">
        <f t="shared" si="2"/>
        <v>12.2</v>
      </c>
      <c r="AI24" s="48">
        <f t="shared" si="3"/>
        <v>11.3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9.6999999999999993</v>
      </c>
      <c r="C25" s="45">
        <v>9.6999999999999993</v>
      </c>
      <c r="D25" s="45">
        <v>9.6</v>
      </c>
      <c r="E25" s="45">
        <v>9.6</v>
      </c>
      <c r="F25" s="45">
        <v>9.6</v>
      </c>
      <c r="G25" s="45">
        <v>9.6</v>
      </c>
      <c r="H25" s="45">
        <v>9.6</v>
      </c>
      <c r="I25" s="45">
        <v>9.6</v>
      </c>
      <c r="J25" s="45">
        <v>9.6</v>
      </c>
      <c r="K25" s="45">
        <v>9.6</v>
      </c>
      <c r="L25" s="45">
        <v>9.6</v>
      </c>
      <c r="M25" s="45">
        <v>11.9</v>
      </c>
      <c r="N25" s="45">
        <v>11.9</v>
      </c>
      <c r="O25" s="45">
        <v>11.9</v>
      </c>
      <c r="P25" s="45">
        <v>11.9</v>
      </c>
      <c r="Q25" s="45">
        <v>11.9</v>
      </c>
      <c r="R25" s="45">
        <v>11.9</v>
      </c>
      <c r="S25" s="45">
        <v>11.9</v>
      </c>
      <c r="T25" s="45">
        <v>11.9</v>
      </c>
      <c r="U25" s="45">
        <v>11.9</v>
      </c>
      <c r="V25" s="45">
        <v>11.9</v>
      </c>
      <c r="W25" s="45">
        <v>11.9</v>
      </c>
      <c r="X25" s="45">
        <v>11.9</v>
      </c>
      <c r="Y25" s="45">
        <v>11.9</v>
      </c>
      <c r="Z25" s="45">
        <v>11.9</v>
      </c>
      <c r="AA25" s="45">
        <v>11.9</v>
      </c>
      <c r="AB25" s="45">
        <v>9.6</v>
      </c>
      <c r="AC25" s="45">
        <v>9.6</v>
      </c>
      <c r="AD25" s="45">
        <v>9.6</v>
      </c>
      <c r="AE25" s="45">
        <v>12.5</v>
      </c>
      <c r="AF25" s="45">
        <v>9.5</v>
      </c>
      <c r="AG25" s="52">
        <v>30</v>
      </c>
      <c r="AH25" s="47">
        <f t="shared" si="2"/>
        <v>12.5</v>
      </c>
      <c r="AI25" s="48">
        <f t="shared" si="3"/>
        <v>9.5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12.1</v>
      </c>
      <c r="C26" s="45">
        <v>12.1</v>
      </c>
      <c r="D26" s="45">
        <v>12</v>
      </c>
      <c r="E26" s="45">
        <v>12</v>
      </c>
      <c r="F26" s="45">
        <v>12</v>
      </c>
      <c r="G26" s="45">
        <v>12</v>
      </c>
      <c r="H26" s="45">
        <v>12</v>
      </c>
      <c r="I26" s="45">
        <v>12</v>
      </c>
      <c r="J26" s="45">
        <v>12</v>
      </c>
      <c r="K26" s="45">
        <v>12</v>
      </c>
      <c r="L26" s="45">
        <v>12</v>
      </c>
      <c r="M26" s="45">
        <v>11.2</v>
      </c>
      <c r="N26" s="45">
        <v>11.2</v>
      </c>
      <c r="O26" s="45">
        <v>11.2</v>
      </c>
      <c r="P26" s="45">
        <v>11.2</v>
      </c>
      <c r="Q26" s="45">
        <v>11.2</v>
      </c>
      <c r="R26" s="45">
        <v>11.2</v>
      </c>
      <c r="S26" s="45">
        <v>11.2</v>
      </c>
      <c r="T26" s="45">
        <v>11.2</v>
      </c>
      <c r="U26" s="45">
        <v>11.2</v>
      </c>
      <c r="V26" s="45">
        <v>11.2</v>
      </c>
      <c r="W26" s="45">
        <v>11.2</v>
      </c>
      <c r="X26" s="45">
        <v>11.2</v>
      </c>
      <c r="Y26" s="45">
        <v>11.2</v>
      </c>
      <c r="Z26" s="45">
        <v>11.2</v>
      </c>
      <c r="AA26" s="45">
        <v>11.2</v>
      </c>
      <c r="AB26" s="45">
        <v>13.3</v>
      </c>
      <c r="AC26" s="45">
        <v>13.3</v>
      </c>
      <c r="AD26" s="45">
        <v>13.3</v>
      </c>
      <c r="AE26" s="45">
        <v>10.5</v>
      </c>
      <c r="AF26" s="45">
        <v>11.6</v>
      </c>
      <c r="AG26" s="49">
        <v>25</v>
      </c>
      <c r="AH26" s="47">
        <f t="shared" si="2"/>
        <v>13.3</v>
      </c>
      <c r="AI26" s="48">
        <f t="shared" si="3"/>
        <v>10.5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11.2</v>
      </c>
      <c r="C29" s="45">
        <v>11.2</v>
      </c>
      <c r="D29" s="45">
        <v>11.1</v>
      </c>
      <c r="E29" s="45">
        <v>11.1</v>
      </c>
      <c r="F29" s="45">
        <v>11.1</v>
      </c>
      <c r="G29" s="45">
        <v>11.1</v>
      </c>
      <c r="H29" s="45">
        <v>11.1</v>
      </c>
      <c r="I29" s="45">
        <v>11.1</v>
      </c>
      <c r="J29" s="45">
        <v>11.1</v>
      </c>
      <c r="K29" s="45">
        <v>11.1</v>
      </c>
      <c r="L29" s="45">
        <v>11.1</v>
      </c>
      <c r="M29" s="45">
        <v>11.2</v>
      </c>
      <c r="N29" s="45">
        <v>11.2</v>
      </c>
      <c r="O29" s="45">
        <v>11.2</v>
      </c>
      <c r="P29" s="45">
        <v>11.2</v>
      </c>
      <c r="Q29" s="45">
        <v>11.2</v>
      </c>
      <c r="R29" s="45">
        <v>11.2</v>
      </c>
      <c r="S29" s="45">
        <v>11.2</v>
      </c>
      <c r="T29" s="45">
        <v>11.2</v>
      </c>
      <c r="U29" s="45">
        <v>11.2</v>
      </c>
      <c r="V29" s="45">
        <v>11.2</v>
      </c>
      <c r="W29" s="45">
        <v>11.2</v>
      </c>
      <c r="X29" s="45">
        <v>11.2</v>
      </c>
      <c r="Y29" s="45">
        <v>11.2</v>
      </c>
      <c r="Z29" s="45">
        <v>11.2</v>
      </c>
      <c r="AA29" s="45">
        <v>11.2</v>
      </c>
      <c r="AB29" s="45">
        <v>11</v>
      </c>
      <c r="AC29" s="45">
        <v>11</v>
      </c>
      <c r="AD29" s="45">
        <v>11</v>
      </c>
      <c r="AE29" s="45">
        <v>11</v>
      </c>
      <c r="AF29" s="45">
        <v>10.9</v>
      </c>
      <c r="AG29" s="49">
        <v>25</v>
      </c>
      <c r="AH29" s="47">
        <f t="shared" si="2"/>
        <v>11.2</v>
      </c>
      <c r="AI29" s="48">
        <f t="shared" si="3"/>
        <v>10.9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11.5</v>
      </c>
      <c r="C30" s="45">
        <v>11.5</v>
      </c>
      <c r="D30" s="45">
        <v>6.4</v>
      </c>
      <c r="E30" s="45">
        <v>6.4</v>
      </c>
      <c r="F30" s="45">
        <v>6.4</v>
      </c>
      <c r="G30" s="45">
        <v>6.4</v>
      </c>
      <c r="H30" s="45">
        <v>6.4</v>
      </c>
      <c r="I30" s="45">
        <v>6.4</v>
      </c>
      <c r="J30" s="45">
        <v>6.4</v>
      </c>
      <c r="K30" s="45">
        <v>6.4</v>
      </c>
      <c r="L30" s="45">
        <v>6.4</v>
      </c>
      <c r="M30" s="45">
        <v>6.4</v>
      </c>
      <c r="N30" s="45">
        <v>6.4</v>
      </c>
      <c r="O30" s="45">
        <v>6.4</v>
      </c>
      <c r="P30" s="45">
        <v>6.4</v>
      </c>
      <c r="Q30" s="45">
        <v>6.4</v>
      </c>
      <c r="R30" s="45">
        <v>6.4</v>
      </c>
      <c r="S30" s="45">
        <v>6.4</v>
      </c>
      <c r="T30" s="45">
        <v>6.4</v>
      </c>
      <c r="U30" s="45">
        <v>6.4</v>
      </c>
      <c r="V30" s="45">
        <v>6.4</v>
      </c>
      <c r="W30" s="45">
        <v>6.4</v>
      </c>
      <c r="X30" s="45">
        <v>6.4</v>
      </c>
      <c r="Y30" s="45">
        <v>6.4</v>
      </c>
      <c r="Z30" s="45">
        <v>6.4</v>
      </c>
      <c r="AA30" s="45">
        <v>6.4</v>
      </c>
      <c r="AB30" s="45">
        <v>12.4</v>
      </c>
      <c r="AC30" s="45">
        <v>12.3</v>
      </c>
      <c r="AD30" s="45">
        <v>12.1</v>
      </c>
      <c r="AE30" s="45">
        <v>10.8</v>
      </c>
      <c r="AF30" s="45">
        <v>11.3</v>
      </c>
      <c r="AG30" s="49">
        <v>23.5</v>
      </c>
      <c r="AH30" s="47">
        <f t="shared" si="2"/>
        <v>12.4</v>
      </c>
      <c r="AI30" s="48">
        <f t="shared" si="3"/>
        <v>6.4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49">
        <v>22</v>
      </c>
      <c r="AH33" s="47">
        <f t="shared" si="2"/>
        <v>7</v>
      </c>
      <c r="AI33" s="48">
        <f t="shared" si="3"/>
        <v>7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12</v>
      </c>
      <c r="C34" s="45">
        <v>12</v>
      </c>
      <c r="D34" s="45">
        <v>10.9</v>
      </c>
      <c r="E34" s="45">
        <v>10.9</v>
      </c>
      <c r="F34" s="45">
        <v>10.9</v>
      </c>
      <c r="G34" s="45">
        <v>10.9</v>
      </c>
      <c r="H34" s="45">
        <v>10.9</v>
      </c>
      <c r="I34" s="45">
        <v>10.9</v>
      </c>
      <c r="J34" s="45">
        <v>10.9</v>
      </c>
      <c r="K34" s="45">
        <v>10.9</v>
      </c>
      <c r="L34" s="45">
        <v>10.9</v>
      </c>
      <c r="M34" s="45">
        <v>10.9</v>
      </c>
      <c r="N34" s="45">
        <v>10.9</v>
      </c>
      <c r="O34" s="45">
        <v>10.9</v>
      </c>
      <c r="P34" s="45">
        <v>10.9</v>
      </c>
      <c r="Q34" s="45">
        <v>10.9</v>
      </c>
      <c r="R34" s="45">
        <v>10.9</v>
      </c>
      <c r="S34" s="45">
        <v>10.9</v>
      </c>
      <c r="T34" s="45">
        <v>10.9</v>
      </c>
      <c r="U34" s="45">
        <v>10.9</v>
      </c>
      <c r="V34" s="45">
        <v>10.9</v>
      </c>
      <c r="W34" s="45">
        <v>10.9</v>
      </c>
      <c r="X34" s="45">
        <v>10.9</v>
      </c>
      <c r="Y34" s="45">
        <v>10.9</v>
      </c>
      <c r="Z34" s="45">
        <v>10.9</v>
      </c>
      <c r="AA34" s="45">
        <v>10.9</v>
      </c>
      <c r="AB34" s="45">
        <v>11</v>
      </c>
      <c r="AC34" s="45">
        <v>10.9</v>
      </c>
      <c r="AD34" s="45">
        <v>11.1</v>
      </c>
      <c r="AE34" s="45">
        <v>11.1</v>
      </c>
      <c r="AF34" s="45">
        <v>11.6</v>
      </c>
      <c r="AG34" s="49">
        <v>22</v>
      </c>
      <c r="AH34" s="47">
        <f t="shared" si="2"/>
        <v>12</v>
      </c>
      <c r="AI34" s="48">
        <f t="shared" si="3"/>
        <v>10.9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250</v>
      </c>
      <c r="N56" s="57">
        <v>250</v>
      </c>
      <c r="O56" s="57">
        <v>250</v>
      </c>
      <c r="P56" s="57">
        <v>250</v>
      </c>
      <c r="Q56" s="57">
        <v>250</v>
      </c>
      <c r="R56" s="57">
        <v>250</v>
      </c>
      <c r="S56" s="57">
        <v>250</v>
      </c>
      <c r="T56" s="57">
        <v>250</v>
      </c>
      <c r="U56" s="57">
        <v>250</v>
      </c>
      <c r="V56" s="57">
        <v>250</v>
      </c>
      <c r="W56" s="57">
        <v>250</v>
      </c>
      <c r="X56" s="57">
        <v>250</v>
      </c>
      <c r="Y56" s="57">
        <v>250</v>
      </c>
      <c r="Z56" s="57">
        <v>250</v>
      </c>
      <c r="AA56" s="57">
        <v>250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250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f>9.4+26</f>
        <v>35.4</v>
      </c>
      <c r="C57" s="57">
        <f t="shared" ref="C57" si="4">9.4+26</f>
        <v>35.4</v>
      </c>
      <c r="D57" s="57">
        <f>9.9+27.1</f>
        <v>37</v>
      </c>
      <c r="E57" s="57">
        <f>26.6+9.7</f>
        <v>36.299999999999997</v>
      </c>
      <c r="F57" s="57">
        <f>24+9</f>
        <v>33</v>
      </c>
      <c r="G57" s="57">
        <f>23.7+8.8</f>
        <v>32.5</v>
      </c>
      <c r="H57" s="57">
        <v>30.4</v>
      </c>
      <c r="I57" s="57">
        <v>30.4</v>
      </c>
      <c r="J57" s="57">
        <v>30.4</v>
      </c>
      <c r="K57" s="51">
        <f>22.8+8.1</f>
        <v>30.9</v>
      </c>
      <c r="L57" s="51">
        <f>22.8+8.1</f>
        <v>30.9</v>
      </c>
      <c r="M57" s="51">
        <v>30.1</v>
      </c>
      <c r="N57" s="51">
        <v>30.1</v>
      </c>
      <c r="O57" s="51">
        <v>30</v>
      </c>
      <c r="P57" s="51">
        <v>30</v>
      </c>
      <c r="Q57" s="51">
        <v>30</v>
      </c>
      <c r="R57" s="51">
        <v>32</v>
      </c>
      <c r="S57" s="51">
        <v>32</v>
      </c>
      <c r="T57" s="51">
        <v>32</v>
      </c>
      <c r="U57" s="51">
        <v>32</v>
      </c>
      <c r="V57" s="51">
        <v>29.4</v>
      </c>
      <c r="W57" s="51">
        <v>29.4</v>
      </c>
      <c r="X57" s="51">
        <v>29.4</v>
      </c>
      <c r="Y57" s="51">
        <v>29.4</v>
      </c>
      <c r="Z57" s="51">
        <v>29.4</v>
      </c>
      <c r="AA57" s="51">
        <v>29.4</v>
      </c>
      <c r="AB57" s="51">
        <f>6.8+21.2</f>
        <v>28</v>
      </c>
      <c r="AC57" s="51">
        <f>6.9+21.1</f>
        <v>28</v>
      </c>
      <c r="AD57" s="51">
        <f>7.5+22.4</f>
        <v>29.9</v>
      </c>
      <c r="AE57" s="51">
        <f>8+23.5</f>
        <v>31.5</v>
      </c>
      <c r="AF57" s="51">
        <f>8+23.5</f>
        <v>31.5</v>
      </c>
      <c r="AG57" s="55">
        <v>240</v>
      </c>
      <c r="AH57" s="47">
        <f t="shared" si="2"/>
        <v>37</v>
      </c>
      <c r="AI57" s="48">
        <f t="shared" si="3"/>
        <v>28</v>
      </c>
      <c r="AK57" s="50"/>
    </row>
    <row r="58" spans="1:88" ht="15.75" thickBot="1" x14ac:dyDescent="0.3">
      <c r="A58" s="59" t="s">
        <v>58</v>
      </c>
      <c r="B58" s="60">
        <f t="shared" ref="B58:D58" si="5">SUM(B11:B56)</f>
        <v>636.82708333333335</v>
      </c>
      <c r="C58" s="60">
        <f t="shared" si="5"/>
        <v>636.82708333333335</v>
      </c>
      <c r="D58" s="60">
        <f t="shared" si="5"/>
        <v>631.52708333333339</v>
      </c>
      <c r="E58" s="60">
        <f t="shared" ref="E58:AA58" si="6">SUM(E11:E56)</f>
        <v>628.72708333333344</v>
      </c>
      <c r="F58" s="60">
        <f t="shared" si="6"/>
        <v>630.72708333333344</v>
      </c>
      <c r="G58" s="60">
        <f t="shared" si="6"/>
        <v>618.22708333333344</v>
      </c>
      <c r="H58" s="60">
        <f t="shared" si="6"/>
        <v>629.72708333333344</v>
      </c>
      <c r="I58" s="60">
        <f t="shared" si="6"/>
        <v>632.72708333333344</v>
      </c>
      <c r="J58" s="60">
        <f t="shared" si="6"/>
        <v>629.92708333333348</v>
      </c>
      <c r="K58" s="60">
        <f t="shared" si="6"/>
        <v>630.52708333333339</v>
      </c>
      <c r="L58" s="60">
        <f t="shared" si="6"/>
        <v>632.22708333333344</v>
      </c>
      <c r="M58" s="60">
        <f t="shared" si="6"/>
        <v>678.63999999999987</v>
      </c>
      <c r="N58" s="60">
        <f t="shared" si="6"/>
        <v>678.63999999999987</v>
      </c>
      <c r="O58" s="60">
        <f t="shared" si="6"/>
        <v>678.63999999999987</v>
      </c>
      <c r="P58" s="60">
        <f t="shared" si="6"/>
        <v>678.63999999999987</v>
      </c>
      <c r="Q58" s="60">
        <f t="shared" si="6"/>
        <v>678.63999999999987</v>
      </c>
      <c r="R58" s="60">
        <f t="shared" si="6"/>
        <v>678.63999999999987</v>
      </c>
      <c r="S58" s="60">
        <f t="shared" ref="S58" si="7">SUM(S11:S56)</f>
        <v>678.63999999999987</v>
      </c>
      <c r="T58" s="60">
        <f t="shared" si="6"/>
        <v>678.63999999999987</v>
      </c>
      <c r="U58" s="60">
        <f t="shared" si="6"/>
        <v>678.63999999999987</v>
      </c>
      <c r="V58" s="60">
        <f t="shared" si="6"/>
        <v>678.63999999999987</v>
      </c>
      <c r="W58" s="60">
        <f t="shared" si="6"/>
        <v>678.63999999999987</v>
      </c>
      <c r="X58" s="60">
        <f t="shared" si="6"/>
        <v>673.64</v>
      </c>
      <c r="Y58" s="60">
        <f t="shared" si="6"/>
        <v>678.63999999999987</v>
      </c>
      <c r="Z58" s="60">
        <f t="shared" si="6"/>
        <v>678.63999999999987</v>
      </c>
      <c r="AA58" s="60">
        <f t="shared" si="6"/>
        <v>678.63999999999987</v>
      </c>
      <c r="AB58" s="60">
        <f t="shared" ref="AB58:AC58" si="8">SUM(AB11:AB56)</f>
        <v>633.1400000000001</v>
      </c>
      <c r="AC58" s="60">
        <f t="shared" si="8"/>
        <v>634.04000000000008</v>
      </c>
      <c r="AD58" s="60">
        <f t="shared" ref="AD58:AE58" si="9">SUM(AD11:AD56)</f>
        <v>640.1400000000001</v>
      </c>
      <c r="AE58" s="60">
        <f t="shared" si="9"/>
        <v>639.54</v>
      </c>
      <c r="AF58" s="60">
        <f t="shared" ref="AF58" si="10">SUM(AF11:AF56)</f>
        <v>637.1400000000001</v>
      </c>
      <c r="AG58" s="61">
        <f>SUM(AG14:AG56)</f>
        <v>1042.4000000000001</v>
      </c>
      <c r="AH58" s="47">
        <f t="shared" si="2"/>
        <v>678.63999999999987</v>
      </c>
      <c r="AI58" s="48">
        <f t="shared" si="3"/>
        <v>618.22708333333344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65</v>
      </c>
      <c r="K59" s="45">
        <v>100</v>
      </c>
      <c r="L59" s="45">
        <v>285</v>
      </c>
      <c r="M59" s="45">
        <v>370</v>
      </c>
      <c r="N59" s="45">
        <v>400</v>
      </c>
      <c r="O59" s="45">
        <v>400</v>
      </c>
      <c r="P59" s="63">
        <v>220</v>
      </c>
      <c r="Q59" s="63">
        <v>50</v>
      </c>
      <c r="R59" s="63">
        <v>15</v>
      </c>
      <c r="S59" s="63">
        <v>15</v>
      </c>
      <c r="T59" s="45">
        <v>0</v>
      </c>
      <c r="U59" s="45">
        <v>0</v>
      </c>
      <c r="V59" s="45">
        <v>220</v>
      </c>
      <c r="W59" s="45">
        <v>295</v>
      </c>
      <c r="X59" s="45">
        <v>456</v>
      </c>
      <c r="Y59" s="45">
        <v>456</v>
      </c>
      <c r="Z59" s="45">
        <v>100</v>
      </c>
      <c r="AA59" s="45">
        <v>100</v>
      </c>
      <c r="AB59" s="45">
        <v>100</v>
      </c>
      <c r="AC59" s="45">
        <v>130</v>
      </c>
      <c r="AD59" s="45">
        <v>140</v>
      </c>
      <c r="AE59" s="45">
        <v>40</v>
      </c>
      <c r="AF59" s="45">
        <v>0</v>
      </c>
      <c r="AG59" s="52">
        <v>456</v>
      </c>
      <c r="AH59" s="47">
        <f t="shared" si="2"/>
        <v>456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42</v>
      </c>
      <c r="C60" s="65">
        <v>42</v>
      </c>
      <c r="D60" s="65">
        <v>42</v>
      </c>
      <c r="E60" s="65">
        <v>42</v>
      </c>
      <c r="F60" s="65">
        <v>42</v>
      </c>
      <c r="G60" s="65">
        <v>42</v>
      </c>
      <c r="H60" s="65">
        <v>42</v>
      </c>
      <c r="I60" s="65">
        <v>42</v>
      </c>
      <c r="J60" s="65">
        <v>42</v>
      </c>
      <c r="K60" s="65">
        <v>42</v>
      </c>
      <c r="L60" s="65">
        <v>42</v>
      </c>
      <c r="M60" s="65">
        <v>42</v>
      </c>
      <c r="N60" s="65">
        <v>42</v>
      </c>
      <c r="O60" s="65">
        <v>42</v>
      </c>
      <c r="P60" s="65">
        <v>42</v>
      </c>
      <c r="Q60" s="65">
        <v>42</v>
      </c>
      <c r="R60" s="65">
        <v>42</v>
      </c>
      <c r="S60" s="65">
        <v>42</v>
      </c>
      <c r="T60" s="65">
        <v>42</v>
      </c>
      <c r="U60" s="65">
        <v>42</v>
      </c>
      <c r="V60" s="65">
        <v>42</v>
      </c>
      <c r="W60" s="65">
        <v>42</v>
      </c>
      <c r="X60" s="65">
        <v>42</v>
      </c>
      <c r="Y60" s="65">
        <v>42</v>
      </c>
      <c r="Z60" s="65">
        <v>42</v>
      </c>
      <c r="AA60" s="65">
        <v>42</v>
      </c>
      <c r="AB60" s="65">
        <v>42</v>
      </c>
      <c r="AC60" s="65">
        <v>42</v>
      </c>
      <c r="AD60" s="65">
        <v>42</v>
      </c>
      <c r="AE60" s="65">
        <v>42</v>
      </c>
      <c r="AF60" s="65">
        <v>42</v>
      </c>
      <c r="AG60" s="55">
        <v>60</v>
      </c>
      <c r="AH60" s="47">
        <f t="shared" si="2"/>
        <v>42</v>
      </c>
      <c r="AI60" s="48">
        <f t="shared" si="3"/>
        <v>42</v>
      </c>
      <c r="AK60" s="50"/>
    </row>
    <row r="61" spans="1:88" ht="15.75" thickBot="1" x14ac:dyDescent="0.3">
      <c r="A61" s="66" t="s">
        <v>61</v>
      </c>
      <c r="B61" s="67">
        <v>13.5</v>
      </c>
      <c r="C61" s="67">
        <v>13.8</v>
      </c>
      <c r="D61" s="67">
        <v>14.5</v>
      </c>
      <c r="E61" s="67">
        <v>14.5</v>
      </c>
      <c r="F61" s="67">
        <v>14.5</v>
      </c>
      <c r="G61" s="67">
        <v>14.5</v>
      </c>
      <c r="H61" s="67">
        <v>14.5</v>
      </c>
      <c r="I61" s="67">
        <v>14.5</v>
      </c>
      <c r="J61" s="67">
        <v>14.6</v>
      </c>
      <c r="K61" s="67">
        <v>16.100000000000001</v>
      </c>
      <c r="L61" s="67">
        <v>16.2</v>
      </c>
      <c r="M61" s="67">
        <v>10.1</v>
      </c>
      <c r="N61" s="67">
        <v>10.1</v>
      </c>
      <c r="O61" s="67">
        <v>10.1</v>
      </c>
      <c r="P61" s="67">
        <v>10.1</v>
      </c>
      <c r="Q61" s="67">
        <v>10.1</v>
      </c>
      <c r="R61" s="67">
        <v>10.1</v>
      </c>
      <c r="S61" s="67">
        <v>10.1</v>
      </c>
      <c r="T61" s="67">
        <v>10</v>
      </c>
      <c r="U61" s="67">
        <v>10</v>
      </c>
      <c r="V61" s="67">
        <v>13.2</v>
      </c>
      <c r="W61" s="67">
        <v>15.3</v>
      </c>
      <c r="X61" s="67">
        <v>18.100000000000001</v>
      </c>
      <c r="Y61" s="67">
        <v>18.100000000000001</v>
      </c>
      <c r="Z61" s="67">
        <v>18.100000000000001</v>
      </c>
      <c r="AA61" s="67">
        <v>18.100000000000001</v>
      </c>
      <c r="AB61" s="67">
        <v>18.100000000000001</v>
      </c>
      <c r="AC61" s="67">
        <v>18.100000000000001</v>
      </c>
      <c r="AD61" s="67">
        <v>15.1</v>
      </c>
      <c r="AE61" s="67">
        <v>15.1</v>
      </c>
      <c r="AF61" s="67">
        <v>15.2</v>
      </c>
      <c r="AG61" s="68">
        <v>22.1</v>
      </c>
      <c r="AH61" s="47">
        <f t="shared" si="2"/>
        <v>18.100000000000001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E62" si="11">SUM(B59:B61)</f>
        <v>55.5</v>
      </c>
      <c r="C62" s="60">
        <f t="shared" si="11"/>
        <v>55.8</v>
      </c>
      <c r="D62" s="60">
        <f t="shared" si="11"/>
        <v>56.5</v>
      </c>
      <c r="E62" s="60">
        <f t="shared" si="11"/>
        <v>56.5</v>
      </c>
      <c r="F62" s="60">
        <f t="shared" ref="F62:AG62" si="12">SUM(F59:F61)</f>
        <v>56.5</v>
      </c>
      <c r="G62" s="60">
        <f t="shared" si="12"/>
        <v>56.5</v>
      </c>
      <c r="H62" s="60">
        <f t="shared" si="12"/>
        <v>56.5</v>
      </c>
      <c r="I62" s="60">
        <f t="shared" si="12"/>
        <v>56.5</v>
      </c>
      <c r="J62" s="60">
        <f t="shared" si="12"/>
        <v>121.6</v>
      </c>
      <c r="K62" s="60">
        <f t="shared" si="12"/>
        <v>158.1</v>
      </c>
      <c r="L62" s="60">
        <f t="shared" si="12"/>
        <v>343.2</v>
      </c>
      <c r="M62" s="60">
        <f t="shared" si="12"/>
        <v>422.1</v>
      </c>
      <c r="N62" s="60">
        <f t="shared" si="12"/>
        <v>452.1</v>
      </c>
      <c r="O62" s="60">
        <f t="shared" si="12"/>
        <v>452.1</v>
      </c>
      <c r="P62" s="60">
        <f t="shared" si="12"/>
        <v>272.10000000000002</v>
      </c>
      <c r="Q62" s="60">
        <f t="shared" si="12"/>
        <v>102.1</v>
      </c>
      <c r="R62" s="60">
        <f t="shared" si="12"/>
        <v>67.099999999999994</v>
      </c>
      <c r="S62" s="60">
        <f t="shared" ref="S62" si="13">SUM(S59:S61)</f>
        <v>67.099999999999994</v>
      </c>
      <c r="T62" s="60">
        <f t="shared" si="12"/>
        <v>52</v>
      </c>
      <c r="U62" s="60">
        <f t="shared" si="12"/>
        <v>52</v>
      </c>
      <c r="V62" s="60">
        <f t="shared" si="12"/>
        <v>275.2</v>
      </c>
      <c r="W62" s="60">
        <f t="shared" si="12"/>
        <v>352.3</v>
      </c>
      <c r="X62" s="60">
        <f t="shared" si="12"/>
        <v>516.1</v>
      </c>
      <c r="Y62" s="60">
        <f t="shared" si="12"/>
        <v>516.1</v>
      </c>
      <c r="Z62" s="60">
        <f t="shared" si="12"/>
        <v>160.1</v>
      </c>
      <c r="AA62" s="60">
        <f t="shared" si="12"/>
        <v>160.1</v>
      </c>
      <c r="AB62" s="60">
        <f t="shared" ref="AB62:AC62" si="14">SUM(AB59:AB61)</f>
        <v>160.1</v>
      </c>
      <c r="AC62" s="60">
        <f t="shared" si="14"/>
        <v>190.1</v>
      </c>
      <c r="AD62" s="60">
        <f t="shared" ref="AD62:AE62" si="15">SUM(AD59:AD61)</f>
        <v>197.1</v>
      </c>
      <c r="AE62" s="60">
        <f t="shared" si="15"/>
        <v>97.1</v>
      </c>
      <c r="AF62" s="60">
        <f t="shared" ref="AF62" si="16">SUM(AF59:AF61)</f>
        <v>57.2</v>
      </c>
      <c r="AG62" s="61">
        <f t="shared" si="12"/>
        <v>538.1</v>
      </c>
      <c r="AH62" s="47">
        <f t="shared" si="2"/>
        <v>516.1</v>
      </c>
      <c r="AI62" s="48">
        <f t="shared" si="3"/>
        <v>52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47</v>
      </c>
      <c r="H63" s="45">
        <v>90</v>
      </c>
      <c r="I63" s="45">
        <v>101.4</v>
      </c>
      <c r="J63" s="45">
        <v>101.8</v>
      </c>
      <c r="K63" s="45">
        <v>129.5</v>
      </c>
      <c r="L63" s="45">
        <v>145.30000000000001</v>
      </c>
      <c r="M63" s="45">
        <v>144.9</v>
      </c>
      <c r="N63" s="45">
        <v>144.9</v>
      </c>
      <c r="O63" s="45">
        <v>97.5</v>
      </c>
      <c r="P63" s="45">
        <v>122</v>
      </c>
      <c r="Q63" s="45">
        <v>122</v>
      </c>
      <c r="R63" s="45">
        <v>81.3</v>
      </c>
      <c r="S63" s="45">
        <v>70</v>
      </c>
      <c r="T63" s="45">
        <v>61</v>
      </c>
      <c r="U63" s="45">
        <v>61</v>
      </c>
      <c r="V63" s="45">
        <v>142.6</v>
      </c>
      <c r="W63" s="45">
        <v>142.9</v>
      </c>
      <c r="X63" s="45">
        <v>142</v>
      </c>
      <c r="Y63" s="45">
        <v>142</v>
      </c>
      <c r="Z63" s="45">
        <v>111</v>
      </c>
      <c r="AA63" s="45">
        <v>111</v>
      </c>
      <c r="AB63" s="45">
        <v>111.6</v>
      </c>
      <c r="AC63" s="45">
        <v>81.5</v>
      </c>
      <c r="AD63" s="45">
        <v>60</v>
      </c>
      <c r="AE63" s="45">
        <v>0</v>
      </c>
      <c r="AF63" s="45">
        <v>0</v>
      </c>
      <c r="AG63" s="52">
        <v>144</v>
      </c>
      <c r="AH63" s="47">
        <f t="shared" si="2"/>
        <v>145.30000000000001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26.5</v>
      </c>
      <c r="C64" s="65">
        <v>0</v>
      </c>
      <c r="D64" s="65">
        <v>0</v>
      </c>
      <c r="E64" s="65">
        <v>0</v>
      </c>
      <c r="F64" s="65">
        <v>0</v>
      </c>
      <c r="G64" s="65">
        <v>34</v>
      </c>
      <c r="H64" s="65">
        <v>35</v>
      </c>
      <c r="I64" s="65">
        <v>34.700000000000003</v>
      </c>
      <c r="J64" s="65">
        <v>65.7</v>
      </c>
      <c r="K64" s="65">
        <v>66.5</v>
      </c>
      <c r="L64" s="65">
        <v>66</v>
      </c>
      <c r="M64" s="65">
        <v>67</v>
      </c>
      <c r="N64" s="65">
        <v>67</v>
      </c>
      <c r="O64" s="65">
        <v>67</v>
      </c>
      <c r="P64" s="65">
        <v>50</v>
      </c>
      <c r="Q64" s="65">
        <v>50</v>
      </c>
      <c r="R64" s="65">
        <v>33</v>
      </c>
      <c r="S64" s="65">
        <v>28.1</v>
      </c>
      <c r="T64" s="65">
        <v>34</v>
      </c>
      <c r="U64" s="65">
        <v>22</v>
      </c>
      <c r="V64" s="45">
        <v>69.599999999999994</v>
      </c>
      <c r="W64" s="45">
        <v>69.5</v>
      </c>
      <c r="X64" s="45">
        <v>68</v>
      </c>
      <c r="Y64" s="45">
        <v>68</v>
      </c>
      <c r="Z64" s="45">
        <v>69</v>
      </c>
      <c r="AA64" s="45">
        <v>65</v>
      </c>
      <c r="AB64" s="45">
        <v>67.5</v>
      </c>
      <c r="AC64" s="45">
        <v>68</v>
      </c>
      <c r="AD64" s="45">
        <v>35</v>
      </c>
      <c r="AE64" s="45">
        <v>25.2</v>
      </c>
      <c r="AF64" s="45">
        <v>0</v>
      </c>
      <c r="AG64" s="55">
        <v>70</v>
      </c>
      <c r="AH64" s="47">
        <f t="shared" si="2"/>
        <v>69.599999999999994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19.899999999999999</v>
      </c>
      <c r="C65" s="65">
        <v>23</v>
      </c>
      <c r="D65" s="65">
        <v>19.7</v>
      </c>
      <c r="E65" s="65">
        <v>15.5</v>
      </c>
      <c r="F65" s="65">
        <v>15.5</v>
      </c>
      <c r="G65" s="65">
        <v>44</v>
      </c>
      <c r="H65" s="65">
        <v>59</v>
      </c>
      <c r="I65" s="65">
        <v>68.7</v>
      </c>
      <c r="J65" s="65">
        <v>66</v>
      </c>
      <c r="K65" s="65">
        <v>68.099999999999994</v>
      </c>
      <c r="L65" s="65">
        <v>67.7</v>
      </c>
      <c r="M65" s="65">
        <v>67.5</v>
      </c>
      <c r="N65" s="65">
        <v>67.5</v>
      </c>
      <c r="O65" s="65">
        <v>61.9</v>
      </c>
      <c r="P65" s="65">
        <v>48</v>
      </c>
      <c r="Q65" s="65">
        <v>48</v>
      </c>
      <c r="R65" s="65">
        <v>34</v>
      </c>
      <c r="S65" s="65">
        <v>43</v>
      </c>
      <c r="T65" s="65">
        <v>34</v>
      </c>
      <c r="U65" s="65">
        <v>17</v>
      </c>
      <c r="V65" s="45">
        <v>65.3</v>
      </c>
      <c r="W65" s="45">
        <v>67.400000000000006</v>
      </c>
      <c r="X65" s="45">
        <v>67</v>
      </c>
      <c r="Y65" s="45">
        <v>67</v>
      </c>
      <c r="Z65" s="45">
        <v>67</v>
      </c>
      <c r="AA65" s="45">
        <v>66</v>
      </c>
      <c r="AB65" s="45">
        <v>66.2</v>
      </c>
      <c r="AC65" s="45">
        <v>66.099999999999994</v>
      </c>
      <c r="AD65" s="45">
        <v>50.2</v>
      </c>
      <c r="AE65" s="45">
        <v>33.200000000000003</v>
      </c>
      <c r="AF65" s="45">
        <v>16</v>
      </c>
      <c r="AG65" s="55">
        <v>69</v>
      </c>
      <c r="AH65" s="47">
        <f t="shared" si="2"/>
        <v>68.7</v>
      </c>
      <c r="AI65" s="48">
        <f t="shared" si="3"/>
        <v>15.5</v>
      </c>
      <c r="AK65" s="50"/>
    </row>
    <row r="66" spans="1:41" x14ac:dyDescent="0.25">
      <c r="A66" s="54" t="s">
        <v>66</v>
      </c>
      <c r="B66" s="65">
        <v>56</v>
      </c>
      <c r="C66" s="65">
        <v>56</v>
      </c>
      <c r="D66" s="65">
        <v>55</v>
      </c>
      <c r="E66" s="65">
        <v>55</v>
      </c>
      <c r="F66" s="65">
        <v>55</v>
      </c>
      <c r="G66" s="65">
        <v>55</v>
      </c>
      <c r="H66" s="65">
        <v>55</v>
      </c>
      <c r="I66" s="65">
        <v>55</v>
      </c>
      <c r="J66" s="65">
        <v>55</v>
      </c>
      <c r="K66" s="57">
        <v>55</v>
      </c>
      <c r="L66" s="57">
        <v>55</v>
      </c>
      <c r="M66" s="65">
        <v>55</v>
      </c>
      <c r="N66" s="65">
        <v>55</v>
      </c>
      <c r="O66" s="65">
        <v>55</v>
      </c>
      <c r="P66" s="65">
        <v>55</v>
      </c>
      <c r="Q66" s="65">
        <v>55</v>
      </c>
      <c r="R66" s="65">
        <v>55</v>
      </c>
      <c r="S66" s="65">
        <v>55</v>
      </c>
      <c r="T66" s="65">
        <v>49</v>
      </c>
      <c r="U66" s="65">
        <v>49</v>
      </c>
      <c r="V66" s="45">
        <v>50.2</v>
      </c>
      <c r="W66" s="45">
        <v>50.4</v>
      </c>
      <c r="X66" s="45">
        <v>51</v>
      </c>
      <c r="Y66" s="45">
        <v>51</v>
      </c>
      <c r="Z66" s="45">
        <v>51</v>
      </c>
      <c r="AA66" s="45">
        <v>51</v>
      </c>
      <c r="AB66" s="45">
        <v>52.4</v>
      </c>
      <c r="AC66" s="45">
        <v>53.4</v>
      </c>
      <c r="AD66" s="45">
        <v>56.2</v>
      </c>
      <c r="AE66" s="45">
        <v>55.4</v>
      </c>
      <c r="AF66" s="45">
        <v>57</v>
      </c>
      <c r="AG66" s="55">
        <v>60</v>
      </c>
      <c r="AH66" s="47">
        <f t="shared" si="2"/>
        <v>57</v>
      </c>
      <c r="AI66" s="48">
        <f t="shared" si="3"/>
        <v>49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10</v>
      </c>
      <c r="E67" s="65">
        <v>10</v>
      </c>
      <c r="F67" s="65">
        <v>15</v>
      </c>
      <c r="G67" s="65">
        <v>15</v>
      </c>
      <c r="H67" s="65">
        <v>15</v>
      </c>
      <c r="I67" s="65">
        <v>15</v>
      </c>
      <c r="J67" s="65">
        <v>15</v>
      </c>
      <c r="K67" s="57">
        <v>29</v>
      </c>
      <c r="L67" s="57">
        <v>29</v>
      </c>
      <c r="M67" s="65">
        <v>28</v>
      </c>
      <c r="N67" s="65">
        <v>23</v>
      </c>
      <c r="O67" s="65">
        <v>23</v>
      </c>
      <c r="P67" s="65">
        <v>10</v>
      </c>
      <c r="Q67" s="65">
        <v>10</v>
      </c>
      <c r="R67" s="65">
        <v>0</v>
      </c>
      <c r="S67" s="65">
        <v>0</v>
      </c>
      <c r="T67" s="65">
        <v>0</v>
      </c>
      <c r="U67" s="65">
        <v>0</v>
      </c>
      <c r="V67" s="45">
        <v>15</v>
      </c>
      <c r="W67" s="45">
        <v>15</v>
      </c>
      <c r="X67" s="45">
        <v>30</v>
      </c>
      <c r="Y67" s="45">
        <v>30</v>
      </c>
      <c r="Z67" s="45">
        <v>30</v>
      </c>
      <c r="AA67" s="45">
        <v>30</v>
      </c>
      <c r="AB67" s="45">
        <v>26</v>
      </c>
      <c r="AC67" s="45">
        <v>15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65">
        <v>0.8</v>
      </c>
      <c r="N68" s="65">
        <v>0.8</v>
      </c>
      <c r="O68" s="65">
        <v>3.2</v>
      </c>
      <c r="P68" s="65">
        <v>9.3000000000000007</v>
      </c>
      <c r="Q68" s="65">
        <v>9.3000000000000007</v>
      </c>
      <c r="R68" s="65">
        <v>14.8</v>
      </c>
      <c r="S68" s="65">
        <v>10.6</v>
      </c>
      <c r="T68" s="65">
        <v>10.6</v>
      </c>
      <c r="U68" s="65">
        <v>10.6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14.8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17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17</v>
      </c>
      <c r="AI69" s="48">
        <f t="shared" si="3"/>
        <v>16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13.9</v>
      </c>
      <c r="C71" s="65">
        <v>13.9</v>
      </c>
      <c r="D71" s="65">
        <v>12.9</v>
      </c>
      <c r="E71" s="65">
        <v>12.9</v>
      </c>
      <c r="F71" s="65">
        <v>12.9</v>
      </c>
      <c r="G71" s="65">
        <v>12.9</v>
      </c>
      <c r="H71" s="65">
        <v>12.9</v>
      </c>
      <c r="I71" s="65">
        <v>12.9</v>
      </c>
      <c r="J71" s="65">
        <v>12.9</v>
      </c>
      <c r="K71" s="65">
        <v>12.9</v>
      </c>
      <c r="L71" s="65">
        <v>12.9</v>
      </c>
      <c r="M71" s="65">
        <v>12.9</v>
      </c>
      <c r="N71" s="65">
        <v>12.9</v>
      </c>
      <c r="O71" s="65">
        <v>12.9</v>
      </c>
      <c r="P71" s="65">
        <v>12.9</v>
      </c>
      <c r="Q71" s="65">
        <v>12.9</v>
      </c>
      <c r="R71" s="65">
        <v>12.9</v>
      </c>
      <c r="S71" s="65">
        <v>12.9</v>
      </c>
      <c r="T71" s="65">
        <v>12.9</v>
      </c>
      <c r="U71" s="65">
        <v>12.9</v>
      </c>
      <c r="V71" s="65">
        <v>12.9</v>
      </c>
      <c r="W71" s="65">
        <v>12.9</v>
      </c>
      <c r="X71" s="65">
        <v>11.5</v>
      </c>
      <c r="Y71" s="65">
        <v>12.9</v>
      </c>
      <c r="Z71" s="65">
        <v>12.9</v>
      </c>
      <c r="AA71" s="65">
        <v>12.9</v>
      </c>
      <c r="AB71" s="65">
        <v>12.5</v>
      </c>
      <c r="AC71" s="65">
        <v>12.5</v>
      </c>
      <c r="AD71" s="65">
        <v>12.8</v>
      </c>
      <c r="AE71" s="65">
        <v>13</v>
      </c>
      <c r="AF71" s="65">
        <v>13.7</v>
      </c>
      <c r="AG71" s="55">
        <v>14.1</v>
      </c>
      <c r="AH71" s="47">
        <f t="shared" si="2"/>
        <v>13.9</v>
      </c>
      <c r="AI71" s="48">
        <f t="shared" si="3"/>
        <v>11.5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5.7</v>
      </c>
      <c r="C72" s="65">
        <v>5.7</v>
      </c>
      <c r="D72" s="65">
        <v>5.7</v>
      </c>
      <c r="E72" s="65">
        <v>5.7</v>
      </c>
      <c r="F72" s="65">
        <v>5.7</v>
      </c>
      <c r="G72" s="65">
        <v>5.7</v>
      </c>
      <c r="H72" s="65">
        <v>5.7</v>
      </c>
      <c r="I72" s="65">
        <v>5.7</v>
      </c>
      <c r="J72" s="65">
        <v>5.7</v>
      </c>
      <c r="K72" s="65">
        <v>5.7</v>
      </c>
      <c r="L72" s="65">
        <v>5.7</v>
      </c>
      <c r="M72" s="65">
        <v>5.7</v>
      </c>
      <c r="N72" s="65">
        <v>5.7</v>
      </c>
      <c r="O72" s="65">
        <v>5.7</v>
      </c>
      <c r="P72" s="65">
        <v>5.7</v>
      </c>
      <c r="Q72" s="65">
        <v>5.7</v>
      </c>
      <c r="R72" s="65">
        <v>5.7</v>
      </c>
      <c r="S72" s="65">
        <v>5.7</v>
      </c>
      <c r="T72" s="65">
        <v>5.7</v>
      </c>
      <c r="U72" s="65">
        <v>5.7</v>
      </c>
      <c r="V72" s="65">
        <v>5.7</v>
      </c>
      <c r="W72" s="65">
        <v>5.7</v>
      </c>
      <c r="X72" s="65">
        <v>5.5</v>
      </c>
      <c r="Y72" s="65">
        <v>5.7</v>
      </c>
      <c r="Z72" s="65">
        <v>5.7</v>
      </c>
      <c r="AA72" s="65">
        <v>5.7</v>
      </c>
      <c r="AB72" s="65">
        <v>4.9000000000000004</v>
      </c>
      <c r="AC72" s="65">
        <v>4.9000000000000004</v>
      </c>
      <c r="AD72" s="65">
        <v>4.8</v>
      </c>
      <c r="AE72" s="65">
        <v>5.0999999999999996</v>
      </c>
      <c r="AF72" s="65">
        <v>5.2</v>
      </c>
      <c r="AG72" s="55">
        <v>14</v>
      </c>
      <c r="AH72" s="47">
        <f t="shared" si="2"/>
        <v>5.7</v>
      </c>
      <c r="AI72" s="48">
        <f t="shared" si="3"/>
        <v>4.8</v>
      </c>
      <c r="AK72" s="50"/>
    </row>
    <row r="73" spans="1:41" x14ac:dyDescent="0.25">
      <c r="A73" s="54" t="s">
        <v>73</v>
      </c>
      <c r="B73" s="65">
        <v>6</v>
      </c>
      <c r="C73" s="65">
        <v>6</v>
      </c>
      <c r="D73" s="65">
        <v>6</v>
      </c>
      <c r="E73" s="65">
        <v>6</v>
      </c>
      <c r="F73" s="65">
        <v>6</v>
      </c>
      <c r="G73" s="65">
        <v>6</v>
      </c>
      <c r="H73" s="65">
        <v>6</v>
      </c>
      <c r="I73" s="65">
        <v>6</v>
      </c>
      <c r="J73" s="65">
        <v>6</v>
      </c>
      <c r="K73" s="65">
        <v>6</v>
      </c>
      <c r="L73" s="65">
        <v>6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6</v>
      </c>
      <c r="V73" s="65">
        <v>6</v>
      </c>
      <c r="W73" s="65">
        <v>6</v>
      </c>
      <c r="X73" s="65">
        <v>3.3</v>
      </c>
      <c r="Y73" s="65">
        <v>6</v>
      </c>
      <c r="Z73" s="65">
        <v>6</v>
      </c>
      <c r="AA73" s="65">
        <v>6</v>
      </c>
      <c r="AB73" s="65">
        <v>6</v>
      </c>
      <c r="AC73" s="65">
        <v>6</v>
      </c>
      <c r="AD73" s="65">
        <v>6</v>
      </c>
      <c r="AE73" s="65">
        <v>6</v>
      </c>
      <c r="AF73" s="65">
        <v>6</v>
      </c>
      <c r="AG73" s="55">
        <v>10.050000000000001</v>
      </c>
      <c r="AH73" s="47">
        <f t="shared" si="2"/>
        <v>6</v>
      </c>
      <c r="AI73" s="48">
        <f t="shared" si="3"/>
        <v>3.3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AG250</f>
        <v>8.56</v>
      </c>
      <c r="AH75" s="47">
        <f t="shared" si="2"/>
        <v>3.54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D76" si="17">SUM(B63:B75)</f>
        <v>154.54</v>
      </c>
      <c r="C76" s="60">
        <f t="shared" si="17"/>
        <v>131.14000000000001</v>
      </c>
      <c r="D76" s="60">
        <f t="shared" si="17"/>
        <v>135.84</v>
      </c>
      <c r="E76" s="60">
        <f t="shared" ref="E76:AG76" si="18">SUM(E63:E75)</f>
        <v>131.64000000000001</v>
      </c>
      <c r="F76" s="60">
        <f t="shared" si="18"/>
        <v>136.64000000000001</v>
      </c>
      <c r="G76" s="60">
        <f t="shared" si="18"/>
        <v>246.14</v>
      </c>
      <c r="H76" s="60">
        <f t="shared" si="18"/>
        <v>305.14</v>
      </c>
      <c r="I76" s="60">
        <f t="shared" si="18"/>
        <v>325.94</v>
      </c>
      <c r="J76" s="60">
        <f t="shared" si="18"/>
        <v>354.64</v>
      </c>
      <c r="K76" s="60">
        <f t="shared" si="18"/>
        <v>399.24</v>
      </c>
      <c r="L76" s="60">
        <f t="shared" si="18"/>
        <v>414.14</v>
      </c>
      <c r="M76" s="60">
        <f t="shared" si="18"/>
        <v>414.34</v>
      </c>
      <c r="N76" s="60">
        <f t="shared" si="18"/>
        <v>409.34</v>
      </c>
      <c r="O76" s="60">
        <f t="shared" si="18"/>
        <v>358.73999999999995</v>
      </c>
      <c r="P76" s="60">
        <f t="shared" si="18"/>
        <v>345.44</v>
      </c>
      <c r="Q76" s="60">
        <f t="shared" si="18"/>
        <v>345.44</v>
      </c>
      <c r="R76" s="60">
        <f t="shared" si="18"/>
        <v>269.24000000000007</v>
      </c>
      <c r="S76" s="60">
        <f t="shared" ref="S76" si="19">SUM(S63:S75)</f>
        <v>257.83999999999997</v>
      </c>
      <c r="T76" s="60">
        <f t="shared" si="18"/>
        <v>239.73999999999998</v>
      </c>
      <c r="U76" s="60">
        <f t="shared" si="18"/>
        <v>210.73999999999998</v>
      </c>
      <c r="V76" s="60">
        <f t="shared" si="18"/>
        <v>393.84</v>
      </c>
      <c r="W76" s="60">
        <f t="shared" si="18"/>
        <v>396.34</v>
      </c>
      <c r="X76" s="60">
        <f t="shared" si="18"/>
        <v>405.8</v>
      </c>
      <c r="Y76" s="60">
        <f t="shared" si="18"/>
        <v>409.14</v>
      </c>
      <c r="Z76" s="60">
        <f t="shared" si="18"/>
        <v>379.14</v>
      </c>
      <c r="AA76" s="60">
        <f t="shared" si="18"/>
        <v>374.14</v>
      </c>
      <c r="AB76" s="60">
        <f t="shared" ref="AB76:AC76" si="20">SUM(AB63:AB75)</f>
        <v>373.64</v>
      </c>
      <c r="AC76" s="60">
        <f t="shared" si="20"/>
        <v>333.94</v>
      </c>
      <c r="AD76" s="60">
        <f t="shared" si="18"/>
        <v>261.54000000000002</v>
      </c>
      <c r="AE76" s="60">
        <f t="shared" ref="AE76:AF76" si="21">SUM(AE63:AE75)</f>
        <v>174.44</v>
      </c>
      <c r="AF76" s="60">
        <f t="shared" si="21"/>
        <v>134.44</v>
      </c>
      <c r="AG76" s="61">
        <f t="shared" si="18"/>
        <v>489.91</v>
      </c>
      <c r="AH76" s="47">
        <f t="shared" si="2"/>
        <v>414.34</v>
      </c>
      <c r="AI76" s="48">
        <f t="shared" si="3"/>
        <v>131.14000000000001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>
        <v>27</v>
      </c>
      <c r="W77" s="45">
        <v>30</v>
      </c>
      <c r="X77" s="45">
        <v>35</v>
      </c>
      <c r="Y77" s="45">
        <v>60</v>
      </c>
      <c r="Z77" s="45">
        <v>60</v>
      </c>
      <c r="AA77" s="45">
        <v>60</v>
      </c>
      <c r="AB77" s="45">
        <v>49.5</v>
      </c>
      <c r="AC77" s="45">
        <v>17.7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>
        <v>10.9</v>
      </c>
      <c r="W78" s="65">
        <v>10</v>
      </c>
      <c r="X78" s="65">
        <v>17</v>
      </c>
      <c r="Y78" s="65">
        <v>25</v>
      </c>
      <c r="Z78" s="65">
        <v>27</v>
      </c>
      <c r="AA78" s="65">
        <v>27</v>
      </c>
      <c r="AB78" s="65">
        <v>16.3</v>
      </c>
      <c r="AC78" s="65">
        <v>16.100000000000001</v>
      </c>
      <c r="AD78" s="65">
        <v>3.6</v>
      </c>
      <c r="AE78" s="65">
        <v>0</v>
      </c>
      <c r="AF78" s="65">
        <v>0</v>
      </c>
      <c r="AG78" s="55">
        <v>32</v>
      </c>
      <c r="AH78" s="47">
        <f t="shared" si="2"/>
        <v>27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>
        <v>4</v>
      </c>
      <c r="W79" s="67">
        <v>6</v>
      </c>
      <c r="X79" s="67">
        <v>6</v>
      </c>
      <c r="Y79" s="67">
        <v>9.4</v>
      </c>
      <c r="Z79" s="67">
        <v>10</v>
      </c>
      <c r="AA79" s="67">
        <v>10</v>
      </c>
      <c r="AB79" s="67">
        <v>5.9</v>
      </c>
      <c r="AC79" s="67">
        <v>5.9</v>
      </c>
      <c r="AD79" s="67">
        <v>1.3</v>
      </c>
      <c r="AE79" s="67">
        <v>0</v>
      </c>
      <c r="AF79" s="67">
        <v>0</v>
      </c>
      <c r="AG79" s="68">
        <v>14</v>
      </c>
      <c r="AH79" s="47">
        <f t="shared" si="2"/>
        <v>10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E80" si="22">B77+B78+B79</f>
        <v>0</v>
      </c>
      <c r="C80" s="60">
        <f t="shared" si="22"/>
        <v>0</v>
      </c>
      <c r="D80" s="60">
        <f t="shared" si="22"/>
        <v>0</v>
      </c>
      <c r="E80" s="60">
        <f t="shared" si="22"/>
        <v>0</v>
      </c>
      <c r="F80" s="60">
        <f t="shared" ref="F80:AD80" si="23">F77+F78+F79</f>
        <v>0</v>
      </c>
      <c r="G80" s="60">
        <f t="shared" si="23"/>
        <v>0</v>
      </c>
      <c r="H80" s="60">
        <f t="shared" si="23"/>
        <v>0</v>
      </c>
      <c r="I80" s="60">
        <f t="shared" si="23"/>
        <v>0</v>
      </c>
      <c r="J80" s="60">
        <f t="shared" si="23"/>
        <v>0</v>
      </c>
      <c r="K80" s="60">
        <f t="shared" si="23"/>
        <v>0</v>
      </c>
      <c r="L80" s="60">
        <f t="shared" si="23"/>
        <v>0</v>
      </c>
      <c r="M80" s="60">
        <f t="shared" si="23"/>
        <v>0</v>
      </c>
      <c r="N80" s="60">
        <f t="shared" si="23"/>
        <v>0</v>
      </c>
      <c r="O80" s="60">
        <f t="shared" si="23"/>
        <v>0</v>
      </c>
      <c r="P80" s="60">
        <f t="shared" si="23"/>
        <v>0</v>
      </c>
      <c r="Q80" s="60">
        <f t="shared" si="23"/>
        <v>0</v>
      </c>
      <c r="R80" s="60">
        <f t="shared" si="23"/>
        <v>0</v>
      </c>
      <c r="S80" s="60">
        <f t="shared" ref="S80" si="24">S77+S78+S79</f>
        <v>0</v>
      </c>
      <c r="T80" s="60">
        <f t="shared" si="23"/>
        <v>0</v>
      </c>
      <c r="U80" s="60">
        <f t="shared" si="23"/>
        <v>0</v>
      </c>
      <c r="V80" s="60">
        <f t="shared" si="23"/>
        <v>41.9</v>
      </c>
      <c r="W80" s="60">
        <f t="shared" si="23"/>
        <v>46</v>
      </c>
      <c r="X80" s="60">
        <f t="shared" si="23"/>
        <v>58</v>
      </c>
      <c r="Y80" s="60">
        <f t="shared" si="23"/>
        <v>94.4</v>
      </c>
      <c r="Z80" s="60">
        <f t="shared" si="23"/>
        <v>97</v>
      </c>
      <c r="AA80" s="60">
        <f t="shared" si="23"/>
        <v>97</v>
      </c>
      <c r="AB80" s="60">
        <f t="shared" ref="AB80:AC80" si="25">AB77+AB78+AB79</f>
        <v>71.7</v>
      </c>
      <c r="AC80" s="60">
        <f t="shared" si="25"/>
        <v>39.699999999999996</v>
      </c>
      <c r="AD80" s="60">
        <f t="shared" si="23"/>
        <v>4.9000000000000004</v>
      </c>
      <c r="AE80" s="60">
        <f t="shared" ref="AE80:AF80" si="26">AE77+AE78+AE79</f>
        <v>0</v>
      </c>
      <c r="AF80" s="60">
        <f t="shared" si="26"/>
        <v>0</v>
      </c>
      <c r="AG80" s="61">
        <f>SUM(AG77:AG79)</f>
        <v>106</v>
      </c>
      <c r="AH80" s="47">
        <f t="shared" si="2"/>
        <v>97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55.8</v>
      </c>
      <c r="C81" s="45">
        <v>53.8</v>
      </c>
      <c r="D81" s="45">
        <v>47.9</v>
      </c>
      <c r="E81" s="45">
        <v>47.3</v>
      </c>
      <c r="F81" s="45">
        <v>48</v>
      </c>
      <c r="G81" s="45">
        <v>52</v>
      </c>
      <c r="H81" s="45">
        <v>60</v>
      </c>
      <c r="I81" s="45">
        <v>61</v>
      </c>
      <c r="J81" s="45">
        <v>45</v>
      </c>
      <c r="K81" s="45">
        <v>60</v>
      </c>
      <c r="L81" s="45">
        <v>33.9</v>
      </c>
      <c r="M81" s="45">
        <v>52.7</v>
      </c>
      <c r="N81" s="45">
        <v>45.5</v>
      </c>
      <c r="O81" s="45">
        <v>37.200000000000003</v>
      </c>
      <c r="P81" s="45">
        <v>36</v>
      </c>
      <c r="Q81" s="45">
        <v>38</v>
      </c>
      <c r="R81" s="45">
        <v>62</v>
      </c>
      <c r="S81" s="45">
        <v>52</v>
      </c>
      <c r="T81" s="45">
        <v>51</v>
      </c>
      <c r="U81" s="45">
        <v>67.5</v>
      </c>
      <c r="V81" s="45">
        <v>54.3</v>
      </c>
      <c r="W81" s="45">
        <v>26</v>
      </c>
      <c r="X81" s="45">
        <v>26</v>
      </c>
      <c r="Y81" s="45">
        <v>22</v>
      </c>
      <c r="Z81" s="45">
        <v>31</v>
      </c>
      <c r="AA81" s="45">
        <v>38</v>
      </c>
      <c r="AB81" s="45">
        <v>37</v>
      </c>
      <c r="AC81" s="45">
        <v>46</v>
      </c>
      <c r="AD81" s="45">
        <v>45.6</v>
      </c>
      <c r="AE81" s="45">
        <v>42.6</v>
      </c>
      <c r="AF81" s="45">
        <v>38.700000000000003</v>
      </c>
      <c r="AG81" s="52"/>
      <c r="AH81" s="47">
        <f t="shared" si="2"/>
        <v>67.5</v>
      </c>
      <c r="AI81" s="48">
        <f t="shared" si="3"/>
        <v>22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99.9</v>
      </c>
      <c r="C83" s="65">
        <v>102</v>
      </c>
      <c r="D83" s="65">
        <v>108.9</v>
      </c>
      <c r="E83" s="65">
        <v>105.5</v>
      </c>
      <c r="F83" s="65">
        <v>95</v>
      </c>
      <c r="G83" s="65">
        <v>96</v>
      </c>
      <c r="H83" s="65">
        <v>118</v>
      </c>
      <c r="I83" s="65">
        <v>175</v>
      </c>
      <c r="J83" s="65">
        <v>202.3</v>
      </c>
      <c r="K83" s="65">
        <v>201.5</v>
      </c>
      <c r="L83" s="65">
        <v>113</v>
      </c>
      <c r="M83" s="65">
        <v>50</v>
      </c>
      <c r="N83" s="65">
        <v>-3</v>
      </c>
      <c r="O83" s="65">
        <v>25.2</v>
      </c>
      <c r="P83" s="65">
        <v>141</v>
      </c>
      <c r="Q83" s="65">
        <v>241</v>
      </c>
      <c r="R83" s="65">
        <v>258</v>
      </c>
      <c r="S83" s="65">
        <v>250</v>
      </c>
      <c r="T83" s="65">
        <v>303</v>
      </c>
      <c r="U83" s="65">
        <v>363</v>
      </c>
      <c r="V83" s="65">
        <v>3.4</v>
      </c>
      <c r="W83" s="65">
        <v>1.9</v>
      </c>
      <c r="X83" s="65">
        <v>1.9</v>
      </c>
      <c r="Y83" s="65">
        <v>9.5</v>
      </c>
      <c r="Z83" s="65">
        <v>219</v>
      </c>
      <c r="AA83" s="65">
        <v>240</v>
      </c>
      <c r="AB83" s="65">
        <v>185</v>
      </c>
      <c r="AC83" s="65">
        <v>155</v>
      </c>
      <c r="AD83" s="65">
        <v>198</v>
      </c>
      <c r="AE83" s="65">
        <v>198.8</v>
      </c>
      <c r="AF83" s="65">
        <v>189</v>
      </c>
      <c r="AG83" s="75"/>
      <c r="AH83" s="47">
        <f t="shared" si="2"/>
        <v>363</v>
      </c>
      <c r="AI83" s="48">
        <f t="shared" si="3"/>
        <v>-3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65"/>
      <c r="AF84" s="65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27">MAX(B85:AF85)</f>
        <v>0</v>
      </c>
      <c r="AI85" s="48">
        <f t="shared" ref="AI85:AI130" si="28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7"/>
        <v>0</v>
      </c>
      <c r="AI86" s="48">
        <f t="shared" si="28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7"/>
        <v>0</v>
      </c>
      <c r="AI87" s="48">
        <f t="shared" si="28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7"/>
        <v>0</v>
      </c>
      <c r="AI88" s="48">
        <f t="shared" si="28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7"/>
        <v>0</v>
      </c>
      <c r="AI89" s="48">
        <f t="shared" si="28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7"/>
        <v>0</v>
      </c>
      <c r="AI90" s="48">
        <f t="shared" si="28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27"/>
        <v>0</v>
      </c>
      <c r="AI91" s="48">
        <f t="shared" si="28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H92" si="29">SUMIF(B81:B91,"&gt;0")</f>
        <v>155.69999999999999</v>
      </c>
      <c r="C92" s="60">
        <f t="shared" si="29"/>
        <v>155.80000000000001</v>
      </c>
      <c r="D92" s="60">
        <f t="shared" si="29"/>
        <v>156.80000000000001</v>
      </c>
      <c r="E92" s="60">
        <f t="shared" si="29"/>
        <v>152.80000000000001</v>
      </c>
      <c r="F92" s="60">
        <f t="shared" si="29"/>
        <v>143</v>
      </c>
      <c r="G92" s="60">
        <f t="shared" si="29"/>
        <v>148</v>
      </c>
      <c r="H92" s="60">
        <f t="shared" si="29"/>
        <v>178</v>
      </c>
      <c r="I92" s="60">
        <f t="shared" ref="I92:AD92" si="30">SUMIF(I81:I91,"&gt;0")</f>
        <v>236</v>
      </c>
      <c r="J92" s="60">
        <f t="shared" si="30"/>
        <v>247.3</v>
      </c>
      <c r="K92" s="60">
        <f t="shared" si="30"/>
        <v>261.5</v>
      </c>
      <c r="L92" s="60">
        <f t="shared" si="30"/>
        <v>146.9</v>
      </c>
      <c r="M92" s="60">
        <f t="shared" si="30"/>
        <v>102.7</v>
      </c>
      <c r="N92" s="60">
        <f t="shared" si="30"/>
        <v>45.5</v>
      </c>
      <c r="O92" s="60">
        <f t="shared" si="30"/>
        <v>62.400000000000006</v>
      </c>
      <c r="P92" s="60">
        <f t="shared" si="30"/>
        <v>177</v>
      </c>
      <c r="Q92" s="60">
        <f t="shared" si="30"/>
        <v>279</v>
      </c>
      <c r="R92" s="60">
        <f t="shared" si="30"/>
        <v>320</v>
      </c>
      <c r="S92" s="60">
        <f t="shared" si="30"/>
        <v>302</v>
      </c>
      <c r="T92" s="60">
        <f t="shared" si="30"/>
        <v>354</v>
      </c>
      <c r="U92" s="60">
        <f t="shared" si="30"/>
        <v>430.5</v>
      </c>
      <c r="V92" s="60">
        <f t="shared" si="30"/>
        <v>57.699999999999996</v>
      </c>
      <c r="W92" s="60">
        <f t="shared" si="30"/>
        <v>27.9</v>
      </c>
      <c r="X92" s="60">
        <f t="shared" si="30"/>
        <v>27.9</v>
      </c>
      <c r="Y92" s="60">
        <f t="shared" si="30"/>
        <v>31.5</v>
      </c>
      <c r="Z92" s="60">
        <f t="shared" si="30"/>
        <v>250</v>
      </c>
      <c r="AA92" s="60">
        <f t="shared" si="30"/>
        <v>278</v>
      </c>
      <c r="AB92" s="60">
        <f t="shared" ref="AB92:AC92" si="31">SUMIF(AB81:AB91,"&gt;0")</f>
        <v>222</v>
      </c>
      <c r="AC92" s="60">
        <f t="shared" si="31"/>
        <v>201</v>
      </c>
      <c r="AD92" s="60">
        <f t="shared" si="30"/>
        <v>243.6</v>
      </c>
      <c r="AE92" s="60">
        <f t="shared" ref="AE92:AF92" si="32">SUMIF(AE81:AE91,"&gt;0")</f>
        <v>241.4</v>
      </c>
      <c r="AF92" s="60">
        <f t="shared" si="32"/>
        <v>227.7</v>
      </c>
      <c r="AG92" s="88">
        <f>SUM(AG81:AG91)</f>
        <v>0</v>
      </c>
      <c r="AH92" s="47">
        <f t="shared" si="27"/>
        <v>430.5</v>
      </c>
      <c r="AI92" s="48">
        <f t="shared" si="28"/>
        <v>27.9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7"/>
        <v>0</v>
      </c>
      <c r="AI93" s="48">
        <f t="shared" si="28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7"/>
        <v>0</v>
      </c>
      <c r="AI94" s="48">
        <f t="shared" si="28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7"/>
        <v>0</v>
      </c>
      <c r="AI95" s="48">
        <f t="shared" si="28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7"/>
        <v>0</v>
      </c>
      <c r="AI96" s="48">
        <f t="shared" si="28"/>
        <v>0</v>
      </c>
    </row>
    <row r="97" spans="1:37" ht="15.75" thickBot="1" x14ac:dyDescent="0.3">
      <c r="A97" s="74" t="s">
        <v>100</v>
      </c>
      <c r="B97" s="95">
        <f t="shared" ref="B97:L97" si="33">B58+B62+B80+B76+B92+B96</f>
        <v>1002.5670833333334</v>
      </c>
      <c r="C97" s="95">
        <f t="shared" si="33"/>
        <v>979.56708333333336</v>
      </c>
      <c r="D97" s="95">
        <f t="shared" si="33"/>
        <v>980.66708333333349</v>
      </c>
      <c r="E97" s="95">
        <f t="shared" si="33"/>
        <v>969.66708333333349</v>
      </c>
      <c r="F97" s="95">
        <f t="shared" si="33"/>
        <v>966.86708333333343</v>
      </c>
      <c r="G97" s="95">
        <f t="shared" si="33"/>
        <v>1068.8670833333335</v>
      </c>
      <c r="H97" s="95">
        <f t="shared" si="33"/>
        <v>1169.3670833333335</v>
      </c>
      <c r="I97" s="95">
        <f t="shared" si="33"/>
        <v>1251.1670833333335</v>
      </c>
      <c r="J97" s="95">
        <f t="shared" si="33"/>
        <v>1353.4670833333334</v>
      </c>
      <c r="K97" s="95">
        <f t="shared" si="33"/>
        <v>1449.3670833333335</v>
      </c>
      <c r="L97" s="95">
        <f t="shared" si="33"/>
        <v>1536.4670833333334</v>
      </c>
      <c r="M97" s="95">
        <f t="shared" ref="M97:AG97" si="34">M58+M62+M80+M76+M92+M96</f>
        <v>1617.7799999999997</v>
      </c>
      <c r="N97" s="95">
        <f t="shared" si="34"/>
        <v>1585.5799999999997</v>
      </c>
      <c r="O97" s="95">
        <f t="shared" si="34"/>
        <v>1551.8799999999999</v>
      </c>
      <c r="P97" s="95">
        <f t="shared" si="34"/>
        <v>1473.1799999999998</v>
      </c>
      <c r="Q97" s="95">
        <f t="shared" si="34"/>
        <v>1405.1799999999998</v>
      </c>
      <c r="R97" s="95">
        <f t="shared" si="34"/>
        <v>1334.98</v>
      </c>
      <c r="S97" s="95">
        <f t="shared" si="34"/>
        <v>1305.58</v>
      </c>
      <c r="T97" s="95">
        <f t="shared" si="34"/>
        <v>1324.3799999999999</v>
      </c>
      <c r="U97" s="95">
        <f t="shared" si="34"/>
        <v>1371.8799999999999</v>
      </c>
      <c r="V97" s="95">
        <f t="shared" si="34"/>
        <v>1447.28</v>
      </c>
      <c r="W97" s="95">
        <f t="shared" si="34"/>
        <v>1501.1799999999998</v>
      </c>
      <c r="X97" s="95">
        <f t="shared" si="34"/>
        <v>1681.44</v>
      </c>
      <c r="Y97" s="95">
        <f t="shared" si="34"/>
        <v>1729.7799999999997</v>
      </c>
      <c r="Z97" s="95">
        <f t="shared" si="34"/>
        <v>1564.8799999999999</v>
      </c>
      <c r="AA97" s="95">
        <f t="shared" si="34"/>
        <v>1587.8799999999999</v>
      </c>
      <c r="AB97" s="95">
        <f t="shared" ref="AB97:AC97" si="35">AB58+AB62+AB80+AB76+AB92+AB96</f>
        <v>1460.5800000000002</v>
      </c>
      <c r="AC97" s="95">
        <f t="shared" si="35"/>
        <v>1398.7800000000002</v>
      </c>
      <c r="AD97" s="95">
        <f t="shared" si="34"/>
        <v>1347.28</v>
      </c>
      <c r="AE97" s="95">
        <f t="shared" ref="AE97:AF97" si="36">AE58+AE62+AE80+AE76+AE92+AE96</f>
        <v>1152.48</v>
      </c>
      <c r="AF97" s="95">
        <f t="shared" si="36"/>
        <v>1056.4800000000002</v>
      </c>
      <c r="AG97" s="61">
        <f t="shared" si="34"/>
        <v>2231.81</v>
      </c>
      <c r="AH97" s="47">
        <f t="shared" si="27"/>
        <v>1729.7799999999997</v>
      </c>
      <c r="AI97" s="48">
        <f t="shared" si="28"/>
        <v>966.86708333333343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50</v>
      </c>
      <c r="L98" s="97">
        <v>80</v>
      </c>
      <c r="M98" s="97">
        <v>80</v>
      </c>
      <c r="N98" s="97">
        <v>80</v>
      </c>
      <c r="O98" s="97">
        <v>80</v>
      </c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27"/>
        <v>80</v>
      </c>
      <c r="AI98" s="48">
        <f t="shared" si="28"/>
        <v>50</v>
      </c>
    </row>
    <row r="99" spans="1:37" ht="15.75" thickBot="1" x14ac:dyDescent="0.3">
      <c r="A99" s="74" t="s">
        <v>102</v>
      </c>
      <c r="B99" s="95">
        <f t="shared" ref="B99:L99" si="37">B97+B98</f>
        <v>1002.5670833333334</v>
      </c>
      <c r="C99" s="95">
        <f t="shared" si="37"/>
        <v>979.56708333333336</v>
      </c>
      <c r="D99" s="95">
        <f t="shared" si="37"/>
        <v>980.66708333333349</v>
      </c>
      <c r="E99" s="95">
        <f t="shared" si="37"/>
        <v>969.66708333333349</v>
      </c>
      <c r="F99" s="95">
        <f t="shared" si="37"/>
        <v>966.86708333333343</v>
      </c>
      <c r="G99" s="95">
        <f t="shared" si="37"/>
        <v>1068.8670833333335</v>
      </c>
      <c r="H99" s="95">
        <f t="shared" si="37"/>
        <v>1169.3670833333335</v>
      </c>
      <c r="I99" s="95">
        <f t="shared" si="37"/>
        <v>1251.1670833333335</v>
      </c>
      <c r="J99" s="95">
        <f t="shared" si="37"/>
        <v>1353.4670833333334</v>
      </c>
      <c r="K99" s="95">
        <f t="shared" si="37"/>
        <v>1499.3670833333335</v>
      </c>
      <c r="L99" s="95">
        <f t="shared" si="37"/>
        <v>1616.4670833333334</v>
      </c>
      <c r="M99" s="95">
        <f t="shared" ref="M99:AD99" si="38">M97+M98</f>
        <v>1697.7799999999997</v>
      </c>
      <c r="N99" s="95">
        <f t="shared" si="38"/>
        <v>1665.5799999999997</v>
      </c>
      <c r="O99" s="95">
        <f t="shared" si="38"/>
        <v>1631.8799999999999</v>
      </c>
      <c r="P99" s="95">
        <f t="shared" si="38"/>
        <v>1473.1799999999998</v>
      </c>
      <c r="Q99" s="95">
        <f t="shared" si="38"/>
        <v>1405.1799999999998</v>
      </c>
      <c r="R99" s="95">
        <f t="shared" si="38"/>
        <v>1334.98</v>
      </c>
      <c r="S99" s="95">
        <f t="shared" si="38"/>
        <v>1305.58</v>
      </c>
      <c r="T99" s="95">
        <f t="shared" si="38"/>
        <v>1324.3799999999999</v>
      </c>
      <c r="U99" s="95">
        <f t="shared" si="38"/>
        <v>1371.8799999999999</v>
      </c>
      <c r="V99" s="95">
        <f t="shared" si="38"/>
        <v>1447.28</v>
      </c>
      <c r="W99" s="95">
        <f t="shared" si="38"/>
        <v>1501.1799999999998</v>
      </c>
      <c r="X99" s="95">
        <f t="shared" si="38"/>
        <v>1681.44</v>
      </c>
      <c r="Y99" s="95">
        <f t="shared" si="38"/>
        <v>1729.7799999999997</v>
      </c>
      <c r="Z99" s="95">
        <f t="shared" si="38"/>
        <v>1564.8799999999999</v>
      </c>
      <c r="AA99" s="95">
        <f t="shared" si="38"/>
        <v>1587.8799999999999</v>
      </c>
      <c r="AB99" s="95">
        <f t="shared" ref="AB99:AC99" si="39">AB97+AB98</f>
        <v>1460.5800000000002</v>
      </c>
      <c r="AC99" s="95">
        <f t="shared" si="39"/>
        <v>1398.7800000000002</v>
      </c>
      <c r="AD99" s="95">
        <f t="shared" si="38"/>
        <v>1347.28</v>
      </c>
      <c r="AE99" s="95">
        <f t="shared" ref="AE99:AF99" si="40">AE97+AE98</f>
        <v>1152.48</v>
      </c>
      <c r="AF99" s="95">
        <f t="shared" si="40"/>
        <v>1056.4800000000002</v>
      </c>
      <c r="AG99" s="88">
        <f>AG96+AG92+AG80+AG76+AG58+AG98</f>
        <v>1693.71</v>
      </c>
      <c r="AH99" s="47">
        <f t="shared" si="27"/>
        <v>1729.7799999999997</v>
      </c>
      <c r="AI99" s="48">
        <f t="shared" si="28"/>
        <v>966.86708333333343</v>
      </c>
    </row>
    <row r="100" spans="1:37" ht="15.75" thickBot="1" x14ac:dyDescent="0.3">
      <c r="A100" s="74" t="s">
        <v>103</v>
      </c>
      <c r="B100" s="95">
        <f t="shared" ref="B100:L100" si="41">B99-(B107)</f>
        <v>1002.5670833333334</v>
      </c>
      <c r="C100" s="95">
        <f t="shared" si="41"/>
        <v>979.56708333333336</v>
      </c>
      <c r="D100" s="95">
        <f t="shared" si="41"/>
        <v>980.66708333333349</v>
      </c>
      <c r="E100" s="95">
        <f t="shared" si="41"/>
        <v>969.66708333333349</v>
      </c>
      <c r="F100" s="95">
        <f t="shared" si="41"/>
        <v>966.86708333333343</v>
      </c>
      <c r="G100" s="95">
        <f t="shared" si="41"/>
        <v>1068.8670833333335</v>
      </c>
      <c r="H100" s="95">
        <f t="shared" si="41"/>
        <v>1169.3670833333335</v>
      </c>
      <c r="I100" s="95">
        <f t="shared" si="41"/>
        <v>1251.1670833333335</v>
      </c>
      <c r="J100" s="95">
        <f t="shared" si="41"/>
        <v>1353.4670833333334</v>
      </c>
      <c r="K100" s="95">
        <f t="shared" si="41"/>
        <v>1499.3670833333335</v>
      </c>
      <c r="L100" s="95">
        <f t="shared" si="41"/>
        <v>1616.4670833333334</v>
      </c>
      <c r="M100" s="95">
        <f t="shared" ref="M100" si="42">M99-(M107)</f>
        <v>1697.7799999999997</v>
      </c>
      <c r="N100" s="95">
        <f>N99-(N107)</f>
        <v>1662.5799999999997</v>
      </c>
      <c r="O100" s="95">
        <f t="shared" ref="O100:AD100" si="43">O99-(O107)</f>
        <v>1631.8799999999999</v>
      </c>
      <c r="P100" s="95">
        <f t="shared" si="43"/>
        <v>1473.1799999999998</v>
      </c>
      <c r="Q100" s="95">
        <f t="shared" si="43"/>
        <v>1405.1799999999998</v>
      </c>
      <c r="R100" s="95">
        <f t="shared" si="43"/>
        <v>1334.98</v>
      </c>
      <c r="S100" s="95">
        <f t="shared" si="43"/>
        <v>1305.58</v>
      </c>
      <c r="T100" s="95">
        <f t="shared" si="43"/>
        <v>1324.3799999999999</v>
      </c>
      <c r="U100" s="95">
        <f t="shared" si="43"/>
        <v>1371.8799999999999</v>
      </c>
      <c r="V100" s="95">
        <f t="shared" si="43"/>
        <v>1447.28</v>
      </c>
      <c r="W100" s="95">
        <f t="shared" si="43"/>
        <v>1501.1799999999998</v>
      </c>
      <c r="X100" s="95">
        <f t="shared" si="43"/>
        <v>1681.44</v>
      </c>
      <c r="Y100" s="95">
        <f t="shared" si="43"/>
        <v>1729.7799999999997</v>
      </c>
      <c r="Z100" s="95">
        <f t="shared" si="43"/>
        <v>1564.8799999999999</v>
      </c>
      <c r="AA100" s="95">
        <f t="shared" si="43"/>
        <v>1587.8799999999999</v>
      </c>
      <c r="AB100" s="95">
        <f t="shared" ref="AB100:AC100" si="44">AB99-(AB107)</f>
        <v>1459.5800000000002</v>
      </c>
      <c r="AC100" s="95">
        <f t="shared" si="44"/>
        <v>1396.7800000000002</v>
      </c>
      <c r="AD100" s="95">
        <f t="shared" si="43"/>
        <v>1347.28</v>
      </c>
      <c r="AE100" s="95">
        <f t="shared" ref="AE100:AF100" si="45">AE99-(AE107)</f>
        <v>1151.48</v>
      </c>
      <c r="AF100" s="95">
        <f t="shared" si="45"/>
        <v>1054.4800000000002</v>
      </c>
      <c r="AG100" s="88"/>
      <c r="AH100" s="47">
        <f t="shared" si="27"/>
        <v>1729.7799999999997</v>
      </c>
      <c r="AI100" s="48">
        <f t="shared" si="28"/>
        <v>966.86708333333343</v>
      </c>
    </row>
    <row r="101" spans="1:37" x14ac:dyDescent="0.25">
      <c r="A101" s="44" t="s">
        <v>84</v>
      </c>
      <c r="B101" s="76">
        <v>0</v>
      </c>
      <c r="C101" s="76">
        <v>0</v>
      </c>
      <c r="D101" s="76">
        <v>0</v>
      </c>
      <c r="E101" s="76">
        <f t="shared" ref="E101:AD101" si="46">IF(E84&lt;0,E84*-1,0)</f>
        <v>0</v>
      </c>
      <c r="F101" s="76">
        <f t="shared" si="46"/>
        <v>0</v>
      </c>
      <c r="G101" s="76">
        <f t="shared" si="46"/>
        <v>0</v>
      </c>
      <c r="H101" s="76">
        <f t="shared" si="46"/>
        <v>0</v>
      </c>
      <c r="I101" s="76">
        <f t="shared" si="46"/>
        <v>0</v>
      </c>
      <c r="J101" s="76">
        <f t="shared" si="46"/>
        <v>0</v>
      </c>
      <c r="K101" s="76">
        <f t="shared" si="46"/>
        <v>0</v>
      </c>
      <c r="L101" s="76">
        <f t="shared" si="46"/>
        <v>0</v>
      </c>
      <c r="M101" s="76">
        <f t="shared" si="46"/>
        <v>0</v>
      </c>
      <c r="N101" s="76">
        <f t="shared" si="46"/>
        <v>0</v>
      </c>
      <c r="O101" s="76">
        <f t="shared" si="46"/>
        <v>0</v>
      </c>
      <c r="P101" s="76">
        <f t="shared" si="46"/>
        <v>0</v>
      </c>
      <c r="Q101" s="76">
        <f t="shared" si="46"/>
        <v>0</v>
      </c>
      <c r="R101" s="76">
        <f t="shared" si="46"/>
        <v>0</v>
      </c>
      <c r="S101" s="76">
        <f t="shared" si="46"/>
        <v>0</v>
      </c>
      <c r="T101" s="76">
        <f t="shared" si="46"/>
        <v>0</v>
      </c>
      <c r="U101" s="76">
        <f t="shared" si="46"/>
        <v>0</v>
      </c>
      <c r="V101" s="76">
        <f t="shared" si="46"/>
        <v>0</v>
      </c>
      <c r="W101" s="76">
        <f t="shared" si="46"/>
        <v>0</v>
      </c>
      <c r="X101" s="76">
        <f t="shared" si="46"/>
        <v>0</v>
      </c>
      <c r="Y101" s="76">
        <f t="shared" si="46"/>
        <v>0</v>
      </c>
      <c r="Z101" s="76">
        <f t="shared" si="46"/>
        <v>0</v>
      </c>
      <c r="AA101" s="76">
        <f t="shared" si="46"/>
        <v>0</v>
      </c>
      <c r="AB101" s="76">
        <f t="shared" ref="AB101:AC101" si="47">IF(AB84&lt;0,AB84*-1,0)</f>
        <v>0</v>
      </c>
      <c r="AC101" s="76">
        <f t="shared" si="47"/>
        <v>0</v>
      </c>
      <c r="AD101" s="76">
        <f t="shared" si="46"/>
        <v>0</v>
      </c>
      <c r="AE101" s="76">
        <f t="shared" ref="AE101:AF101" si="48">IF(AE84&lt;0,AE84*-1,0)</f>
        <v>0</v>
      </c>
      <c r="AF101" s="76">
        <f t="shared" si="48"/>
        <v>0</v>
      </c>
      <c r="AG101" s="52"/>
      <c r="AH101" s="47">
        <f t="shared" si="27"/>
        <v>0</v>
      </c>
      <c r="AI101" s="48">
        <f t="shared" si="28"/>
        <v>0</v>
      </c>
    </row>
    <row r="102" spans="1:37" x14ac:dyDescent="0.25">
      <c r="A102" s="54" t="s">
        <v>82</v>
      </c>
      <c r="B102" s="76">
        <v>0</v>
      </c>
      <c r="C102" s="76">
        <v>0</v>
      </c>
      <c r="D102" s="76">
        <v>0</v>
      </c>
      <c r="E102" s="76">
        <f t="shared" ref="E102:AD102" si="49">IF(E82&lt;0,E82*-1,0)</f>
        <v>0</v>
      </c>
      <c r="F102" s="76">
        <f t="shared" si="49"/>
        <v>0</v>
      </c>
      <c r="G102" s="76">
        <f t="shared" si="49"/>
        <v>0</v>
      </c>
      <c r="H102" s="76">
        <f t="shared" si="49"/>
        <v>0</v>
      </c>
      <c r="I102" s="76">
        <f t="shared" si="49"/>
        <v>0</v>
      </c>
      <c r="J102" s="76">
        <f t="shared" si="49"/>
        <v>0</v>
      </c>
      <c r="K102" s="76">
        <f t="shared" si="49"/>
        <v>0</v>
      </c>
      <c r="L102" s="76">
        <f t="shared" si="49"/>
        <v>0</v>
      </c>
      <c r="M102" s="76">
        <f t="shared" si="49"/>
        <v>0</v>
      </c>
      <c r="N102" s="76">
        <f t="shared" si="49"/>
        <v>0</v>
      </c>
      <c r="O102" s="76">
        <f t="shared" si="49"/>
        <v>0</v>
      </c>
      <c r="P102" s="76">
        <f t="shared" si="49"/>
        <v>0</v>
      </c>
      <c r="Q102" s="76">
        <f t="shared" si="49"/>
        <v>0</v>
      </c>
      <c r="R102" s="76">
        <f t="shared" si="49"/>
        <v>0</v>
      </c>
      <c r="S102" s="76">
        <f t="shared" si="49"/>
        <v>0</v>
      </c>
      <c r="T102" s="76">
        <f t="shared" si="49"/>
        <v>0</v>
      </c>
      <c r="U102" s="76">
        <f t="shared" si="49"/>
        <v>0</v>
      </c>
      <c r="V102" s="76">
        <f t="shared" si="49"/>
        <v>0</v>
      </c>
      <c r="W102" s="76">
        <f t="shared" si="49"/>
        <v>0</v>
      </c>
      <c r="X102" s="76">
        <f t="shared" si="49"/>
        <v>0</v>
      </c>
      <c r="Y102" s="76">
        <f t="shared" si="49"/>
        <v>0</v>
      </c>
      <c r="Z102" s="76">
        <f t="shared" si="49"/>
        <v>0</v>
      </c>
      <c r="AA102" s="76">
        <f t="shared" si="49"/>
        <v>0</v>
      </c>
      <c r="AB102" s="76">
        <f t="shared" ref="AB102:AC102" si="50">IF(AB82&lt;0,AB82*-1,0)</f>
        <v>0</v>
      </c>
      <c r="AC102" s="76">
        <f t="shared" si="50"/>
        <v>0</v>
      </c>
      <c r="AD102" s="76">
        <f t="shared" si="49"/>
        <v>0</v>
      </c>
      <c r="AE102" s="76">
        <f t="shared" ref="AE102:AF102" si="51">IF(AE82&lt;0,AE82*-1,0)</f>
        <v>0</v>
      </c>
      <c r="AF102" s="76">
        <f t="shared" si="51"/>
        <v>0</v>
      </c>
      <c r="AG102" s="55"/>
      <c r="AH102" s="47">
        <f t="shared" si="27"/>
        <v>0</v>
      </c>
      <c r="AI102" s="48">
        <f t="shared" si="28"/>
        <v>0</v>
      </c>
    </row>
    <row r="103" spans="1:37" x14ac:dyDescent="0.25">
      <c r="A103" s="84" t="s">
        <v>104</v>
      </c>
      <c r="B103" s="76">
        <v>0</v>
      </c>
      <c r="C103" s="76">
        <v>0</v>
      </c>
      <c r="D103" s="76">
        <v>0</v>
      </c>
      <c r="E103" s="76">
        <f t="shared" ref="E103:AD103" si="52">IF(E85&lt;0,E85*-1,0)</f>
        <v>0</v>
      </c>
      <c r="F103" s="76">
        <f t="shared" si="52"/>
        <v>0</v>
      </c>
      <c r="G103" s="76">
        <f t="shared" si="52"/>
        <v>0</v>
      </c>
      <c r="H103" s="76">
        <f t="shared" si="52"/>
        <v>0</v>
      </c>
      <c r="I103" s="76">
        <f t="shared" si="52"/>
        <v>0</v>
      </c>
      <c r="J103" s="76">
        <f t="shared" si="52"/>
        <v>0</v>
      </c>
      <c r="K103" s="76">
        <f t="shared" si="52"/>
        <v>0</v>
      </c>
      <c r="L103" s="76">
        <f t="shared" si="52"/>
        <v>0</v>
      </c>
      <c r="M103" s="76">
        <f t="shared" si="52"/>
        <v>0</v>
      </c>
      <c r="N103" s="76">
        <f t="shared" si="52"/>
        <v>0</v>
      </c>
      <c r="O103" s="76">
        <f t="shared" si="52"/>
        <v>0</v>
      </c>
      <c r="P103" s="76">
        <f t="shared" si="52"/>
        <v>0</v>
      </c>
      <c r="Q103" s="76">
        <f t="shared" si="52"/>
        <v>0</v>
      </c>
      <c r="R103" s="76">
        <f t="shared" si="52"/>
        <v>0</v>
      </c>
      <c r="S103" s="76">
        <f t="shared" si="52"/>
        <v>0</v>
      </c>
      <c r="T103" s="76">
        <f t="shared" si="52"/>
        <v>0</v>
      </c>
      <c r="U103" s="76">
        <f t="shared" si="52"/>
        <v>0</v>
      </c>
      <c r="V103" s="76">
        <f t="shared" si="52"/>
        <v>0</v>
      </c>
      <c r="W103" s="76">
        <f t="shared" si="52"/>
        <v>0</v>
      </c>
      <c r="X103" s="76">
        <f t="shared" si="52"/>
        <v>0</v>
      </c>
      <c r="Y103" s="76">
        <f t="shared" si="52"/>
        <v>0</v>
      </c>
      <c r="Z103" s="76">
        <f t="shared" si="52"/>
        <v>0</v>
      </c>
      <c r="AA103" s="76">
        <f t="shared" si="52"/>
        <v>0</v>
      </c>
      <c r="AB103" s="76">
        <f t="shared" ref="AB103:AC103" si="53">IF(AB85&lt;0,AB85*-1,0)</f>
        <v>0</v>
      </c>
      <c r="AC103" s="76">
        <f t="shared" si="53"/>
        <v>0</v>
      </c>
      <c r="AD103" s="76">
        <f t="shared" si="52"/>
        <v>0</v>
      </c>
      <c r="AE103" s="76">
        <f t="shared" ref="AE103:AF103" si="54">IF(AE85&lt;0,AE85*-1,0)</f>
        <v>0</v>
      </c>
      <c r="AF103" s="76">
        <f t="shared" si="54"/>
        <v>0</v>
      </c>
      <c r="AG103" s="98"/>
      <c r="AH103" s="47">
        <f t="shared" si="27"/>
        <v>0</v>
      </c>
      <c r="AI103" s="48">
        <f t="shared" si="28"/>
        <v>0</v>
      </c>
    </row>
    <row r="104" spans="1:37" x14ac:dyDescent="0.25">
      <c r="A104" s="84" t="s">
        <v>105</v>
      </c>
      <c r="B104" s="76">
        <v>0</v>
      </c>
      <c r="C104" s="76">
        <v>0</v>
      </c>
      <c r="D104" s="76">
        <v>0</v>
      </c>
      <c r="E104" s="76">
        <f t="shared" ref="E104:AD104" si="55">IF(E83&lt;0,E83*-1,0)</f>
        <v>0</v>
      </c>
      <c r="F104" s="76">
        <f t="shared" si="55"/>
        <v>0</v>
      </c>
      <c r="G104" s="76">
        <f t="shared" si="55"/>
        <v>0</v>
      </c>
      <c r="H104" s="76">
        <f t="shared" si="55"/>
        <v>0</v>
      </c>
      <c r="I104" s="76">
        <f t="shared" si="55"/>
        <v>0</v>
      </c>
      <c r="J104" s="76">
        <f t="shared" si="55"/>
        <v>0</v>
      </c>
      <c r="K104" s="76">
        <f t="shared" si="55"/>
        <v>0</v>
      </c>
      <c r="L104" s="76">
        <f t="shared" si="55"/>
        <v>0</v>
      </c>
      <c r="M104" s="76">
        <f t="shared" si="55"/>
        <v>0</v>
      </c>
      <c r="N104" s="76">
        <f t="shared" si="55"/>
        <v>3</v>
      </c>
      <c r="O104" s="76">
        <f t="shared" si="55"/>
        <v>0</v>
      </c>
      <c r="P104" s="76">
        <f t="shared" si="55"/>
        <v>0</v>
      </c>
      <c r="Q104" s="76">
        <f t="shared" si="55"/>
        <v>0</v>
      </c>
      <c r="R104" s="76">
        <f t="shared" si="55"/>
        <v>0</v>
      </c>
      <c r="S104" s="76">
        <f t="shared" si="55"/>
        <v>0</v>
      </c>
      <c r="T104" s="76">
        <f t="shared" si="55"/>
        <v>0</v>
      </c>
      <c r="U104" s="76">
        <f t="shared" si="55"/>
        <v>0</v>
      </c>
      <c r="V104" s="76">
        <f t="shared" si="55"/>
        <v>0</v>
      </c>
      <c r="W104" s="76">
        <f t="shared" si="55"/>
        <v>0</v>
      </c>
      <c r="X104" s="76">
        <f t="shared" si="55"/>
        <v>0</v>
      </c>
      <c r="Y104" s="76">
        <f t="shared" si="55"/>
        <v>0</v>
      </c>
      <c r="Z104" s="76">
        <f t="shared" si="55"/>
        <v>0</v>
      </c>
      <c r="AA104" s="76">
        <f t="shared" si="55"/>
        <v>0</v>
      </c>
      <c r="AB104" s="76">
        <f t="shared" ref="AB104:AC104" si="56">IF(AB83&lt;0,AB83*-1,0)</f>
        <v>0</v>
      </c>
      <c r="AC104" s="76">
        <f t="shared" si="56"/>
        <v>0</v>
      </c>
      <c r="AD104" s="76">
        <f t="shared" si="55"/>
        <v>0</v>
      </c>
      <c r="AE104" s="76">
        <f t="shared" ref="AE104:AF104" si="57">IF(AE83&lt;0,AE83*-1,0)</f>
        <v>0</v>
      </c>
      <c r="AF104" s="76">
        <f t="shared" si="57"/>
        <v>0</v>
      </c>
      <c r="AG104" s="98"/>
      <c r="AH104" s="47">
        <f t="shared" si="27"/>
        <v>3</v>
      </c>
      <c r="AI104" s="48">
        <f t="shared" si="28"/>
        <v>0</v>
      </c>
    </row>
    <row r="105" spans="1:37" x14ac:dyDescent="0.25">
      <c r="A105" s="84" t="s">
        <v>81</v>
      </c>
      <c r="B105" s="76">
        <v>0</v>
      </c>
      <c r="C105" s="76">
        <v>0</v>
      </c>
      <c r="D105" s="76">
        <v>0</v>
      </c>
      <c r="E105" s="76">
        <f t="shared" ref="E105:AD105" si="58">IF(E81&lt;0,E81*-1,0)</f>
        <v>0</v>
      </c>
      <c r="F105" s="76">
        <f t="shared" si="58"/>
        <v>0</v>
      </c>
      <c r="G105" s="76">
        <f t="shared" si="58"/>
        <v>0</v>
      </c>
      <c r="H105" s="76">
        <f t="shared" si="58"/>
        <v>0</v>
      </c>
      <c r="I105" s="76">
        <f t="shared" si="58"/>
        <v>0</v>
      </c>
      <c r="J105" s="76">
        <f t="shared" si="58"/>
        <v>0</v>
      </c>
      <c r="K105" s="76">
        <f t="shared" si="58"/>
        <v>0</v>
      </c>
      <c r="L105" s="76">
        <f t="shared" si="58"/>
        <v>0</v>
      </c>
      <c r="M105" s="76">
        <f t="shared" si="58"/>
        <v>0</v>
      </c>
      <c r="N105" s="76">
        <f t="shared" si="58"/>
        <v>0</v>
      </c>
      <c r="O105" s="76">
        <f t="shared" si="58"/>
        <v>0</v>
      </c>
      <c r="P105" s="76">
        <f t="shared" si="58"/>
        <v>0</v>
      </c>
      <c r="Q105" s="76">
        <f t="shared" si="58"/>
        <v>0</v>
      </c>
      <c r="R105" s="76">
        <f t="shared" si="58"/>
        <v>0</v>
      </c>
      <c r="S105" s="76">
        <f t="shared" si="58"/>
        <v>0</v>
      </c>
      <c r="T105" s="76">
        <f t="shared" si="58"/>
        <v>0</v>
      </c>
      <c r="U105" s="76">
        <f t="shared" si="58"/>
        <v>0</v>
      </c>
      <c r="V105" s="76">
        <f t="shared" si="58"/>
        <v>0</v>
      </c>
      <c r="W105" s="76">
        <f t="shared" si="58"/>
        <v>0</v>
      </c>
      <c r="X105" s="76">
        <f t="shared" si="58"/>
        <v>0</v>
      </c>
      <c r="Y105" s="76">
        <f t="shared" si="58"/>
        <v>0</v>
      </c>
      <c r="Z105" s="76">
        <f t="shared" si="58"/>
        <v>0</v>
      </c>
      <c r="AA105" s="76">
        <f t="shared" si="58"/>
        <v>0</v>
      </c>
      <c r="AB105" s="76">
        <f t="shared" ref="AB105:AC105" si="59">IF(AB81&lt;0,AB81*-1,0)</f>
        <v>0</v>
      </c>
      <c r="AC105" s="76">
        <f t="shared" si="59"/>
        <v>0</v>
      </c>
      <c r="AD105" s="76">
        <f t="shared" si="58"/>
        <v>0</v>
      </c>
      <c r="AE105" s="76">
        <f t="shared" ref="AE105:AF105" si="60">IF(AE81&lt;0,AE81*-1,0)</f>
        <v>0</v>
      </c>
      <c r="AF105" s="76">
        <f t="shared" si="60"/>
        <v>0</v>
      </c>
      <c r="AG105" s="98"/>
      <c r="AH105" s="47">
        <f t="shared" si="27"/>
        <v>0</v>
      </c>
      <c r="AI105" s="48">
        <f t="shared" si="28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1</v>
      </c>
      <c r="AC106" s="94">
        <v>2</v>
      </c>
      <c r="AD106" s="94">
        <v>0</v>
      </c>
      <c r="AE106" s="94">
        <v>1</v>
      </c>
      <c r="AF106" s="94">
        <v>2</v>
      </c>
      <c r="AG106" s="85"/>
      <c r="AH106" s="47">
        <f t="shared" si="27"/>
        <v>2</v>
      </c>
      <c r="AI106" s="48">
        <f t="shared" si="28"/>
        <v>0</v>
      </c>
    </row>
    <row r="107" spans="1:37" ht="15.75" thickBot="1" x14ac:dyDescent="0.3">
      <c r="A107" s="99" t="s">
        <v>107</v>
      </c>
      <c r="B107" s="60">
        <v>0</v>
      </c>
      <c r="C107" s="60">
        <v>0</v>
      </c>
      <c r="D107" s="60">
        <v>0</v>
      </c>
      <c r="E107" s="60">
        <f t="shared" ref="E107:AD107" si="61">SUM(E101:E106)</f>
        <v>0</v>
      </c>
      <c r="F107" s="60">
        <f t="shared" si="61"/>
        <v>0</v>
      </c>
      <c r="G107" s="60">
        <f t="shared" si="61"/>
        <v>0</v>
      </c>
      <c r="H107" s="60">
        <f t="shared" si="61"/>
        <v>0</v>
      </c>
      <c r="I107" s="60">
        <f t="shared" si="61"/>
        <v>0</v>
      </c>
      <c r="J107" s="60">
        <f t="shared" si="61"/>
        <v>0</v>
      </c>
      <c r="K107" s="60">
        <f t="shared" si="61"/>
        <v>0</v>
      </c>
      <c r="L107" s="60">
        <f t="shared" si="61"/>
        <v>0</v>
      </c>
      <c r="M107" s="60">
        <f t="shared" si="61"/>
        <v>0</v>
      </c>
      <c r="N107" s="60">
        <f t="shared" si="61"/>
        <v>3</v>
      </c>
      <c r="O107" s="60">
        <f t="shared" si="61"/>
        <v>0</v>
      </c>
      <c r="P107" s="60">
        <f t="shared" si="61"/>
        <v>0</v>
      </c>
      <c r="Q107" s="60">
        <f t="shared" si="61"/>
        <v>0</v>
      </c>
      <c r="R107" s="60">
        <f t="shared" si="61"/>
        <v>0</v>
      </c>
      <c r="S107" s="60">
        <f t="shared" si="61"/>
        <v>0</v>
      </c>
      <c r="T107" s="60">
        <f t="shared" si="61"/>
        <v>0</v>
      </c>
      <c r="U107" s="60">
        <f t="shared" si="61"/>
        <v>0</v>
      </c>
      <c r="V107" s="60">
        <f t="shared" si="61"/>
        <v>0</v>
      </c>
      <c r="W107" s="60">
        <f t="shared" si="61"/>
        <v>0</v>
      </c>
      <c r="X107" s="60">
        <f t="shared" si="61"/>
        <v>0</v>
      </c>
      <c r="Y107" s="60">
        <f t="shared" si="61"/>
        <v>0</v>
      </c>
      <c r="Z107" s="60">
        <f t="shared" si="61"/>
        <v>0</v>
      </c>
      <c r="AA107" s="60">
        <f t="shared" si="61"/>
        <v>0</v>
      </c>
      <c r="AB107" s="60">
        <f t="shared" ref="AB107:AC107" si="62">SUM(AB101:AB106)</f>
        <v>1</v>
      </c>
      <c r="AC107" s="60">
        <f t="shared" si="62"/>
        <v>2</v>
      </c>
      <c r="AD107" s="60">
        <f t="shared" si="61"/>
        <v>0</v>
      </c>
      <c r="AE107" s="60">
        <f t="shared" ref="AE107:AF107" si="63">SUM(AE101:AE106)</f>
        <v>1</v>
      </c>
      <c r="AF107" s="60">
        <f t="shared" si="63"/>
        <v>2</v>
      </c>
      <c r="AG107" s="88"/>
      <c r="AH107" s="47">
        <f t="shared" si="27"/>
        <v>3</v>
      </c>
      <c r="AI107" s="48">
        <f t="shared" si="28"/>
        <v>0</v>
      </c>
      <c r="AK107" s="50"/>
    </row>
    <row r="108" spans="1:37" ht="15.75" thickBot="1" x14ac:dyDescent="0.3">
      <c r="A108" s="74" t="s">
        <v>108</v>
      </c>
      <c r="B108" s="60">
        <f t="shared" ref="B108:E108" si="64">B92-B107</f>
        <v>155.69999999999999</v>
      </c>
      <c r="C108" s="60">
        <f t="shared" si="64"/>
        <v>155.80000000000001</v>
      </c>
      <c r="D108" s="60">
        <f t="shared" si="64"/>
        <v>156.80000000000001</v>
      </c>
      <c r="E108" s="60">
        <f t="shared" si="64"/>
        <v>152.80000000000001</v>
      </c>
      <c r="F108" s="60">
        <f t="shared" ref="F108:AD108" si="65">F92-F107</f>
        <v>143</v>
      </c>
      <c r="G108" s="60">
        <f t="shared" si="65"/>
        <v>148</v>
      </c>
      <c r="H108" s="60">
        <f t="shared" si="65"/>
        <v>178</v>
      </c>
      <c r="I108" s="60">
        <f t="shared" si="65"/>
        <v>236</v>
      </c>
      <c r="J108" s="60">
        <f t="shared" si="65"/>
        <v>247.3</v>
      </c>
      <c r="K108" s="60">
        <f t="shared" si="65"/>
        <v>261.5</v>
      </c>
      <c r="L108" s="60">
        <f t="shared" si="65"/>
        <v>146.9</v>
      </c>
      <c r="M108" s="60">
        <f t="shared" si="65"/>
        <v>102.7</v>
      </c>
      <c r="N108" s="60">
        <f t="shared" si="65"/>
        <v>42.5</v>
      </c>
      <c r="O108" s="60">
        <f t="shared" si="65"/>
        <v>62.400000000000006</v>
      </c>
      <c r="P108" s="60">
        <f t="shared" si="65"/>
        <v>177</v>
      </c>
      <c r="Q108" s="60">
        <f t="shared" si="65"/>
        <v>279</v>
      </c>
      <c r="R108" s="60">
        <f t="shared" si="65"/>
        <v>320</v>
      </c>
      <c r="S108" s="60">
        <f t="shared" si="65"/>
        <v>302</v>
      </c>
      <c r="T108" s="60">
        <f t="shared" si="65"/>
        <v>354</v>
      </c>
      <c r="U108" s="60">
        <f t="shared" si="65"/>
        <v>430.5</v>
      </c>
      <c r="V108" s="60">
        <f t="shared" si="65"/>
        <v>57.699999999999996</v>
      </c>
      <c r="W108" s="60">
        <f t="shared" si="65"/>
        <v>27.9</v>
      </c>
      <c r="X108" s="60">
        <f t="shared" si="65"/>
        <v>27.9</v>
      </c>
      <c r="Y108" s="60">
        <f t="shared" si="65"/>
        <v>31.5</v>
      </c>
      <c r="Z108" s="60">
        <f t="shared" si="65"/>
        <v>250</v>
      </c>
      <c r="AA108" s="60">
        <f t="shared" si="65"/>
        <v>278</v>
      </c>
      <c r="AB108" s="60">
        <f t="shared" ref="AB108:AC108" si="66">AB92-AB107</f>
        <v>221</v>
      </c>
      <c r="AC108" s="60">
        <f t="shared" si="66"/>
        <v>199</v>
      </c>
      <c r="AD108" s="60">
        <f t="shared" si="65"/>
        <v>243.6</v>
      </c>
      <c r="AE108" s="60">
        <f t="shared" ref="AE108:AF108" si="67">AE92-AE107</f>
        <v>240.4</v>
      </c>
      <c r="AF108" s="60">
        <f t="shared" si="67"/>
        <v>225.7</v>
      </c>
      <c r="AG108" s="88"/>
      <c r="AH108" s="47">
        <f t="shared" si="27"/>
        <v>430.5</v>
      </c>
      <c r="AI108" s="48">
        <f t="shared" si="28"/>
        <v>27.9</v>
      </c>
    </row>
    <row r="109" spans="1:37" x14ac:dyDescent="0.25">
      <c r="A109" s="100" t="s">
        <v>109</v>
      </c>
      <c r="B109" s="101">
        <v>50</v>
      </c>
      <c r="C109" s="101">
        <v>50</v>
      </c>
      <c r="D109" s="101">
        <v>49.97</v>
      </c>
      <c r="E109" s="101">
        <v>49.96</v>
      </c>
      <c r="F109" s="101">
        <v>50.008000000000003</v>
      </c>
      <c r="G109" s="101">
        <v>49.956000000000003</v>
      </c>
      <c r="H109" s="101">
        <v>49.942999999999998</v>
      </c>
      <c r="I109" s="101">
        <v>50.055999999999997</v>
      </c>
      <c r="J109" s="101">
        <v>49.963000000000001</v>
      </c>
      <c r="K109" s="101">
        <v>50.000999999999998</v>
      </c>
      <c r="L109" s="101">
        <v>50.055999999999997</v>
      </c>
      <c r="M109" s="101">
        <v>50.000999999999998</v>
      </c>
      <c r="N109" s="101">
        <v>49.98</v>
      </c>
      <c r="O109" s="101">
        <v>49.781999999999996</v>
      </c>
      <c r="P109" s="101">
        <v>49.904000000000003</v>
      </c>
      <c r="Q109" s="101">
        <v>49.904000000000003</v>
      </c>
      <c r="R109" s="101">
        <v>50.036999999999999</v>
      </c>
      <c r="S109" s="101">
        <v>50.131999999999998</v>
      </c>
      <c r="T109" s="101">
        <v>50.087000000000003</v>
      </c>
      <c r="U109" s="101">
        <v>50.234999999999999</v>
      </c>
      <c r="V109" s="101">
        <v>50.06</v>
      </c>
      <c r="W109" s="101">
        <v>50.076000000000001</v>
      </c>
      <c r="X109" s="101">
        <v>50.076000000000001</v>
      </c>
      <c r="Y109" s="101">
        <v>50.026000000000003</v>
      </c>
      <c r="Z109" s="101">
        <v>49.911999999999999</v>
      </c>
      <c r="AA109" s="101"/>
      <c r="AB109" s="101">
        <v>49.92</v>
      </c>
      <c r="AC109" s="101">
        <v>50.01</v>
      </c>
      <c r="AD109" s="101">
        <v>50.07</v>
      </c>
      <c r="AE109" s="101">
        <v>50.03</v>
      </c>
      <c r="AF109" s="101">
        <v>50</v>
      </c>
      <c r="AG109" s="102"/>
      <c r="AH109" s="47">
        <f t="shared" si="27"/>
        <v>50.234999999999999</v>
      </c>
      <c r="AI109" s="48">
        <f t="shared" si="28"/>
        <v>49.781999999999996</v>
      </c>
    </row>
    <row r="110" spans="1:37" x14ac:dyDescent="0.25">
      <c r="A110" s="103" t="s">
        <v>110</v>
      </c>
      <c r="B110" s="65">
        <v>132.4</v>
      </c>
      <c r="C110" s="65">
        <v>132.4</v>
      </c>
      <c r="D110" s="65">
        <v>132.6</v>
      </c>
      <c r="E110" s="65">
        <v>133.1</v>
      </c>
      <c r="F110" s="65">
        <v>133</v>
      </c>
      <c r="G110" s="65">
        <v>131.19999999999999</v>
      </c>
      <c r="H110" s="65">
        <v>130.6</v>
      </c>
      <c r="I110" s="65">
        <v>130.1</v>
      </c>
      <c r="J110" s="65">
        <v>128.1</v>
      </c>
      <c r="K110" s="65">
        <v>126.8</v>
      </c>
      <c r="L110" s="65">
        <v>125.7</v>
      </c>
      <c r="M110" s="65">
        <v>124.2</v>
      </c>
      <c r="N110" s="65">
        <v>124.4</v>
      </c>
      <c r="O110" s="65">
        <v>123.7</v>
      </c>
      <c r="P110" s="65">
        <v>126</v>
      </c>
      <c r="Q110" s="65">
        <v>126</v>
      </c>
      <c r="R110" s="65">
        <v>126.1</v>
      </c>
      <c r="S110" s="65">
        <v>127.7</v>
      </c>
      <c r="T110" s="65">
        <v>125.4</v>
      </c>
      <c r="U110" s="65">
        <v>124.4</v>
      </c>
      <c r="V110" s="65">
        <v>127</v>
      </c>
      <c r="W110" s="65">
        <v>127.2</v>
      </c>
      <c r="X110" s="65">
        <v>127.2</v>
      </c>
      <c r="Y110" s="65">
        <v>127.9</v>
      </c>
      <c r="Z110" s="65">
        <v>128.80000000000001</v>
      </c>
      <c r="AA110" s="65"/>
      <c r="AB110" s="65">
        <v>129.19999999999999</v>
      </c>
      <c r="AC110" s="65">
        <v>128.69999999999999</v>
      </c>
      <c r="AD110" s="65">
        <v>128.9</v>
      </c>
      <c r="AE110" s="65">
        <v>129.9</v>
      </c>
      <c r="AF110" s="65">
        <v>131.30000000000001</v>
      </c>
      <c r="AG110" s="104"/>
      <c r="AH110" s="47">
        <f t="shared" si="27"/>
        <v>133.1</v>
      </c>
      <c r="AI110" s="48">
        <f t="shared" si="28"/>
        <v>123.7</v>
      </c>
    </row>
    <row r="111" spans="1:37" x14ac:dyDescent="0.25">
      <c r="A111" s="103" t="s">
        <v>111</v>
      </c>
      <c r="B111" s="65">
        <v>135.4</v>
      </c>
      <c r="C111" s="65">
        <v>135.4</v>
      </c>
      <c r="D111" s="65">
        <v>135.80000000000001</v>
      </c>
      <c r="E111" s="65">
        <v>136.1</v>
      </c>
      <c r="F111" s="65">
        <v>136.1</v>
      </c>
      <c r="G111" s="65">
        <v>134.4</v>
      </c>
      <c r="H111" s="65">
        <v>133.69999999999999</v>
      </c>
      <c r="I111" s="65">
        <v>133.1</v>
      </c>
      <c r="J111" s="65">
        <v>130.80000000000001</v>
      </c>
      <c r="K111" s="65">
        <v>129.19999999999999</v>
      </c>
      <c r="L111" s="65">
        <v>127.8</v>
      </c>
      <c r="M111" s="65">
        <v>126.5</v>
      </c>
      <c r="N111" s="65">
        <v>127</v>
      </c>
      <c r="O111" s="65">
        <v>126.6</v>
      </c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27"/>
        <v>136.1</v>
      </c>
      <c r="AI111" s="48">
        <f t="shared" si="28"/>
        <v>126.5</v>
      </c>
    </row>
    <row r="112" spans="1:37" x14ac:dyDescent="0.25">
      <c r="A112" s="103" t="s">
        <v>112</v>
      </c>
      <c r="B112" s="65">
        <v>131.5</v>
      </c>
      <c r="C112" s="65">
        <v>131.5</v>
      </c>
      <c r="D112" s="65">
        <v>131.4</v>
      </c>
      <c r="E112" s="65">
        <v>132.80000000000001</v>
      </c>
      <c r="F112" s="65">
        <v>133.30000000000001</v>
      </c>
      <c r="G112" s="65">
        <v>128.9</v>
      </c>
      <c r="H112" s="65">
        <v>127.6</v>
      </c>
      <c r="I112" s="65">
        <v>127.4</v>
      </c>
      <c r="J112" s="65">
        <v>126.1</v>
      </c>
      <c r="K112" s="65">
        <v>129</v>
      </c>
      <c r="L112" s="65">
        <v>127.3</v>
      </c>
      <c r="M112" s="65">
        <v>128.6</v>
      </c>
      <c r="N112" s="65">
        <v>126.7</v>
      </c>
      <c r="O112" s="65">
        <v>128.30000000000001</v>
      </c>
      <c r="P112" s="65">
        <v>129.30000000000001</v>
      </c>
      <c r="Q112" s="65">
        <v>129.30000000000001</v>
      </c>
      <c r="R112" s="65">
        <v>129.4</v>
      </c>
      <c r="S112" s="65">
        <v>128.19999999999999</v>
      </c>
      <c r="T112" s="65">
        <v>131</v>
      </c>
      <c r="U112" s="65">
        <v>129.5</v>
      </c>
      <c r="V112" s="65">
        <v>129.9</v>
      </c>
      <c r="W112" s="65">
        <v>129.6</v>
      </c>
      <c r="X112" s="65">
        <v>129.6</v>
      </c>
      <c r="Y112" s="65">
        <v>130.1</v>
      </c>
      <c r="Z112" s="65">
        <v>131.4</v>
      </c>
      <c r="AA112" s="65"/>
      <c r="AB112" s="65">
        <v>132.80000000000001</v>
      </c>
      <c r="AC112" s="65">
        <v>132.69999999999999</v>
      </c>
      <c r="AD112" s="65">
        <v>130.19999999999999</v>
      </c>
      <c r="AE112" s="65">
        <v>132.69999999999999</v>
      </c>
      <c r="AF112" s="65">
        <v>129.80000000000001</v>
      </c>
      <c r="AG112" s="104"/>
      <c r="AH112" s="47">
        <f t="shared" si="27"/>
        <v>133.30000000000001</v>
      </c>
      <c r="AI112" s="48">
        <f t="shared" si="28"/>
        <v>126.1</v>
      </c>
    </row>
    <row r="113" spans="1:35" x14ac:dyDescent="0.25">
      <c r="A113" s="105" t="s">
        <v>113</v>
      </c>
      <c r="B113" s="65">
        <v>134.1</v>
      </c>
      <c r="C113" s="65">
        <v>134.1</v>
      </c>
      <c r="D113" s="65">
        <v>133.6</v>
      </c>
      <c r="E113" s="65">
        <v>135.19999999999999</v>
      </c>
      <c r="F113" s="65">
        <v>133.6</v>
      </c>
      <c r="G113" s="65">
        <v>129.30000000000001</v>
      </c>
      <c r="H113" s="65">
        <v>129.4</v>
      </c>
      <c r="I113" s="65">
        <v>128.80000000000001</v>
      </c>
      <c r="J113" s="65">
        <v>127.3</v>
      </c>
      <c r="K113" s="65">
        <v>129</v>
      </c>
      <c r="L113" s="65">
        <v>127.8</v>
      </c>
      <c r="M113" s="65">
        <v>130.30000000000001</v>
      </c>
      <c r="N113" s="65">
        <v>128.69999999999999</v>
      </c>
      <c r="O113" s="65">
        <v>130.6</v>
      </c>
      <c r="P113" s="65">
        <v>130.1</v>
      </c>
      <c r="Q113" s="65">
        <v>130.1</v>
      </c>
      <c r="R113" s="65">
        <v>132.80000000000001</v>
      </c>
      <c r="S113" s="65">
        <v>131.6</v>
      </c>
      <c r="T113" s="65">
        <v>133.6</v>
      </c>
      <c r="U113" s="65">
        <v>132.30000000000001</v>
      </c>
      <c r="V113" s="65">
        <v>131.69999999999999</v>
      </c>
      <c r="W113" s="65">
        <v>130.4</v>
      </c>
      <c r="X113" s="65">
        <v>130.4</v>
      </c>
      <c r="Y113" s="65">
        <v>132.19999999999999</v>
      </c>
      <c r="Z113" s="65">
        <v>133.6</v>
      </c>
      <c r="AA113" s="65"/>
      <c r="AB113" s="65">
        <v>135.19999999999999</v>
      </c>
      <c r="AC113" s="65">
        <v>132.80000000000001</v>
      </c>
      <c r="AD113" s="65">
        <v>131.4</v>
      </c>
      <c r="AE113" s="65">
        <v>134.5</v>
      </c>
      <c r="AF113" s="65">
        <v>130.69999999999999</v>
      </c>
      <c r="AG113" s="104"/>
      <c r="AH113" s="47">
        <f t="shared" si="27"/>
        <v>135.19999999999999</v>
      </c>
      <c r="AI113" s="48">
        <f t="shared" si="28"/>
        <v>127.3</v>
      </c>
    </row>
    <row r="114" spans="1:35" x14ac:dyDescent="0.25">
      <c r="A114" s="105" t="s">
        <v>114</v>
      </c>
      <c r="B114" s="106">
        <v>137</v>
      </c>
      <c r="C114" s="106">
        <v>137</v>
      </c>
      <c r="D114" s="106">
        <v>137</v>
      </c>
      <c r="E114" s="106">
        <v>136.9</v>
      </c>
      <c r="F114" s="106">
        <v>137</v>
      </c>
      <c r="G114" s="106">
        <v>136</v>
      </c>
      <c r="H114" s="106">
        <v>135.5</v>
      </c>
      <c r="I114" s="106">
        <v>135</v>
      </c>
      <c r="J114" s="106">
        <v>133.5</v>
      </c>
      <c r="K114" s="106">
        <v>132.4</v>
      </c>
      <c r="L114" s="106">
        <v>130.4</v>
      </c>
      <c r="M114" s="106">
        <v>131.4</v>
      </c>
      <c r="N114" s="106">
        <v>131.30000000000001</v>
      </c>
      <c r="O114" s="106">
        <v>131</v>
      </c>
      <c r="P114" s="106">
        <v>135</v>
      </c>
      <c r="Q114" s="106">
        <v>135</v>
      </c>
      <c r="R114" s="106">
        <v>133.5</v>
      </c>
      <c r="S114" s="106">
        <v>133.5</v>
      </c>
      <c r="T114" s="106">
        <v>132.19999999999999</v>
      </c>
      <c r="U114" s="106">
        <v>132.30000000000001</v>
      </c>
      <c r="V114" s="106">
        <v>134.5</v>
      </c>
      <c r="W114" s="106">
        <v>134.6</v>
      </c>
      <c r="X114" s="106">
        <v>134.6</v>
      </c>
      <c r="Y114" s="106">
        <v>134.4</v>
      </c>
      <c r="Z114" s="106">
        <v>131.69999999999999</v>
      </c>
      <c r="AA114" s="106"/>
      <c r="AB114" s="106">
        <v>132.1</v>
      </c>
      <c r="AC114" s="106">
        <v>134.1</v>
      </c>
      <c r="AD114" s="106">
        <v>136.19999999999999</v>
      </c>
      <c r="AE114" s="106">
        <v>136.9</v>
      </c>
      <c r="AF114" s="106">
        <v>137</v>
      </c>
      <c r="AG114" s="107"/>
      <c r="AH114" s="47">
        <f t="shared" si="27"/>
        <v>137</v>
      </c>
      <c r="AI114" s="48">
        <f t="shared" si="28"/>
        <v>130.4</v>
      </c>
    </row>
    <row r="115" spans="1:35" x14ac:dyDescent="0.25">
      <c r="A115" s="103" t="s">
        <v>115</v>
      </c>
      <c r="B115" s="65">
        <v>130.4</v>
      </c>
      <c r="C115" s="65">
        <v>130.4</v>
      </c>
      <c r="D115" s="65">
        <v>129.80000000000001</v>
      </c>
      <c r="E115" s="65">
        <v>128.6</v>
      </c>
      <c r="F115" s="65">
        <v>132</v>
      </c>
      <c r="G115" s="65">
        <v>125.4</v>
      </c>
      <c r="H115" s="65">
        <v>134.6</v>
      </c>
      <c r="I115" s="65">
        <v>135.9</v>
      </c>
      <c r="J115" s="65">
        <v>131.80000000000001</v>
      </c>
      <c r="K115" s="65">
        <v>128.6</v>
      </c>
      <c r="L115" s="65">
        <v>130.9</v>
      </c>
      <c r="M115" s="65">
        <v>128.6</v>
      </c>
      <c r="N115" s="65">
        <v>126.9</v>
      </c>
      <c r="O115" s="65">
        <v>130</v>
      </c>
      <c r="P115" s="65">
        <v>132.5</v>
      </c>
      <c r="Q115" s="65">
        <v>132.5</v>
      </c>
      <c r="R115" s="65">
        <v>128.69999999999999</v>
      </c>
      <c r="S115" s="65">
        <v>128.1</v>
      </c>
      <c r="T115" s="65">
        <v>135.69999999999999</v>
      </c>
      <c r="U115" s="65">
        <v>130.5</v>
      </c>
      <c r="V115" s="65">
        <v>131.4</v>
      </c>
      <c r="W115" s="65">
        <v>131.9</v>
      </c>
      <c r="X115" s="65">
        <v>131.9</v>
      </c>
      <c r="Y115" s="65">
        <v>132.19999999999999</v>
      </c>
      <c r="Z115" s="65"/>
      <c r="AA115" s="65"/>
      <c r="AB115" s="65">
        <v>132.1</v>
      </c>
      <c r="AC115" s="65">
        <v>131.19999999999999</v>
      </c>
      <c r="AD115" s="65">
        <v>135.4</v>
      </c>
      <c r="AE115" s="65">
        <v>135.4</v>
      </c>
      <c r="AF115" s="65">
        <v>133.1</v>
      </c>
      <c r="AG115" s="104"/>
      <c r="AH115" s="47">
        <f t="shared" si="27"/>
        <v>135.9</v>
      </c>
      <c r="AI115" s="48">
        <f t="shared" si="28"/>
        <v>125.4</v>
      </c>
    </row>
    <row r="116" spans="1:35" ht="15.75" thickBot="1" x14ac:dyDescent="0.3">
      <c r="A116" s="103" t="s">
        <v>116</v>
      </c>
      <c r="B116" s="92">
        <v>67.8</v>
      </c>
      <c r="C116" s="92">
        <v>67.8</v>
      </c>
      <c r="D116" s="92">
        <v>68</v>
      </c>
      <c r="E116" s="92">
        <v>68.2</v>
      </c>
      <c r="F116" s="92">
        <v>68.2</v>
      </c>
      <c r="G116" s="92">
        <v>67.3</v>
      </c>
      <c r="H116" s="92">
        <v>67</v>
      </c>
      <c r="I116" s="92">
        <v>66.7</v>
      </c>
      <c r="J116" s="92">
        <v>65.400000000000006</v>
      </c>
      <c r="K116" s="92">
        <v>64.599999999999994</v>
      </c>
      <c r="L116" s="92">
        <v>64</v>
      </c>
      <c r="M116" s="92">
        <v>63.3</v>
      </c>
      <c r="N116" s="92">
        <v>63.7</v>
      </c>
      <c r="O116" s="92">
        <v>63.4</v>
      </c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27"/>
        <v>68.2</v>
      </c>
      <c r="AI116" s="48">
        <f t="shared" si="28"/>
        <v>63.3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7"/>
        <v>0</v>
      </c>
      <c r="AI117" s="48">
        <f t="shared" si="28"/>
        <v>0</v>
      </c>
    </row>
    <row r="118" spans="1:35" ht="15.75" thickBot="1" x14ac:dyDescent="0.3">
      <c r="A118" s="110" t="s">
        <v>118</v>
      </c>
      <c r="B118" s="111">
        <f t="shared" ref="B118:E118" si="68">SUM(B22,B28,B31:B32,B66,B68:B69,B71,B73,B119:B123,B153,B159,B165,B174,B176,B188,B195,B198:B199,B206,B208,B210,B214:B216,B218:B220,B225,B231:B232,B234:B236,B244,B249)</f>
        <v>109.24</v>
      </c>
      <c r="C118" s="111">
        <f t="shared" si="68"/>
        <v>101.63999999999999</v>
      </c>
      <c r="D118" s="111">
        <f t="shared" si="68"/>
        <v>90.240000000000009</v>
      </c>
      <c r="E118" s="111">
        <f t="shared" si="68"/>
        <v>87.54</v>
      </c>
      <c r="F118" s="111">
        <f t="shared" ref="F118:O118" si="69">SUM(F22,F28,F31:F32,F66,F68:F69,F71,F73,F119:F123,F153,F159,F165,F174,F176,F188,F195,F198:F199,F206,F208,F210,F214:F216,F218:F220,F225,F231:F232,F234:F236,F244,F249)</f>
        <v>89.04</v>
      </c>
      <c r="G118" s="111">
        <f t="shared" si="69"/>
        <v>101.14000000000001</v>
      </c>
      <c r="H118" s="111">
        <f t="shared" si="69"/>
        <v>138.54000000000002</v>
      </c>
      <c r="I118" s="111">
        <f t="shared" si="69"/>
        <v>150.34</v>
      </c>
      <c r="J118" s="111">
        <f t="shared" si="69"/>
        <v>209.54</v>
      </c>
      <c r="K118" s="111">
        <f t="shared" si="69"/>
        <v>258.64</v>
      </c>
      <c r="L118" s="111">
        <f t="shared" si="69"/>
        <v>303.24</v>
      </c>
      <c r="M118" s="111">
        <f t="shared" si="69"/>
        <v>313.55</v>
      </c>
      <c r="N118" s="111">
        <f t="shared" si="69"/>
        <v>293.67500000000001</v>
      </c>
      <c r="O118" s="111">
        <f t="shared" si="69"/>
        <v>299.10499999999996</v>
      </c>
      <c r="P118" s="111">
        <v>42</v>
      </c>
      <c r="Q118" s="111">
        <f t="shared" ref="Q118:AC118" si="70">SUM(Q22,Q28,Q31:Q32,Q66,Q68:Q69,Q71,Q73,Q119:Q123,Q153,Q159,Q165,Q174,Q176,Q188,Q195,Q198:Q199,Q206,Q208,Q210,Q214:Q216,Q218:Q220,Q225,Q231:Q232,Q234:Q236,Q244,Q249)</f>
        <v>251.5</v>
      </c>
      <c r="R118" s="111">
        <f t="shared" si="70"/>
        <v>224.84</v>
      </c>
      <c r="S118" s="111">
        <f t="shared" si="70"/>
        <v>258.74</v>
      </c>
      <c r="T118" s="111">
        <f t="shared" si="70"/>
        <v>252.64</v>
      </c>
      <c r="U118" s="111">
        <f t="shared" si="70"/>
        <v>278.14</v>
      </c>
      <c r="V118" s="111">
        <f t="shared" si="70"/>
        <v>230.64000000000001</v>
      </c>
      <c r="W118" s="111">
        <f t="shared" si="70"/>
        <v>260.23999999999995</v>
      </c>
      <c r="X118" s="111">
        <f t="shared" si="70"/>
        <v>226.64</v>
      </c>
      <c r="Y118" s="111">
        <f t="shared" si="70"/>
        <v>224.04000000000002</v>
      </c>
      <c r="Z118" s="111">
        <f t="shared" si="70"/>
        <v>210.04000000000002</v>
      </c>
      <c r="AA118" s="111">
        <f t="shared" si="70"/>
        <v>120.04</v>
      </c>
      <c r="AB118" s="111">
        <f>SUM(AB22,AB28,AB31:AB32,AB66,AB68:AB69,AB71,AB73,AB119:AB123,AB153,AB159,AB165,AB174,AB176,AB188,AB195,AB198:AB199,AB206,AB208,AB210,AB214:AB216,AB218:AB220,AB225,AB231:AB232,AB234:AB236,AB244,AB249)</f>
        <v>269.83999999999997</v>
      </c>
      <c r="AC118" s="111">
        <f t="shared" si="70"/>
        <v>287.49</v>
      </c>
      <c r="AD118" s="111"/>
      <c r="AE118" s="111"/>
      <c r="AF118" s="111"/>
      <c r="AG118" s="112"/>
      <c r="AH118" s="47">
        <f t="shared" si="27"/>
        <v>313.55</v>
      </c>
      <c r="AI118" s="48">
        <f t="shared" si="28"/>
        <v>42</v>
      </c>
    </row>
    <row r="119" spans="1:35" x14ac:dyDescent="0.25">
      <c r="A119" s="181" t="s">
        <v>119</v>
      </c>
      <c r="B119" s="113">
        <v>0</v>
      </c>
      <c r="C119" s="113">
        <v>0</v>
      </c>
      <c r="D119" s="113">
        <v>0</v>
      </c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>
        <v>41</v>
      </c>
      <c r="T119" s="113">
        <v>55</v>
      </c>
      <c r="U119" s="113">
        <v>69</v>
      </c>
      <c r="V119" s="113">
        <v>17.899999999999999</v>
      </c>
      <c r="W119" s="113">
        <v>36.6</v>
      </c>
      <c r="X119" s="113">
        <v>-38</v>
      </c>
      <c r="Y119" s="113">
        <v>-44</v>
      </c>
      <c r="Z119" s="113">
        <v>-41</v>
      </c>
      <c r="AA119" s="113"/>
      <c r="AB119" s="113">
        <v>22.6</v>
      </c>
      <c r="AC119" s="113">
        <v>34.5</v>
      </c>
      <c r="AD119" s="113">
        <v>19.899999999999999</v>
      </c>
      <c r="AE119" s="113">
        <v>6.4</v>
      </c>
      <c r="AF119" s="113">
        <v>-1.6</v>
      </c>
      <c r="AG119" s="114">
        <v>75</v>
      </c>
      <c r="AH119" s="47">
        <f t="shared" si="27"/>
        <v>69</v>
      </c>
      <c r="AI119" s="48">
        <f t="shared" si="28"/>
        <v>-44</v>
      </c>
    </row>
    <row r="120" spans="1:35" x14ac:dyDescent="0.25">
      <c r="A120" s="182" t="s">
        <v>120</v>
      </c>
      <c r="B120" s="115">
        <v>14.6</v>
      </c>
      <c r="C120" s="115">
        <v>8.6999999999999993</v>
      </c>
      <c r="D120" s="115">
        <v>4</v>
      </c>
      <c r="E120" s="115">
        <v>4.4000000000000004</v>
      </c>
      <c r="F120" s="115">
        <v>1.4</v>
      </c>
      <c r="G120" s="115">
        <v>29.9</v>
      </c>
      <c r="H120" s="115">
        <v>37</v>
      </c>
      <c r="I120" s="115">
        <v>37.1</v>
      </c>
      <c r="J120" s="115">
        <v>43.6</v>
      </c>
      <c r="K120" s="115">
        <v>49.8</v>
      </c>
      <c r="L120" s="115">
        <v>37.9</v>
      </c>
      <c r="M120" s="115">
        <v>42.2</v>
      </c>
      <c r="N120" s="115">
        <v>44.9</v>
      </c>
      <c r="O120" s="115">
        <v>31</v>
      </c>
      <c r="P120" s="115">
        <v>35.5</v>
      </c>
      <c r="Q120" s="115">
        <v>35.5</v>
      </c>
      <c r="R120" s="115">
        <v>26.5</v>
      </c>
      <c r="S120" s="115">
        <v>28.3</v>
      </c>
      <c r="T120" s="115">
        <v>27</v>
      </c>
      <c r="U120" s="115">
        <v>13</v>
      </c>
      <c r="V120" s="115">
        <v>61.5</v>
      </c>
      <c r="W120" s="115">
        <v>44.3</v>
      </c>
      <c r="X120" s="115">
        <v>35</v>
      </c>
      <c r="Y120" s="115">
        <v>32</v>
      </c>
      <c r="Z120" s="115">
        <v>36</v>
      </c>
      <c r="AA120" s="115"/>
      <c r="AB120" s="115">
        <v>50</v>
      </c>
      <c r="AC120" s="115">
        <v>43.2</v>
      </c>
      <c r="AD120" s="115"/>
      <c r="AE120" s="115"/>
      <c r="AF120" s="115"/>
      <c r="AG120" s="114">
        <v>240</v>
      </c>
      <c r="AH120" s="47">
        <f t="shared" si="27"/>
        <v>61.5</v>
      </c>
      <c r="AI120" s="48">
        <f t="shared" si="28"/>
        <v>1.4</v>
      </c>
    </row>
    <row r="121" spans="1:35" x14ac:dyDescent="0.25">
      <c r="A121" s="182" t="s">
        <v>121</v>
      </c>
      <c r="B121" s="115">
        <f>-23.6-26.6</f>
        <v>-50.2</v>
      </c>
      <c r="C121" s="115">
        <v>-51.4</v>
      </c>
      <c r="D121" s="115">
        <f>-25.5-29</f>
        <v>-54.5</v>
      </c>
      <c r="E121" s="115">
        <f>-25.7-28.8</f>
        <v>-54.5</v>
      </c>
      <c r="F121" s="115">
        <f>-24-28</f>
        <v>-52</v>
      </c>
      <c r="G121" s="115">
        <f>-27-31</f>
        <v>-58</v>
      </c>
      <c r="H121" s="115">
        <f>-23-25</f>
        <v>-48</v>
      </c>
      <c r="I121" s="115">
        <f>-20-24</f>
        <v>-44</v>
      </c>
      <c r="J121" s="115">
        <f>-11.9-14</f>
        <v>-25.9</v>
      </c>
      <c r="K121" s="115">
        <f>-4-5.3</f>
        <v>-9.3000000000000007</v>
      </c>
      <c r="L121" s="115">
        <v>2.8</v>
      </c>
      <c r="M121" s="115">
        <v>-2.5</v>
      </c>
      <c r="N121" s="115">
        <v>-14</v>
      </c>
      <c r="O121" s="115">
        <v>-14</v>
      </c>
      <c r="P121" s="115">
        <v>-17</v>
      </c>
      <c r="Q121" s="115">
        <v>-17</v>
      </c>
      <c r="R121" s="115">
        <v>-23</v>
      </c>
      <c r="S121" s="115">
        <v>-19</v>
      </c>
      <c r="T121" s="115">
        <v>-11</v>
      </c>
      <c r="U121" s="115">
        <v>-1.5</v>
      </c>
      <c r="V121" s="115">
        <v>-29</v>
      </c>
      <c r="W121" s="115">
        <v>-20.100000000000001</v>
      </c>
      <c r="X121" s="115">
        <v>22</v>
      </c>
      <c r="Y121" s="115">
        <v>34</v>
      </c>
      <c r="Z121" s="115">
        <v>35</v>
      </c>
      <c r="AA121" s="115"/>
      <c r="AB121" s="115">
        <f>7.4+3.1</f>
        <v>10.5</v>
      </c>
      <c r="AC121" s="115">
        <f>4.5+1.5</f>
        <v>6</v>
      </c>
      <c r="AD121" s="115">
        <v>1</v>
      </c>
      <c r="AE121" s="115">
        <f>-10-11.5</f>
        <v>-21.5</v>
      </c>
      <c r="AF121" s="115">
        <f>-20.7-23.2</f>
        <v>-43.9</v>
      </c>
      <c r="AG121" s="114">
        <v>240</v>
      </c>
      <c r="AH121" s="47">
        <f t="shared" si="27"/>
        <v>35</v>
      </c>
      <c r="AI121" s="48">
        <f t="shared" si="28"/>
        <v>-58</v>
      </c>
    </row>
    <row r="122" spans="1:35" ht="15.75" thickBot="1" x14ac:dyDescent="0.3">
      <c r="A122" s="182" t="s">
        <v>122</v>
      </c>
      <c r="B122" s="115">
        <v>3.4</v>
      </c>
      <c r="C122" s="115">
        <v>2.7</v>
      </c>
      <c r="D122" s="115">
        <v>1</v>
      </c>
      <c r="E122" s="115">
        <v>0.6</v>
      </c>
      <c r="F122" s="115">
        <v>1.1000000000000001</v>
      </c>
      <c r="G122" s="115">
        <v>0.9</v>
      </c>
      <c r="H122" s="115">
        <v>4.7</v>
      </c>
      <c r="I122" s="115">
        <v>4.9000000000000004</v>
      </c>
      <c r="J122" s="115">
        <v>9.5</v>
      </c>
      <c r="K122" s="115">
        <v>14.8</v>
      </c>
      <c r="L122" s="115">
        <v>18.7</v>
      </c>
      <c r="M122" s="115">
        <v>18</v>
      </c>
      <c r="N122" s="115">
        <v>16</v>
      </c>
      <c r="O122" s="115">
        <v>16.100000000000001</v>
      </c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27"/>
        <v>18.7</v>
      </c>
      <c r="AI122" s="48">
        <f t="shared" si="28"/>
        <v>0.6</v>
      </c>
    </row>
    <row r="123" spans="1:35" x14ac:dyDescent="0.25">
      <c r="A123" s="181" t="s">
        <v>267</v>
      </c>
      <c r="B123" s="117">
        <v>15.6</v>
      </c>
      <c r="C123" s="117">
        <v>15.8</v>
      </c>
      <c r="D123" s="117">
        <f>10.6*1.5</f>
        <v>15.899999999999999</v>
      </c>
      <c r="E123" s="117">
        <f>8.8*1.5</f>
        <v>13.200000000000001</v>
      </c>
      <c r="F123" s="117">
        <f>9.8*1.5</f>
        <v>14.700000000000001</v>
      </c>
      <c r="G123" s="117">
        <f>3*1.5</f>
        <v>4.5</v>
      </c>
      <c r="H123" s="117">
        <f>14*1.5</f>
        <v>21</v>
      </c>
      <c r="I123" s="117">
        <f>19*1.5</f>
        <v>28.5</v>
      </c>
      <c r="J123" s="117">
        <f>39*1.5</f>
        <v>58.5</v>
      </c>
      <c r="K123" s="117">
        <f>53*1.5</f>
        <v>79.5</v>
      </c>
      <c r="L123" s="117">
        <f>80*1.5</f>
        <v>120</v>
      </c>
      <c r="M123" s="117">
        <f>79.4*1.65</f>
        <v>131.01</v>
      </c>
      <c r="N123" s="117">
        <f>73.9*1.65</f>
        <v>121.935</v>
      </c>
      <c r="O123" s="117">
        <f>84.1*1.65</f>
        <v>138.76499999999999</v>
      </c>
      <c r="P123" s="117">
        <f>60.4*1.65</f>
        <v>99.66</v>
      </c>
      <c r="Q123" s="117">
        <f>60.4*1.65</f>
        <v>99.66</v>
      </c>
      <c r="R123" s="117">
        <f>50*1.65</f>
        <v>82.5</v>
      </c>
      <c r="S123" s="117">
        <f>1.64*45</f>
        <v>73.8</v>
      </c>
      <c r="T123" s="117">
        <v>53</v>
      </c>
      <c r="U123" s="117">
        <v>69</v>
      </c>
      <c r="V123" s="117">
        <v>61</v>
      </c>
      <c r="W123" s="117">
        <v>80</v>
      </c>
      <c r="X123" s="117">
        <v>90.7</v>
      </c>
      <c r="Y123" s="117">
        <v>82</v>
      </c>
      <c r="Z123" s="117">
        <v>60</v>
      </c>
      <c r="AA123" s="117"/>
      <c r="AB123" s="117">
        <f>43.8*1.5</f>
        <v>65.699999999999989</v>
      </c>
      <c r="AC123" s="117">
        <f>54.5*1.5</f>
        <v>81.75</v>
      </c>
      <c r="AD123" s="117">
        <f>63.9*1.5</f>
        <v>95.85</v>
      </c>
      <c r="AE123" s="117">
        <f>46.5*1.5</f>
        <v>69.75</v>
      </c>
      <c r="AF123" s="117">
        <f>27.3*1.5</f>
        <v>40.950000000000003</v>
      </c>
      <c r="AG123" s="118">
        <v>120</v>
      </c>
      <c r="AH123" s="47">
        <f t="shared" si="27"/>
        <v>138.76499999999999</v>
      </c>
      <c r="AI123" s="48">
        <f t="shared" si="28"/>
        <v>4.5</v>
      </c>
    </row>
    <row r="124" spans="1:35" x14ac:dyDescent="0.25">
      <c r="A124" s="182" t="s">
        <v>266</v>
      </c>
      <c r="B124" s="117">
        <v>41</v>
      </c>
      <c r="C124" s="117">
        <v>41.1</v>
      </c>
      <c r="D124" s="117">
        <v>40.4</v>
      </c>
      <c r="E124" s="117">
        <v>38.200000000000003</v>
      </c>
      <c r="F124" s="117">
        <v>39.700000000000003</v>
      </c>
      <c r="G124" s="117">
        <v>33.700000000000003</v>
      </c>
      <c r="H124" s="117">
        <v>42</v>
      </c>
      <c r="I124" s="117">
        <v>45.2</v>
      </c>
      <c r="J124" s="117">
        <v>61.3</v>
      </c>
      <c r="K124" s="117">
        <v>71.5</v>
      </c>
      <c r="L124" s="117">
        <v>95.6</v>
      </c>
      <c r="M124" s="117">
        <v>94.7</v>
      </c>
      <c r="N124" s="117">
        <v>90.8</v>
      </c>
      <c r="O124" s="117">
        <v>98.4</v>
      </c>
      <c r="P124" s="117">
        <v>79.3</v>
      </c>
      <c r="Q124" s="117">
        <v>79.3</v>
      </c>
      <c r="R124" s="117">
        <v>71.2</v>
      </c>
      <c r="S124" s="117">
        <v>68.2</v>
      </c>
      <c r="T124" s="117">
        <v>75</v>
      </c>
      <c r="U124" s="117">
        <v>88</v>
      </c>
      <c r="V124" s="117">
        <v>63.6</v>
      </c>
      <c r="W124" s="117">
        <v>79.900000000000006</v>
      </c>
      <c r="X124" s="117">
        <v>105.7</v>
      </c>
      <c r="Y124" s="117">
        <v>96</v>
      </c>
      <c r="Z124" s="117">
        <v>81</v>
      </c>
      <c r="AA124" s="117"/>
      <c r="AB124" s="117">
        <v>69.599999999999994</v>
      </c>
      <c r="AC124" s="117">
        <v>78.599999999999994</v>
      </c>
      <c r="AD124" s="117">
        <v>85.5</v>
      </c>
      <c r="AE124" s="117">
        <v>71.400000000000006</v>
      </c>
      <c r="AF124" s="117">
        <v>54.9</v>
      </c>
      <c r="AG124" s="118"/>
      <c r="AH124" s="47"/>
      <c r="AI124" s="48"/>
    </row>
    <row r="125" spans="1:35" x14ac:dyDescent="0.25">
      <c r="A125" s="182" t="s">
        <v>263</v>
      </c>
      <c r="B125" s="117">
        <v>4.5</v>
      </c>
      <c r="C125" s="117">
        <v>12.4</v>
      </c>
      <c r="D125" s="117">
        <v>16.399999999999999</v>
      </c>
      <c r="E125" s="117">
        <v>15.5</v>
      </c>
      <c r="F125" s="117">
        <v>14.8</v>
      </c>
      <c r="G125" s="117">
        <v>-19.8</v>
      </c>
      <c r="H125" s="117">
        <v>-28</v>
      </c>
      <c r="I125" s="117">
        <v>-28.5</v>
      </c>
      <c r="J125" s="117">
        <v>-27.7</v>
      </c>
      <c r="K125" s="117">
        <v>-48.3</v>
      </c>
      <c r="L125" s="117">
        <v>-28.9</v>
      </c>
      <c r="M125" s="117">
        <v>-29.4</v>
      </c>
      <c r="N125" s="117">
        <v>-21.5</v>
      </c>
      <c r="O125" s="117">
        <v>2.4</v>
      </c>
      <c r="P125" s="117"/>
      <c r="Q125" s="117"/>
      <c r="R125" s="117"/>
      <c r="S125" s="117"/>
      <c r="T125" s="117"/>
      <c r="U125" s="117"/>
      <c r="V125" s="117">
        <v>-55</v>
      </c>
      <c r="W125" s="117">
        <v>-52.2</v>
      </c>
      <c r="X125" s="117">
        <v>-39</v>
      </c>
      <c r="Y125" s="117">
        <v>-56</v>
      </c>
      <c r="Z125" s="117">
        <v>-65</v>
      </c>
      <c r="AA125" s="117"/>
      <c r="AB125" s="117">
        <v>-68.7</v>
      </c>
      <c r="AC125" s="117">
        <v>-47</v>
      </c>
      <c r="AD125" s="117">
        <v>-11.5</v>
      </c>
      <c r="AE125" s="117">
        <v>11.2</v>
      </c>
      <c r="AF125" s="117">
        <v>23.1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29.9</v>
      </c>
      <c r="C126" s="117">
        <v>30.6</v>
      </c>
      <c r="D126" s="117">
        <v>31.8</v>
      </c>
      <c r="E126" s="117">
        <v>28.4</v>
      </c>
      <c r="F126" s="117">
        <v>28.6</v>
      </c>
      <c r="G126" s="117">
        <v>16</v>
      </c>
      <c r="H126" s="117">
        <v>30</v>
      </c>
      <c r="I126" s="117">
        <v>33.299999999999997</v>
      </c>
      <c r="J126" s="117">
        <v>50.8</v>
      </c>
      <c r="K126" s="117">
        <v>59.6</v>
      </c>
      <c r="L126" s="117">
        <v>79.2</v>
      </c>
      <c r="M126" s="117">
        <v>72</v>
      </c>
      <c r="N126" s="117">
        <v>69.3</v>
      </c>
      <c r="O126" s="117">
        <v>69</v>
      </c>
      <c r="P126" s="117">
        <v>69</v>
      </c>
      <c r="Q126" s="117">
        <v>69</v>
      </c>
      <c r="R126" s="117">
        <v>70</v>
      </c>
      <c r="S126" s="117">
        <v>62.8</v>
      </c>
      <c r="T126" s="117">
        <v>72</v>
      </c>
      <c r="U126" s="117">
        <v>93</v>
      </c>
      <c r="V126" s="117">
        <v>35</v>
      </c>
      <c r="W126" s="117">
        <v>49</v>
      </c>
      <c r="X126" s="117">
        <v>75</v>
      </c>
      <c r="Y126" s="117">
        <v>69</v>
      </c>
      <c r="Z126" s="117">
        <v>71</v>
      </c>
      <c r="AA126" s="117"/>
      <c r="AB126" s="117">
        <v>49.9</v>
      </c>
      <c r="AC126" s="117">
        <v>57.6</v>
      </c>
      <c r="AD126" s="117">
        <v>75.8</v>
      </c>
      <c r="AE126" s="117">
        <v>61</v>
      </c>
      <c r="AF126" s="117">
        <v>51.4</v>
      </c>
      <c r="AG126" s="114"/>
      <c r="AH126" s="47">
        <f t="shared" si="27"/>
        <v>93</v>
      </c>
      <c r="AI126" s="48">
        <f t="shared" si="28"/>
        <v>16</v>
      </c>
    </row>
    <row r="127" spans="1:35" x14ac:dyDescent="0.25">
      <c r="A127" s="181" t="s">
        <v>264</v>
      </c>
      <c r="B127" s="117">
        <v>13.4</v>
      </c>
      <c r="C127" s="117">
        <v>13.7</v>
      </c>
      <c r="D127" s="117">
        <v>14.7</v>
      </c>
      <c r="E127" s="117">
        <v>14.5</v>
      </c>
      <c r="F127" s="117">
        <v>14.5</v>
      </c>
      <c r="G127" s="117">
        <v>4.4000000000000004</v>
      </c>
      <c r="H127" s="117">
        <v>4</v>
      </c>
      <c r="I127" s="117">
        <v>6.2</v>
      </c>
      <c r="J127" s="117">
        <v>6.6</v>
      </c>
      <c r="K127" s="117">
        <v>-1.7</v>
      </c>
      <c r="L127" s="117">
        <v>9.4</v>
      </c>
      <c r="M127" s="117">
        <v>1.2</v>
      </c>
      <c r="N127" s="117">
        <v>3.2</v>
      </c>
      <c r="O127" s="117">
        <v>16.8</v>
      </c>
      <c r="P127" s="117">
        <v>8.3000000000000007</v>
      </c>
      <c r="Q127" s="117">
        <v>8.3000000000000007</v>
      </c>
      <c r="R127" s="117">
        <v>4.2</v>
      </c>
      <c r="S127" s="117">
        <v>-11.7</v>
      </c>
      <c r="T127" s="117">
        <v>-10</v>
      </c>
      <c r="U127" s="117">
        <v>-14</v>
      </c>
      <c r="V127" s="117">
        <v>-6.7</v>
      </c>
      <c r="W127" s="117">
        <v>15.5</v>
      </c>
      <c r="X127" s="117">
        <v>16</v>
      </c>
      <c r="Y127" s="117">
        <v>24</v>
      </c>
      <c r="Z127" s="117">
        <v>21</v>
      </c>
      <c r="AA127" s="117"/>
      <c r="AB127" s="117">
        <v>10.6</v>
      </c>
      <c r="AC127" s="117">
        <v>16.2</v>
      </c>
      <c r="AD127" s="117">
        <v>24.2</v>
      </c>
      <c r="AE127" s="117">
        <v>31.5</v>
      </c>
      <c r="AF127" s="117">
        <v>25.7</v>
      </c>
      <c r="AG127" s="114"/>
      <c r="AH127" s="47">
        <f t="shared" si="27"/>
        <v>31.5</v>
      </c>
      <c r="AI127" s="48">
        <f t="shared" si="28"/>
        <v>-14</v>
      </c>
    </row>
    <row r="128" spans="1:35" x14ac:dyDescent="0.25">
      <c r="A128" s="182" t="s">
        <v>126</v>
      </c>
      <c r="B128" s="106">
        <v>5.2</v>
      </c>
      <c r="C128" s="106">
        <v>6.9</v>
      </c>
      <c r="D128" s="106">
        <v>8.1999999999999993</v>
      </c>
      <c r="E128" s="106">
        <v>7.5</v>
      </c>
      <c r="F128" s="106">
        <v>4.5</v>
      </c>
      <c r="G128" s="106">
        <v>0</v>
      </c>
      <c r="H128" s="106">
        <v>-9.5</v>
      </c>
      <c r="I128" s="106">
        <v>-11.2</v>
      </c>
      <c r="J128" s="106">
        <v>-17.2</v>
      </c>
      <c r="K128" s="106">
        <v>-23.1</v>
      </c>
      <c r="L128" s="106">
        <v>-26.9</v>
      </c>
      <c r="M128" s="106">
        <v>-30.8</v>
      </c>
      <c r="N128" s="106">
        <v>-22.2</v>
      </c>
      <c r="O128" s="106">
        <v>-14.5</v>
      </c>
      <c r="P128" s="106">
        <v>-11</v>
      </c>
      <c r="Q128" s="106">
        <v>-11</v>
      </c>
      <c r="R128" s="106">
        <v>-6.6</v>
      </c>
      <c r="S128" s="106">
        <v>5.3</v>
      </c>
      <c r="T128" s="106">
        <v>-8.8000000000000007</v>
      </c>
      <c r="U128" s="106">
        <v>-9</v>
      </c>
      <c r="V128" s="106">
        <v>-23.6</v>
      </c>
      <c r="W128" s="106">
        <v>-35.799999999999997</v>
      </c>
      <c r="X128" s="106">
        <v>-40</v>
      </c>
      <c r="Y128" s="106">
        <v>-32</v>
      </c>
      <c r="Z128" s="106">
        <v>-27</v>
      </c>
      <c r="AA128" s="106"/>
      <c r="AB128" s="106">
        <v>-15.7</v>
      </c>
      <c r="AC128" s="106">
        <v>-14.1</v>
      </c>
      <c r="AD128" s="106">
        <v>-8.6</v>
      </c>
      <c r="AE128" s="106">
        <v>-1.5</v>
      </c>
      <c r="AF128" s="106">
        <v>4.2</v>
      </c>
      <c r="AG128" s="114"/>
      <c r="AH128" s="47">
        <f t="shared" si="27"/>
        <v>8.1999999999999993</v>
      </c>
      <c r="AI128" s="48">
        <f t="shared" si="28"/>
        <v>-40</v>
      </c>
    </row>
    <row r="129" spans="1:37" x14ac:dyDescent="0.25">
      <c r="A129" s="182" t="s">
        <v>268</v>
      </c>
      <c r="B129" s="106">
        <v>40.5</v>
      </c>
      <c r="C129" s="106">
        <v>39.799999999999997</v>
      </c>
      <c r="D129" s="106">
        <v>40</v>
      </c>
      <c r="E129" s="106">
        <v>40</v>
      </c>
      <c r="F129" s="106">
        <v>36.5</v>
      </c>
      <c r="G129" s="106">
        <v>55.5</v>
      </c>
      <c r="H129" s="106">
        <v>50.6</v>
      </c>
      <c r="I129" s="106">
        <v>45.3</v>
      </c>
      <c r="J129" s="106">
        <v>33.1</v>
      </c>
      <c r="K129" s="106">
        <v>19.3</v>
      </c>
      <c r="L129" s="106">
        <v>2.6</v>
      </c>
      <c r="M129" s="106">
        <v>9.6</v>
      </c>
      <c r="N129" s="106">
        <v>18.2</v>
      </c>
      <c r="O129" s="106">
        <v>11.5</v>
      </c>
      <c r="P129" s="106">
        <v>24.7</v>
      </c>
      <c r="Q129" s="106">
        <v>24.7</v>
      </c>
      <c r="R129" s="106">
        <v>23.4</v>
      </c>
      <c r="S129" s="106">
        <v>20.5</v>
      </c>
      <c r="T129" s="106">
        <v>15</v>
      </c>
      <c r="U129" s="106">
        <v>3.3</v>
      </c>
      <c r="V129" s="106">
        <v>48.2</v>
      </c>
      <c r="W129" s="106">
        <v>19.899999999999999</v>
      </c>
      <c r="X129" s="106">
        <v>-1.2</v>
      </c>
      <c r="Y129" s="106">
        <v>2.6</v>
      </c>
      <c r="Z129" s="106">
        <v>8.8000000000000007</v>
      </c>
      <c r="AA129" s="106"/>
      <c r="AB129" s="106">
        <v>35.9</v>
      </c>
      <c r="AC129" s="106">
        <v>18.8</v>
      </c>
      <c r="AD129" s="106">
        <v>10</v>
      </c>
      <c r="AE129" s="106">
        <v>12.9</v>
      </c>
      <c r="AF129" s="106">
        <v>29.8</v>
      </c>
      <c r="AG129" s="114"/>
      <c r="AH129" s="47">
        <f t="shared" si="27"/>
        <v>55.5</v>
      </c>
      <c r="AI129" s="48">
        <f t="shared" si="28"/>
        <v>-1.2</v>
      </c>
    </row>
    <row r="130" spans="1:37" ht="15.75" thickBot="1" x14ac:dyDescent="0.3">
      <c r="A130" s="182" t="s">
        <v>265</v>
      </c>
      <c r="B130" s="106">
        <v>72.5</v>
      </c>
      <c r="C130" s="106">
        <v>70.5</v>
      </c>
      <c r="D130" s="106">
        <v>71.3</v>
      </c>
      <c r="E130" s="106">
        <v>64.3</v>
      </c>
      <c r="F130" s="106">
        <v>60.3</v>
      </c>
      <c r="G130" s="106">
        <v>73.900000000000006</v>
      </c>
      <c r="H130" s="106">
        <v>86.7</v>
      </c>
      <c r="I130" s="106">
        <v>88.4</v>
      </c>
      <c r="J130" s="106">
        <v>99.2</v>
      </c>
      <c r="K130" s="106">
        <v>91.2</v>
      </c>
      <c r="L130" s="106">
        <v>100.5</v>
      </c>
      <c r="M130" s="106">
        <v>105.2</v>
      </c>
      <c r="N130" s="106">
        <v>101</v>
      </c>
      <c r="O130" s="106">
        <v>95</v>
      </c>
      <c r="P130" s="106">
        <v>90</v>
      </c>
      <c r="Q130" s="106">
        <v>90</v>
      </c>
      <c r="R130" s="106">
        <v>75.3</v>
      </c>
      <c r="S130" s="106">
        <v>65.3</v>
      </c>
      <c r="T130" s="106">
        <v>83</v>
      </c>
      <c r="U130" s="106">
        <v>87</v>
      </c>
      <c r="V130" s="106">
        <v>96.9</v>
      </c>
      <c r="W130" s="106">
        <v>108.2</v>
      </c>
      <c r="X130" s="106">
        <v>89</v>
      </c>
      <c r="Y130" s="106">
        <v>100</v>
      </c>
      <c r="Z130" s="106">
        <v>92.9</v>
      </c>
      <c r="AA130" s="106"/>
      <c r="AB130" s="106">
        <v>92.5</v>
      </c>
      <c r="AC130" s="106">
        <v>91.5</v>
      </c>
      <c r="AD130" s="106">
        <v>83.4</v>
      </c>
      <c r="AE130" s="106">
        <v>79.3</v>
      </c>
      <c r="AF130" s="106">
        <v>75.8</v>
      </c>
      <c r="AG130" s="114"/>
      <c r="AH130" s="47">
        <f t="shared" si="27"/>
        <v>108.2</v>
      </c>
      <c r="AI130" s="48">
        <f t="shared" si="28"/>
        <v>60.3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243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244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245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ht="15.75" thickBot="1" x14ac:dyDescent="0.3">
      <c r="A135" s="199" t="s">
        <v>246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9"/>
      <c r="AG135" s="153"/>
      <c r="AH135" s="47"/>
      <c r="AI135" s="48"/>
    </row>
    <row r="136" spans="1:37" ht="15.75" thickBot="1" x14ac:dyDescent="0.3">
      <c r="A136" s="122" t="s">
        <v>129</v>
      </c>
      <c r="B136" s="123"/>
      <c r="C136" s="123"/>
      <c r="D136" s="123"/>
      <c r="E136" s="123"/>
      <c r="F136" s="176" t="s">
        <v>258</v>
      </c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83"/>
      <c r="AH136" s="47"/>
      <c r="AI136" s="48"/>
      <c r="AK136" s="50"/>
    </row>
    <row r="137" spans="1:37" x14ac:dyDescent="0.25">
      <c r="A137" s="125" t="s">
        <v>130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>
        <v>9.94</v>
      </c>
      <c r="AH137" s="47"/>
      <c r="AI137" s="48"/>
      <c r="AK137" s="50"/>
    </row>
    <row r="138" spans="1:37" x14ac:dyDescent="0.25">
      <c r="A138" s="103" t="s">
        <v>131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132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133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134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135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136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137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138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139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140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141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142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143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144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145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146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1">
        <v>9.9</v>
      </c>
      <c r="AH153" s="47"/>
      <c r="AI153" s="48"/>
      <c r="AK153" s="50"/>
    </row>
    <row r="154" spans="1:37" x14ac:dyDescent="0.25">
      <c r="A154" s="116" t="s">
        <v>147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9.6579999999999995</v>
      </c>
      <c r="AH154" s="47"/>
      <c r="AI154" s="48"/>
      <c r="AK154" s="50"/>
    </row>
    <row r="155" spans="1:37" x14ac:dyDescent="0.25">
      <c r="A155" s="116" t="s">
        <v>148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9.6</v>
      </c>
      <c r="AH155" s="47"/>
      <c r="AI155" s="48"/>
      <c r="AK155" s="50"/>
    </row>
    <row r="156" spans="1:37" x14ac:dyDescent="0.25">
      <c r="A156" s="116" t="s">
        <v>149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9.51</v>
      </c>
      <c r="AH156" s="47"/>
      <c r="AI156" s="48"/>
      <c r="AK156" s="50"/>
    </row>
    <row r="157" spans="1:37" x14ac:dyDescent="0.25">
      <c r="A157" s="116" t="s">
        <v>150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9.4</v>
      </c>
      <c r="AH157" s="47"/>
      <c r="AI157" s="48"/>
      <c r="AK157" s="50"/>
    </row>
    <row r="158" spans="1:37" x14ac:dyDescent="0.25">
      <c r="A158" s="116" t="s">
        <v>151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8.8000000000000007</v>
      </c>
      <c r="AH158" s="47"/>
      <c r="AI158" s="48"/>
      <c r="AK158" s="50"/>
    </row>
    <row r="159" spans="1:37" x14ac:dyDescent="0.25">
      <c r="A159" s="116" t="s">
        <v>152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8.5</v>
      </c>
      <c r="AH159" s="47"/>
      <c r="AI159" s="48"/>
      <c r="AK159" s="50"/>
    </row>
    <row r="160" spans="1:37" x14ac:dyDescent="0.25">
      <c r="A160" s="116" t="s">
        <v>153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8.5</v>
      </c>
      <c r="AH160" s="47"/>
      <c r="AI160" s="48"/>
      <c r="AK160" s="50"/>
    </row>
    <row r="161" spans="1:37" x14ac:dyDescent="0.25">
      <c r="A161" s="116" t="s">
        <v>154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8.4</v>
      </c>
      <c r="AH161" s="47"/>
      <c r="AI161" s="48"/>
      <c r="AK161" s="50"/>
    </row>
    <row r="162" spans="1:37" ht="13.5" customHeight="1" x14ac:dyDescent="0.25">
      <c r="A162" s="116" t="s">
        <v>155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</v>
      </c>
      <c r="AH162" s="47"/>
      <c r="AI162" s="48"/>
      <c r="AK162" s="50"/>
    </row>
    <row r="163" spans="1:37" x14ac:dyDescent="0.25">
      <c r="A163" s="116" t="s">
        <v>156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</v>
      </c>
      <c r="AH163" s="47"/>
      <c r="AI163" s="48"/>
      <c r="AK163" s="50"/>
    </row>
    <row r="164" spans="1:37" x14ac:dyDescent="0.25">
      <c r="A164" s="116" t="s">
        <v>157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158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7.8</v>
      </c>
      <c r="AH165" s="47"/>
      <c r="AI165" s="48"/>
      <c r="AK165" s="50"/>
    </row>
    <row r="166" spans="1:37" x14ac:dyDescent="0.25">
      <c r="A166" s="116" t="s">
        <v>159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7.6</v>
      </c>
      <c r="AH166" s="47"/>
      <c r="AI166" s="48"/>
      <c r="AK166" s="50"/>
    </row>
    <row r="167" spans="1:37" x14ac:dyDescent="0.25">
      <c r="A167" s="116" t="s">
        <v>160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7.5</v>
      </c>
      <c r="AH167" s="47"/>
      <c r="AI167" s="48"/>
      <c r="AK167" s="50"/>
    </row>
    <row r="168" spans="1:37" x14ac:dyDescent="0.25">
      <c r="A168" s="116" t="s">
        <v>161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7.5</v>
      </c>
      <c r="AH168" s="47"/>
      <c r="AI168" s="48"/>
      <c r="AK168" s="50"/>
    </row>
    <row r="169" spans="1:37" x14ac:dyDescent="0.25">
      <c r="A169" s="116" t="s">
        <v>162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</v>
      </c>
      <c r="AH169" s="47"/>
      <c r="AI169" s="48"/>
      <c r="AK169" s="50"/>
    </row>
    <row r="170" spans="1:37" x14ac:dyDescent="0.25">
      <c r="A170" s="116" t="s">
        <v>163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</v>
      </c>
      <c r="AH170" s="47"/>
      <c r="AI170" s="48"/>
      <c r="AK170" s="50"/>
    </row>
    <row r="171" spans="1:37" x14ac:dyDescent="0.25">
      <c r="A171" s="116" t="s">
        <v>164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165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166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6.6</v>
      </c>
      <c r="AH173" s="47"/>
      <c r="AI173" s="48"/>
      <c r="AK173" s="50"/>
    </row>
    <row r="174" spans="1:37" x14ac:dyDescent="0.25">
      <c r="A174" s="116" t="s">
        <v>167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6.6</v>
      </c>
      <c r="AH174" s="47"/>
      <c r="AI174" s="48"/>
      <c r="AK174" s="50"/>
    </row>
    <row r="175" spans="1:37" x14ac:dyDescent="0.25">
      <c r="A175" s="116" t="s">
        <v>168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6.4</v>
      </c>
      <c r="AH175" s="47"/>
      <c r="AI175" s="48"/>
      <c r="AK175" s="50"/>
    </row>
    <row r="176" spans="1:37" x14ac:dyDescent="0.25">
      <c r="A176" s="116" t="s">
        <v>169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</v>
      </c>
      <c r="AH176" s="47"/>
      <c r="AI176" s="48"/>
      <c r="AK176" s="50"/>
    </row>
    <row r="177" spans="1:37" x14ac:dyDescent="0.25">
      <c r="A177" s="116" t="s">
        <v>170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5.0999999999999996</v>
      </c>
      <c r="AH177" s="47"/>
      <c r="AI177" s="48"/>
      <c r="AK177" s="50"/>
    </row>
    <row r="178" spans="1:37" x14ac:dyDescent="0.25">
      <c r="A178" s="116" t="s">
        <v>171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03" t="s">
        <v>172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1">
        <v>5</v>
      </c>
      <c r="AH179" s="47"/>
      <c r="AI179" s="48"/>
      <c r="AK179" s="50"/>
    </row>
    <row r="180" spans="1:37" x14ac:dyDescent="0.25">
      <c r="A180" s="116" t="s">
        <v>173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16" t="s">
        <v>174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5</v>
      </c>
      <c r="AH181" s="47"/>
      <c r="AI181" s="48"/>
      <c r="AK181" s="50"/>
    </row>
    <row r="182" spans="1:37" x14ac:dyDescent="0.25">
      <c r="A182" s="116" t="s">
        <v>175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176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177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178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4.9930000000000003</v>
      </c>
      <c r="AH185" s="47"/>
      <c r="AI185" s="48"/>
      <c r="AK185" s="50"/>
    </row>
    <row r="186" spans="1:37" x14ac:dyDescent="0.25">
      <c r="A186" s="116" t="s">
        <v>179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4.9800000000000004</v>
      </c>
      <c r="AH186" s="47"/>
      <c r="AI186" s="48"/>
      <c r="AK186" s="50"/>
    </row>
    <row r="187" spans="1:37" x14ac:dyDescent="0.25">
      <c r="A187" s="116" t="s">
        <v>180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4.95</v>
      </c>
      <c r="AH187" s="47"/>
      <c r="AI187" s="48"/>
      <c r="AK187" s="50"/>
    </row>
    <row r="188" spans="1:37" x14ac:dyDescent="0.25">
      <c r="A188" s="116" t="s">
        <v>181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4.95</v>
      </c>
      <c r="AH188" s="47"/>
      <c r="AI188" s="48"/>
      <c r="AK188" s="50"/>
    </row>
    <row r="189" spans="1:37" x14ac:dyDescent="0.25">
      <c r="A189" s="116" t="s">
        <v>182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4.8</v>
      </c>
      <c r="AH189" s="47"/>
      <c r="AI189" s="48"/>
      <c r="AK189" s="50"/>
    </row>
    <row r="190" spans="1:37" x14ac:dyDescent="0.25">
      <c r="A190" s="116" t="s">
        <v>183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4.8</v>
      </c>
      <c r="AH190" s="47"/>
      <c r="AI190" s="48"/>
      <c r="AK190" s="50"/>
    </row>
    <row r="191" spans="1:37" x14ac:dyDescent="0.25">
      <c r="A191" s="116" t="s">
        <v>184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185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4.5</v>
      </c>
      <c r="AH192" s="47"/>
      <c r="AI192" s="48"/>
      <c r="AK192" s="50"/>
    </row>
    <row r="193" spans="1:37" x14ac:dyDescent="0.25">
      <c r="A193" s="116" t="s">
        <v>186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4.5</v>
      </c>
      <c r="AH193" s="47"/>
      <c r="AI193" s="48"/>
      <c r="AK193" s="50"/>
    </row>
    <row r="194" spans="1:37" x14ac:dyDescent="0.25">
      <c r="A194" s="116" t="s">
        <v>187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4.4550000000000001</v>
      </c>
      <c r="AH194" s="47"/>
      <c r="AI194" s="48"/>
      <c r="AK194" s="50"/>
    </row>
    <row r="195" spans="1:37" x14ac:dyDescent="0.25">
      <c r="A195" s="116" t="s">
        <v>188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4.41</v>
      </c>
      <c r="AH195" s="47"/>
      <c r="AI195" s="48"/>
      <c r="AK195" s="50"/>
    </row>
    <row r="196" spans="1:37" x14ac:dyDescent="0.25">
      <c r="A196" s="116" t="s">
        <v>189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4.4000000000000004</v>
      </c>
      <c r="AH196" s="47"/>
      <c r="AI196" s="48"/>
      <c r="AK196" s="50"/>
    </row>
    <row r="197" spans="1:37" x14ac:dyDescent="0.25">
      <c r="A197" s="116" t="s">
        <v>190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4.3600000000000003</v>
      </c>
      <c r="AH197" s="47"/>
      <c r="AI197" s="48"/>
      <c r="AK197" s="50"/>
    </row>
    <row r="198" spans="1:37" x14ac:dyDescent="0.25">
      <c r="A198" s="116" t="s">
        <v>191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4.2</v>
      </c>
      <c r="AH198" s="47"/>
      <c r="AI198" s="48"/>
      <c r="AK198" s="50"/>
    </row>
    <row r="199" spans="1:37" x14ac:dyDescent="0.25">
      <c r="A199" s="116" t="s">
        <v>192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193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194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195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196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197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198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199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200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3.75</v>
      </c>
      <c r="AH207" s="47"/>
      <c r="AI207" s="48"/>
      <c r="AK207" s="50"/>
    </row>
    <row r="208" spans="1:37" x14ac:dyDescent="0.25">
      <c r="A208" s="116" t="s">
        <v>201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3.52</v>
      </c>
      <c r="AH208" s="47"/>
      <c r="AI208" s="48"/>
      <c r="AK208" s="50"/>
    </row>
    <row r="209" spans="1:37" x14ac:dyDescent="0.25">
      <c r="A209" s="116" t="s">
        <v>202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3.33</v>
      </c>
      <c r="AH209" s="47"/>
      <c r="AI209" s="48"/>
      <c r="AK209" s="50"/>
    </row>
    <row r="210" spans="1:37" x14ac:dyDescent="0.25">
      <c r="A210" s="116" t="s">
        <v>203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3.2</v>
      </c>
      <c r="AH210" s="47"/>
      <c r="AI210" s="48"/>
      <c r="AK210" s="50"/>
    </row>
    <row r="211" spans="1:37" x14ac:dyDescent="0.25">
      <c r="A211" s="116" t="s">
        <v>204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205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206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207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208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209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210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211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212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2.83</v>
      </c>
      <c r="AH219" s="47"/>
      <c r="AI219" s="48"/>
      <c r="AK219" s="50"/>
    </row>
    <row r="220" spans="1:37" x14ac:dyDescent="0.25">
      <c r="A220" s="116" t="s">
        <v>213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2.5</v>
      </c>
      <c r="AH220" s="47"/>
      <c r="AI220" s="48"/>
      <c r="AK220" s="50"/>
    </row>
    <row r="221" spans="1:37" x14ac:dyDescent="0.25">
      <c r="A221" s="116" t="s">
        <v>214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2.5</v>
      </c>
      <c r="AH221" s="47"/>
      <c r="AI221" s="48"/>
      <c r="AK221" s="50"/>
    </row>
    <row r="222" spans="1:37" x14ac:dyDescent="0.25">
      <c r="A222" s="116" t="s">
        <v>215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2.4</v>
      </c>
      <c r="AH222" s="47"/>
      <c r="AI222" s="48"/>
      <c r="AK222" s="50"/>
    </row>
    <row r="223" spans="1:37" x14ac:dyDescent="0.25">
      <c r="A223" s="116" t="s">
        <v>216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2.4</v>
      </c>
      <c r="AH223" s="47"/>
      <c r="AI223" s="48"/>
      <c r="AK223" s="50"/>
    </row>
    <row r="224" spans="1:37" x14ac:dyDescent="0.25">
      <c r="A224" s="116" t="s">
        <v>217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2.2000000000000002</v>
      </c>
      <c r="AH224" s="47"/>
      <c r="AI224" s="48"/>
      <c r="AK224" s="50"/>
    </row>
    <row r="225" spans="1:37" x14ac:dyDescent="0.25">
      <c r="A225" s="116" t="s">
        <v>218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</v>
      </c>
      <c r="AH225" s="47"/>
      <c r="AI225" s="48"/>
      <c r="AK225" s="50"/>
    </row>
    <row r="226" spans="1:37" x14ac:dyDescent="0.25">
      <c r="A226" s="116" t="s">
        <v>219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</v>
      </c>
      <c r="AH226" s="47"/>
      <c r="AI226" s="48"/>
      <c r="AK226" s="50"/>
    </row>
    <row r="227" spans="1:37" x14ac:dyDescent="0.25">
      <c r="A227" s="116" t="s">
        <v>220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221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1.8</v>
      </c>
      <c r="AH228" s="47"/>
      <c r="AI228" s="48"/>
      <c r="AK228" s="50"/>
    </row>
    <row r="229" spans="1:37" x14ac:dyDescent="0.25">
      <c r="A229" s="116" t="s">
        <v>222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1.8</v>
      </c>
      <c r="AH229" s="47"/>
      <c r="AI229" s="48"/>
      <c r="AK229" s="50"/>
    </row>
    <row r="230" spans="1:37" x14ac:dyDescent="0.25">
      <c r="A230" s="116" t="s">
        <v>223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1.65</v>
      </c>
      <c r="AH230" s="47"/>
      <c r="AI230" s="48"/>
      <c r="AK230" s="50"/>
    </row>
    <row r="231" spans="1:37" x14ac:dyDescent="0.25">
      <c r="A231" s="116" t="s">
        <v>224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1.5</v>
      </c>
      <c r="AH231" s="47"/>
      <c r="AI231" s="48"/>
      <c r="AK231" s="50"/>
    </row>
    <row r="232" spans="1:37" x14ac:dyDescent="0.25">
      <c r="A232" s="116" t="s">
        <v>225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0.998</v>
      </c>
      <c r="AH232" s="47"/>
      <c r="AI232" s="48"/>
      <c r="AK232" s="50"/>
    </row>
    <row r="233" spans="1:37" x14ac:dyDescent="0.25">
      <c r="A233" s="116" t="s">
        <v>226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0.997</v>
      </c>
      <c r="AH233" s="47"/>
      <c r="AI233" s="48"/>
      <c r="AK233" s="50"/>
    </row>
    <row r="234" spans="1:37" x14ac:dyDescent="0.25">
      <c r="A234" s="116" t="s">
        <v>227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0.997</v>
      </c>
      <c r="AH234" s="47"/>
      <c r="AI234" s="48"/>
      <c r="AK234" s="50"/>
    </row>
    <row r="235" spans="1:37" x14ac:dyDescent="0.25">
      <c r="A235" s="116" t="s">
        <v>228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0.996</v>
      </c>
      <c r="AH235" s="47"/>
      <c r="AI235" s="48"/>
      <c r="AK235" s="50"/>
    </row>
    <row r="236" spans="1:37" x14ac:dyDescent="0.25">
      <c r="A236" s="116" t="s">
        <v>229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0.996</v>
      </c>
      <c r="AH236" s="47"/>
      <c r="AI236" s="48"/>
      <c r="AK236" s="50"/>
    </row>
    <row r="237" spans="1:37" x14ac:dyDescent="0.25">
      <c r="A237" s="116" t="s">
        <v>230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231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0.995</v>
      </c>
      <c r="AH238" s="47"/>
      <c r="AI238" s="48"/>
      <c r="AK238" s="50"/>
    </row>
    <row r="239" spans="1:37" x14ac:dyDescent="0.25">
      <c r="A239" s="116" t="s">
        <v>232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0.99299999999999999</v>
      </c>
      <c r="AH239" s="47"/>
      <c r="AI239" s="48"/>
      <c r="AK239" s="50"/>
    </row>
    <row r="240" spans="1:37" x14ac:dyDescent="0.25">
      <c r="A240" s="116" t="s">
        <v>233</v>
      </c>
      <c r="B240" s="129"/>
      <c r="C240" s="127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</v>
      </c>
      <c r="AH240" s="47"/>
      <c r="AI240" s="48"/>
      <c r="AK240" s="50"/>
    </row>
    <row r="241" spans="1:37" ht="15.75" thickBot="1" x14ac:dyDescent="0.3">
      <c r="A241" s="116" t="s">
        <v>234</v>
      </c>
      <c r="B241" s="133"/>
      <c r="C241" s="134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2">
        <v>0.97899999999999998</v>
      </c>
      <c r="AH241" s="47"/>
      <c r="AI241" s="48"/>
      <c r="AK241" s="50"/>
    </row>
    <row r="242" spans="1:37" ht="15.75" thickBot="1" x14ac:dyDescent="0.3">
      <c r="A242" s="135" t="s">
        <v>235</v>
      </c>
      <c r="B242" s="136">
        <f t="shared" ref="B242:AG242" si="71">SUM(B137:B241)</f>
        <v>0</v>
      </c>
      <c r="C242" s="137">
        <f t="shared" si="71"/>
        <v>0</v>
      </c>
      <c r="D242" s="137">
        <f t="shared" si="71"/>
        <v>0</v>
      </c>
      <c r="E242" s="137">
        <f t="shared" si="71"/>
        <v>0</v>
      </c>
      <c r="F242" s="137">
        <f t="shared" si="71"/>
        <v>0</v>
      </c>
      <c r="G242" s="137">
        <f t="shared" si="71"/>
        <v>0</v>
      </c>
      <c r="H242" s="137">
        <f t="shared" si="71"/>
        <v>0</v>
      </c>
      <c r="I242" s="137">
        <f t="shared" si="71"/>
        <v>0</v>
      </c>
      <c r="J242" s="137">
        <f t="shared" si="71"/>
        <v>0</v>
      </c>
      <c r="K242" s="137">
        <f t="shared" si="71"/>
        <v>0</v>
      </c>
      <c r="L242" s="137">
        <f t="shared" si="71"/>
        <v>0</v>
      </c>
      <c r="M242" s="137">
        <f t="shared" si="71"/>
        <v>0</v>
      </c>
      <c r="N242" s="137">
        <f t="shared" si="71"/>
        <v>0</v>
      </c>
      <c r="O242" s="137">
        <f t="shared" si="71"/>
        <v>0</v>
      </c>
      <c r="P242" s="137">
        <f t="shared" si="71"/>
        <v>0</v>
      </c>
      <c r="Q242" s="137">
        <f t="shared" si="71"/>
        <v>0</v>
      </c>
      <c r="R242" s="137">
        <f t="shared" si="71"/>
        <v>0</v>
      </c>
      <c r="S242" s="137">
        <f t="shared" si="71"/>
        <v>0</v>
      </c>
      <c r="T242" s="137">
        <f t="shared" si="71"/>
        <v>0</v>
      </c>
      <c r="U242" s="137">
        <f t="shared" si="71"/>
        <v>0</v>
      </c>
      <c r="V242" s="137">
        <f t="shared" si="71"/>
        <v>0</v>
      </c>
      <c r="W242" s="137">
        <f t="shared" si="71"/>
        <v>0</v>
      </c>
      <c r="X242" s="137">
        <f t="shared" si="71"/>
        <v>0</v>
      </c>
      <c r="Y242" s="137">
        <f t="shared" si="71"/>
        <v>0</v>
      </c>
      <c r="Z242" s="137">
        <f t="shared" si="71"/>
        <v>0</v>
      </c>
      <c r="AA242" s="137">
        <f t="shared" si="71"/>
        <v>0</v>
      </c>
      <c r="AB242" s="137">
        <f t="shared" si="71"/>
        <v>0</v>
      </c>
      <c r="AC242" s="137">
        <f t="shared" si="71"/>
        <v>0</v>
      </c>
      <c r="AD242" s="137">
        <f t="shared" si="71"/>
        <v>0</v>
      </c>
      <c r="AE242" s="137">
        <f t="shared" si="71"/>
        <v>0</v>
      </c>
      <c r="AF242" s="138">
        <f t="shared" si="71"/>
        <v>0</v>
      </c>
      <c r="AG242" s="139">
        <f t="shared" si="71"/>
        <v>412.72299999999984</v>
      </c>
      <c r="AH242" s="47"/>
      <c r="AI242" s="48"/>
      <c r="AK242" s="50"/>
    </row>
    <row r="243" spans="1:37" ht="15.75" thickBot="1" x14ac:dyDescent="0.3">
      <c r="A243" s="26" t="s">
        <v>75</v>
      </c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19"/>
      <c r="AH243" s="47"/>
      <c r="AI243" s="48"/>
      <c r="AK243" s="50"/>
    </row>
    <row r="244" spans="1:37" x14ac:dyDescent="0.25">
      <c r="A244" s="100" t="s">
        <v>236</v>
      </c>
      <c r="B244" s="141">
        <f t="shared" ref="B244:B249" si="72">AF244</f>
        <v>0.3</v>
      </c>
      <c r="C244" s="141">
        <v>0.3</v>
      </c>
      <c r="D244" s="141">
        <f t="shared" ref="D244:S249" si="73">C244</f>
        <v>0.3</v>
      </c>
      <c r="E244" s="141">
        <f t="shared" si="73"/>
        <v>0.3</v>
      </c>
      <c r="F244" s="141">
        <f t="shared" si="73"/>
        <v>0.3</v>
      </c>
      <c r="G244" s="141">
        <f t="shared" si="73"/>
        <v>0.3</v>
      </c>
      <c r="H244" s="141">
        <f t="shared" si="73"/>
        <v>0.3</v>
      </c>
      <c r="I244" s="141">
        <f t="shared" si="73"/>
        <v>0.3</v>
      </c>
      <c r="J244" s="141">
        <f t="shared" si="73"/>
        <v>0.3</v>
      </c>
      <c r="K244" s="141">
        <f t="shared" si="73"/>
        <v>0.3</v>
      </c>
      <c r="L244" s="141">
        <f t="shared" si="73"/>
        <v>0.3</v>
      </c>
      <c r="M244" s="141">
        <f t="shared" si="73"/>
        <v>0.3</v>
      </c>
      <c r="N244" s="141">
        <f t="shared" si="73"/>
        <v>0.3</v>
      </c>
      <c r="O244" s="141">
        <f t="shared" si="73"/>
        <v>0.3</v>
      </c>
      <c r="P244" s="141">
        <f t="shared" si="73"/>
        <v>0.3</v>
      </c>
      <c r="Q244" s="141">
        <f t="shared" si="73"/>
        <v>0.3</v>
      </c>
      <c r="R244" s="141">
        <f t="shared" si="73"/>
        <v>0.3</v>
      </c>
      <c r="S244" s="141">
        <f t="shared" si="73"/>
        <v>0.3</v>
      </c>
      <c r="T244" s="141">
        <f t="shared" ref="T244:AF249" si="74">S244</f>
        <v>0.3</v>
      </c>
      <c r="U244" s="141">
        <f t="shared" si="74"/>
        <v>0.3</v>
      </c>
      <c r="V244" s="141">
        <f t="shared" si="74"/>
        <v>0.3</v>
      </c>
      <c r="W244" s="141">
        <f t="shared" si="74"/>
        <v>0.3</v>
      </c>
      <c r="X244" s="141">
        <f t="shared" si="74"/>
        <v>0.3</v>
      </c>
      <c r="Y244" s="141">
        <f t="shared" si="74"/>
        <v>0.3</v>
      </c>
      <c r="Z244" s="141">
        <f t="shared" si="74"/>
        <v>0.3</v>
      </c>
      <c r="AA244" s="141">
        <f t="shared" si="74"/>
        <v>0.3</v>
      </c>
      <c r="AB244" s="141">
        <f t="shared" si="74"/>
        <v>0.3</v>
      </c>
      <c r="AC244" s="141">
        <f t="shared" si="74"/>
        <v>0.3</v>
      </c>
      <c r="AD244" s="141">
        <f t="shared" si="74"/>
        <v>0.3</v>
      </c>
      <c r="AE244" s="141">
        <f t="shared" si="74"/>
        <v>0.3</v>
      </c>
      <c r="AF244" s="141">
        <f t="shared" si="74"/>
        <v>0.3</v>
      </c>
      <c r="AG244" s="142">
        <v>2.4</v>
      </c>
      <c r="AH244" s="47"/>
      <c r="AI244" s="48"/>
      <c r="AK244" s="50"/>
    </row>
    <row r="245" spans="1:37" x14ac:dyDescent="0.25">
      <c r="A245" s="103" t="s">
        <v>237</v>
      </c>
      <c r="B245" s="129">
        <f t="shared" si="72"/>
        <v>0.4</v>
      </c>
      <c r="C245" s="129">
        <v>0.4</v>
      </c>
      <c r="D245" s="129">
        <f t="shared" si="73"/>
        <v>0.4</v>
      </c>
      <c r="E245" s="129">
        <f t="shared" si="73"/>
        <v>0.4</v>
      </c>
      <c r="F245" s="129">
        <f t="shared" si="73"/>
        <v>0.4</v>
      </c>
      <c r="G245" s="129">
        <f t="shared" si="73"/>
        <v>0.4</v>
      </c>
      <c r="H245" s="129">
        <f t="shared" si="73"/>
        <v>0.4</v>
      </c>
      <c r="I245" s="129">
        <f t="shared" si="73"/>
        <v>0.4</v>
      </c>
      <c r="J245" s="129">
        <f t="shared" si="73"/>
        <v>0.4</v>
      </c>
      <c r="K245" s="129">
        <f t="shared" si="73"/>
        <v>0.4</v>
      </c>
      <c r="L245" s="129">
        <f t="shared" si="73"/>
        <v>0.4</v>
      </c>
      <c r="M245" s="129">
        <f t="shared" si="73"/>
        <v>0.4</v>
      </c>
      <c r="N245" s="129">
        <f t="shared" si="73"/>
        <v>0.4</v>
      </c>
      <c r="O245" s="129">
        <f t="shared" si="73"/>
        <v>0.4</v>
      </c>
      <c r="P245" s="129">
        <f t="shared" si="73"/>
        <v>0.4</v>
      </c>
      <c r="Q245" s="129">
        <f t="shared" si="73"/>
        <v>0.4</v>
      </c>
      <c r="R245" s="129">
        <f t="shared" si="73"/>
        <v>0.4</v>
      </c>
      <c r="S245" s="129">
        <f t="shared" si="73"/>
        <v>0.4</v>
      </c>
      <c r="T245" s="129">
        <f t="shared" si="74"/>
        <v>0.4</v>
      </c>
      <c r="U245" s="129">
        <f t="shared" si="74"/>
        <v>0.4</v>
      </c>
      <c r="V245" s="129">
        <f t="shared" si="74"/>
        <v>0.4</v>
      </c>
      <c r="W245" s="129">
        <f t="shared" si="74"/>
        <v>0.4</v>
      </c>
      <c r="X245" s="129">
        <f t="shared" si="74"/>
        <v>0.4</v>
      </c>
      <c r="Y245" s="129">
        <f t="shared" si="74"/>
        <v>0.4</v>
      </c>
      <c r="Z245" s="129">
        <f t="shared" si="74"/>
        <v>0.4</v>
      </c>
      <c r="AA245" s="129">
        <f t="shared" si="74"/>
        <v>0.4</v>
      </c>
      <c r="AB245" s="129">
        <f t="shared" si="74"/>
        <v>0.4</v>
      </c>
      <c r="AC245" s="129">
        <f t="shared" si="74"/>
        <v>0.4</v>
      </c>
      <c r="AD245" s="129">
        <f t="shared" si="74"/>
        <v>0.4</v>
      </c>
      <c r="AE245" s="129">
        <f t="shared" si="74"/>
        <v>0.4</v>
      </c>
      <c r="AF245" s="129">
        <f t="shared" si="74"/>
        <v>0.4</v>
      </c>
      <c r="AG245" s="143">
        <v>2</v>
      </c>
      <c r="AH245" s="47"/>
      <c r="AI245" s="48"/>
      <c r="AK245" s="50"/>
    </row>
    <row r="246" spans="1:37" x14ac:dyDescent="0.25">
      <c r="A246" s="103" t="s">
        <v>238</v>
      </c>
      <c r="B246" s="129">
        <f t="shared" si="72"/>
        <v>1.5</v>
      </c>
      <c r="C246" s="129">
        <v>1.5</v>
      </c>
      <c r="D246" s="129">
        <f t="shared" si="73"/>
        <v>1.5</v>
      </c>
      <c r="E246" s="129">
        <f t="shared" si="73"/>
        <v>1.5</v>
      </c>
      <c r="F246" s="129">
        <f t="shared" si="73"/>
        <v>1.5</v>
      </c>
      <c r="G246" s="129">
        <f t="shared" si="73"/>
        <v>1.5</v>
      </c>
      <c r="H246" s="129">
        <f t="shared" si="73"/>
        <v>1.5</v>
      </c>
      <c r="I246" s="129">
        <f t="shared" si="73"/>
        <v>1.5</v>
      </c>
      <c r="J246" s="129">
        <f t="shared" si="73"/>
        <v>1.5</v>
      </c>
      <c r="K246" s="129">
        <f t="shared" si="73"/>
        <v>1.5</v>
      </c>
      <c r="L246" s="129">
        <f t="shared" si="73"/>
        <v>1.5</v>
      </c>
      <c r="M246" s="129">
        <f t="shared" si="73"/>
        <v>1.5</v>
      </c>
      <c r="N246" s="129">
        <f t="shared" si="73"/>
        <v>1.5</v>
      </c>
      <c r="O246" s="129">
        <f t="shared" si="73"/>
        <v>1.5</v>
      </c>
      <c r="P246" s="129">
        <f t="shared" si="73"/>
        <v>1.5</v>
      </c>
      <c r="Q246" s="129">
        <f t="shared" si="73"/>
        <v>1.5</v>
      </c>
      <c r="R246" s="129">
        <f t="shared" si="73"/>
        <v>1.5</v>
      </c>
      <c r="S246" s="129">
        <f t="shared" si="73"/>
        <v>1.5</v>
      </c>
      <c r="T246" s="129">
        <f t="shared" si="74"/>
        <v>1.5</v>
      </c>
      <c r="U246" s="129">
        <f t="shared" si="74"/>
        <v>1.5</v>
      </c>
      <c r="V246" s="129">
        <f t="shared" si="74"/>
        <v>1.5</v>
      </c>
      <c r="W246" s="129">
        <f t="shared" si="74"/>
        <v>1.5</v>
      </c>
      <c r="X246" s="129">
        <f t="shared" si="74"/>
        <v>1.5</v>
      </c>
      <c r="Y246" s="129">
        <f t="shared" si="74"/>
        <v>1.5</v>
      </c>
      <c r="Z246" s="129">
        <f t="shared" si="74"/>
        <v>1.5</v>
      </c>
      <c r="AA246" s="129">
        <f t="shared" si="74"/>
        <v>1.5</v>
      </c>
      <c r="AB246" s="129">
        <f t="shared" si="74"/>
        <v>1.5</v>
      </c>
      <c r="AC246" s="129">
        <f t="shared" si="74"/>
        <v>1.5</v>
      </c>
      <c r="AD246" s="129">
        <f t="shared" si="74"/>
        <v>1.5</v>
      </c>
      <c r="AE246" s="129">
        <f t="shared" si="74"/>
        <v>1.5</v>
      </c>
      <c r="AF246" s="129">
        <f t="shared" si="74"/>
        <v>1.5</v>
      </c>
      <c r="AG246" s="143">
        <v>1.5</v>
      </c>
      <c r="AH246" s="47"/>
      <c r="AI246" s="48"/>
      <c r="AK246" s="50"/>
    </row>
    <row r="247" spans="1:37" x14ac:dyDescent="0.25">
      <c r="A247" s="103" t="s">
        <v>239</v>
      </c>
      <c r="B247" s="129">
        <f t="shared" si="72"/>
        <v>0.3</v>
      </c>
      <c r="C247" s="129">
        <v>0.3</v>
      </c>
      <c r="D247" s="129">
        <f t="shared" si="73"/>
        <v>0.3</v>
      </c>
      <c r="E247" s="129">
        <f t="shared" si="73"/>
        <v>0.3</v>
      </c>
      <c r="F247" s="129">
        <f t="shared" si="73"/>
        <v>0.3</v>
      </c>
      <c r="G247" s="129">
        <f t="shared" si="73"/>
        <v>0.3</v>
      </c>
      <c r="H247" s="129">
        <f t="shared" si="73"/>
        <v>0.3</v>
      </c>
      <c r="I247" s="129">
        <f t="shared" si="73"/>
        <v>0.3</v>
      </c>
      <c r="J247" s="129">
        <f t="shared" si="73"/>
        <v>0.3</v>
      </c>
      <c r="K247" s="129">
        <f t="shared" si="73"/>
        <v>0.3</v>
      </c>
      <c r="L247" s="129">
        <f t="shared" si="73"/>
        <v>0.3</v>
      </c>
      <c r="M247" s="129">
        <f t="shared" si="73"/>
        <v>0.3</v>
      </c>
      <c r="N247" s="129">
        <f t="shared" si="73"/>
        <v>0.3</v>
      </c>
      <c r="O247" s="129">
        <f t="shared" si="73"/>
        <v>0.3</v>
      </c>
      <c r="P247" s="129">
        <f t="shared" si="73"/>
        <v>0.3</v>
      </c>
      <c r="Q247" s="129">
        <f t="shared" si="73"/>
        <v>0.3</v>
      </c>
      <c r="R247" s="129">
        <f t="shared" si="73"/>
        <v>0.3</v>
      </c>
      <c r="S247" s="129">
        <f t="shared" si="73"/>
        <v>0.3</v>
      </c>
      <c r="T247" s="129">
        <f t="shared" si="74"/>
        <v>0.3</v>
      </c>
      <c r="U247" s="129">
        <f t="shared" si="74"/>
        <v>0.3</v>
      </c>
      <c r="V247" s="129">
        <f t="shared" si="74"/>
        <v>0.3</v>
      </c>
      <c r="W247" s="129">
        <f t="shared" si="74"/>
        <v>0.3</v>
      </c>
      <c r="X247" s="129">
        <f t="shared" si="74"/>
        <v>0.3</v>
      </c>
      <c r="Y247" s="129">
        <f t="shared" si="74"/>
        <v>0.3</v>
      </c>
      <c r="Z247" s="129">
        <f t="shared" si="74"/>
        <v>0.3</v>
      </c>
      <c r="AA247" s="129">
        <f t="shared" si="74"/>
        <v>0.3</v>
      </c>
      <c r="AB247" s="129">
        <f t="shared" si="74"/>
        <v>0.3</v>
      </c>
      <c r="AC247" s="129">
        <f t="shared" si="74"/>
        <v>0.3</v>
      </c>
      <c r="AD247" s="129">
        <f t="shared" si="74"/>
        <v>0.3</v>
      </c>
      <c r="AE247" s="129">
        <f t="shared" si="74"/>
        <v>0.3</v>
      </c>
      <c r="AF247" s="129">
        <f t="shared" si="74"/>
        <v>0.3</v>
      </c>
      <c r="AG247" s="143">
        <v>1</v>
      </c>
      <c r="AH247" s="47"/>
      <c r="AI247" s="48"/>
      <c r="AK247" s="50"/>
    </row>
    <row r="248" spans="1:37" x14ac:dyDescent="0.25">
      <c r="A248" s="103" t="s">
        <v>240</v>
      </c>
      <c r="B248" s="129">
        <f t="shared" si="72"/>
        <v>0.4</v>
      </c>
      <c r="C248" s="129">
        <v>0.4</v>
      </c>
      <c r="D248" s="129">
        <f t="shared" si="73"/>
        <v>0.4</v>
      </c>
      <c r="E248" s="129">
        <f t="shared" si="73"/>
        <v>0.4</v>
      </c>
      <c r="F248" s="129">
        <f t="shared" si="73"/>
        <v>0.4</v>
      </c>
      <c r="G248" s="129">
        <f t="shared" si="73"/>
        <v>0.4</v>
      </c>
      <c r="H248" s="129">
        <f t="shared" si="73"/>
        <v>0.4</v>
      </c>
      <c r="I248" s="129">
        <f t="shared" si="73"/>
        <v>0.4</v>
      </c>
      <c r="J248" s="129">
        <f t="shared" si="73"/>
        <v>0.4</v>
      </c>
      <c r="K248" s="129">
        <f t="shared" si="73"/>
        <v>0.4</v>
      </c>
      <c r="L248" s="129">
        <f t="shared" si="73"/>
        <v>0.4</v>
      </c>
      <c r="M248" s="129">
        <f t="shared" si="73"/>
        <v>0.4</v>
      </c>
      <c r="N248" s="129">
        <f t="shared" si="73"/>
        <v>0.4</v>
      </c>
      <c r="O248" s="129">
        <f t="shared" si="73"/>
        <v>0.4</v>
      </c>
      <c r="P248" s="129">
        <f t="shared" si="73"/>
        <v>0.4</v>
      </c>
      <c r="Q248" s="129">
        <f t="shared" si="73"/>
        <v>0.4</v>
      </c>
      <c r="R248" s="129">
        <f t="shared" si="73"/>
        <v>0.4</v>
      </c>
      <c r="S248" s="129">
        <f t="shared" si="73"/>
        <v>0.4</v>
      </c>
      <c r="T248" s="129">
        <f t="shared" si="74"/>
        <v>0.4</v>
      </c>
      <c r="U248" s="129">
        <f t="shared" si="74"/>
        <v>0.4</v>
      </c>
      <c r="V248" s="129">
        <f t="shared" si="74"/>
        <v>0.4</v>
      </c>
      <c r="W248" s="129">
        <f t="shared" si="74"/>
        <v>0.4</v>
      </c>
      <c r="X248" s="129">
        <f t="shared" si="74"/>
        <v>0.4</v>
      </c>
      <c r="Y248" s="129">
        <f t="shared" si="74"/>
        <v>0.4</v>
      </c>
      <c r="Z248" s="129">
        <f t="shared" si="74"/>
        <v>0.4</v>
      </c>
      <c r="AA248" s="129">
        <f t="shared" si="74"/>
        <v>0.4</v>
      </c>
      <c r="AB248" s="129">
        <f t="shared" si="74"/>
        <v>0.4</v>
      </c>
      <c r="AC248" s="129">
        <f t="shared" si="74"/>
        <v>0.4</v>
      </c>
      <c r="AD248" s="129">
        <f t="shared" si="74"/>
        <v>0.4</v>
      </c>
      <c r="AE248" s="129">
        <f t="shared" si="74"/>
        <v>0.4</v>
      </c>
      <c r="AF248" s="129">
        <f t="shared" si="74"/>
        <v>0.4</v>
      </c>
      <c r="AG248" s="143">
        <v>1</v>
      </c>
      <c r="AH248" s="47"/>
      <c r="AI248" s="48"/>
      <c r="AK248" s="50"/>
    </row>
    <row r="249" spans="1:37" ht="15.75" thickBot="1" x14ac:dyDescent="0.3">
      <c r="A249" s="116" t="s">
        <v>241</v>
      </c>
      <c r="B249" s="133">
        <f t="shared" si="72"/>
        <v>0.64</v>
      </c>
      <c r="C249" s="133">
        <v>0.64</v>
      </c>
      <c r="D249" s="133">
        <f t="shared" si="73"/>
        <v>0.64</v>
      </c>
      <c r="E249" s="133">
        <f t="shared" si="73"/>
        <v>0.64</v>
      </c>
      <c r="F249" s="133">
        <f t="shared" si="73"/>
        <v>0.64</v>
      </c>
      <c r="G249" s="133">
        <f t="shared" si="73"/>
        <v>0.64</v>
      </c>
      <c r="H249" s="133">
        <f t="shared" si="73"/>
        <v>0.64</v>
      </c>
      <c r="I249" s="133">
        <f t="shared" si="73"/>
        <v>0.64</v>
      </c>
      <c r="J249" s="133">
        <f t="shared" si="73"/>
        <v>0.64</v>
      </c>
      <c r="K249" s="133">
        <f t="shared" si="73"/>
        <v>0.64</v>
      </c>
      <c r="L249" s="133">
        <f t="shared" si="73"/>
        <v>0.64</v>
      </c>
      <c r="M249" s="133">
        <f t="shared" si="73"/>
        <v>0.64</v>
      </c>
      <c r="N249" s="133">
        <f t="shared" si="73"/>
        <v>0.64</v>
      </c>
      <c r="O249" s="133">
        <f t="shared" si="73"/>
        <v>0.64</v>
      </c>
      <c r="P249" s="133">
        <f t="shared" si="73"/>
        <v>0.64</v>
      </c>
      <c r="Q249" s="133">
        <f t="shared" si="73"/>
        <v>0.64</v>
      </c>
      <c r="R249" s="133">
        <f t="shared" si="73"/>
        <v>0.64</v>
      </c>
      <c r="S249" s="133">
        <f t="shared" si="73"/>
        <v>0.64</v>
      </c>
      <c r="T249" s="133">
        <f t="shared" si="74"/>
        <v>0.64</v>
      </c>
      <c r="U249" s="133">
        <f t="shared" si="74"/>
        <v>0.64</v>
      </c>
      <c r="V249" s="133">
        <f t="shared" si="74"/>
        <v>0.64</v>
      </c>
      <c r="W249" s="133">
        <f t="shared" si="74"/>
        <v>0.64</v>
      </c>
      <c r="X249" s="133">
        <f t="shared" si="74"/>
        <v>0.64</v>
      </c>
      <c r="Y249" s="133">
        <f t="shared" si="74"/>
        <v>0.64</v>
      </c>
      <c r="Z249" s="133">
        <f t="shared" si="74"/>
        <v>0.64</v>
      </c>
      <c r="AA249" s="133">
        <f t="shared" si="74"/>
        <v>0.64</v>
      </c>
      <c r="AB249" s="133">
        <f t="shared" si="74"/>
        <v>0.64</v>
      </c>
      <c r="AC249" s="133">
        <f t="shared" si="74"/>
        <v>0.64</v>
      </c>
      <c r="AD249" s="133">
        <f t="shared" si="74"/>
        <v>0.64</v>
      </c>
      <c r="AE249" s="133">
        <f t="shared" si="74"/>
        <v>0.64</v>
      </c>
      <c r="AF249" s="133">
        <f t="shared" si="74"/>
        <v>0.64</v>
      </c>
      <c r="AG249" s="144">
        <v>0.66</v>
      </c>
      <c r="AH249" s="47"/>
      <c r="AI249" s="48"/>
    </row>
    <row r="250" spans="1:37" ht="15.75" thickBot="1" x14ac:dyDescent="0.3">
      <c r="A250" s="145" t="s">
        <v>75</v>
      </c>
      <c r="B250" s="137">
        <f t="shared" ref="B250:AG250" si="75">SUM(B244:B249)</f>
        <v>3.54</v>
      </c>
      <c r="C250" s="137">
        <f t="shared" si="75"/>
        <v>3.54</v>
      </c>
      <c r="D250" s="137">
        <f t="shared" si="75"/>
        <v>3.54</v>
      </c>
      <c r="E250" s="137">
        <f t="shared" si="75"/>
        <v>3.54</v>
      </c>
      <c r="F250" s="137">
        <f t="shared" si="75"/>
        <v>3.54</v>
      </c>
      <c r="G250" s="137">
        <f t="shared" si="75"/>
        <v>3.54</v>
      </c>
      <c r="H250" s="137">
        <f t="shared" si="75"/>
        <v>3.54</v>
      </c>
      <c r="I250" s="137">
        <f t="shared" si="75"/>
        <v>3.54</v>
      </c>
      <c r="J250" s="137">
        <f t="shared" si="75"/>
        <v>3.54</v>
      </c>
      <c r="K250" s="137">
        <f t="shared" si="75"/>
        <v>3.54</v>
      </c>
      <c r="L250" s="137">
        <f t="shared" si="75"/>
        <v>3.54</v>
      </c>
      <c r="M250" s="137">
        <f t="shared" si="75"/>
        <v>3.54</v>
      </c>
      <c r="N250" s="137">
        <f t="shared" si="75"/>
        <v>3.54</v>
      </c>
      <c r="O250" s="137">
        <f t="shared" si="75"/>
        <v>3.54</v>
      </c>
      <c r="P250" s="137">
        <f t="shared" si="75"/>
        <v>3.54</v>
      </c>
      <c r="Q250" s="137">
        <f t="shared" si="75"/>
        <v>3.54</v>
      </c>
      <c r="R250" s="137">
        <f t="shared" si="75"/>
        <v>3.54</v>
      </c>
      <c r="S250" s="137">
        <f t="shared" si="75"/>
        <v>3.54</v>
      </c>
      <c r="T250" s="137">
        <f t="shared" si="75"/>
        <v>3.54</v>
      </c>
      <c r="U250" s="137">
        <f t="shared" si="75"/>
        <v>3.54</v>
      </c>
      <c r="V250" s="137">
        <f t="shared" si="75"/>
        <v>3.54</v>
      </c>
      <c r="W250" s="137">
        <f t="shared" si="75"/>
        <v>3.54</v>
      </c>
      <c r="X250" s="137">
        <f t="shared" si="75"/>
        <v>3.54</v>
      </c>
      <c r="Y250" s="137">
        <f t="shared" si="75"/>
        <v>3.54</v>
      </c>
      <c r="Z250" s="137">
        <f t="shared" si="75"/>
        <v>3.54</v>
      </c>
      <c r="AA250" s="137">
        <f t="shared" si="75"/>
        <v>3.54</v>
      </c>
      <c r="AB250" s="137">
        <f t="shared" si="75"/>
        <v>3.54</v>
      </c>
      <c r="AC250" s="137">
        <f t="shared" si="75"/>
        <v>3.54</v>
      </c>
      <c r="AD250" s="137">
        <f t="shared" si="75"/>
        <v>3.54</v>
      </c>
      <c r="AE250" s="137">
        <f t="shared" si="75"/>
        <v>3.54</v>
      </c>
      <c r="AF250" s="137">
        <f t="shared" si="75"/>
        <v>3.54</v>
      </c>
      <c r="AG250" s="146">
        <f t="shared" si="75"/>
        <v>8.56</v>
      </c>
      <c r="AH250" s="47"/>
      <c r="AI250" s="48"/>
    </row>
    <row r="251" spans="1:37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140"/>
      <c r="AH251" s="43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1697.7799999999997</v>
      </c>
      <c r="C254" s="162">
        <f>INDEX(G9:N9,1,MATCH(MAX(G99:N99),G99:N99,0))</f>
        <v>0.33333333333333331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16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2080/09/16)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2080/09/16)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76">B99</f>
        <v>1002.5670833333334</v>
      </c>
      <c r="U259" s="171">
        <f t="shared" si="76"/>
        <v>979.56708333333336</v>
      </c>
      <c r="V259" s="171">
        <f t="shared" si="76"/>
        <v>980.66708333333349</v>
      </c>
      <c r="W259" s="171">
        <f t="shared" si="76"/>
        <v>969.66708333333349</v>
      </c>
      <c r="X259" s="171">
        <f t="shared" si="76"/>
        <v>966.86708333333343</v>
      </c>
      <c r="Y259" s="171">
        <f t="shared" si="76"/>
        <v>1068.8670833333335</v>
      </c>
      <c r="Z259" s="171">
        <f t="shared" si="76"/>
        <v>1169.3670833333335</v>
      </c>
      <c r="AA259" s="171">
        <f t="shared" si="76"/>
        <v>1251.1670833333335</v>
      </c>
      <c r="AB259" s="171">
        <f t="shared" si="76"/>
        <v>1353.4670833333334</v>
      </c>
      <c r="AC259" s="171">
        <f t="shared" si="76"/>
        <v>1499.3670833333335</v>
      </c>
      <c r="AD259" s="171">
        <f t="shared" si="76"/>
        <v>1616.4670833333334</v>
      </c>
      <c r="AE259" s="171">
        <f t="shared" si="76"/>
        <v>1697.7799999999997</v>
      </c>
      <c r="AF259" s="171">
        <f t="shared" si="76"/>
        <v>1665.5799999999997</v>
      </c>
      <c r="AG259" s="171">
        <f t="shared" si="76"/>
        <v>1631.8799999999999</v>
      </c>
      <c r="AH259" s="171">
        <f t="shared" si="76"/>
        <v>1473.1799999999998</v>
      </c>
      <c r="AI259" s="171">
        <f t="shared" si="76"/>
        <v>1405.1799999999998</v>
      </c>
      <c r="AJ259" s="171">
        <f t="shared" si="76"/>
        <v>1334.98</v>
      </c>
      <c r="AK259" s="171">
        <f t="shared" si="76"/>
        <v>1305.58</v>
      </c>
      <c r="AL259" s="171">
        <f t="shared" si="76"/>
        <v>1324.3799999999999</v>
      </c>
      <c r="AM259" s="171">
        <f t="shared" si="76"/>
        <v>1371.8799999999999</v>
      </c>
      <c r="AN259" s="171">
        <f t="shared" si="76"/>
        <v>1447.28</v>
      </c>
      <c r="AO259" s="171">
        <f t="shared" si="76"/>
        <v>1501.1799999999998</v>
      </c>
      <c r="AP259" s="171">
        <f t="shared" si="76"/>
        <v>1681.44</v>
      </c>
      <c r="AQ259" s="171">
        <f t="shared" si="76"/>
        <v>1729.7799999999997</v>
      </c>
      <c r="AR259" s="171">
        <f t="shared" si="76"/>
        <v>1564.8799999999999</v>
      </c>
      <c r="AS259" s="171">
        <f t="shared" si="76"/>
        <v>1587.8799999999999</v>
      </c>
      <c r="AT259" s="171">
        <f t="shared" si="76"/>
        <v>1460.5800000000002</v>
      </c>
      <c r="AU259" s="171">
        <f t="shared" si="76"/>
        <v>1398.7800000000002</v>
      </c>
      <c r="AV259" s="171">
        <f t="shared" si="76"/>
        <v>1347.28</v>
      </c>
      <c r="AW259" s="171">
        <f t="shared" si="76"/>
        <v>1152.48</v>
      </c>
      <c r="AX259" s="171">
        <f t="shared" si="76"/>
        <v>1056.4800000000002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77">C249</f>
        <v>0.64</v>
      </c>
      <c r="C280" s="174">
        <f t="shared" si="77"/>
        <v>0.64</v>
      </c>
      <c r="D280" s="174">
        <f t="shared" si="77"/>
        <v>0.64</v>
      </c>
      <c r="E280" s="174">
        <f t="shared" si="77"/>
        <v>0.64</v>
      </c>
      <c r="F280" s="174">
        <f t="shared" si="77"/>
        <v>0.64</v>
      </c>
      <c r="G280" s="174">
        <f t="shared" si="77"/>
        <v>0.64</v>
      </c>
      <c r="H280" s="174">
        <f t="shared" si="77"/>
        <v>0.64</v>
      </c>
      <c r="I280" s="174">
        <f t="shared" si="77"/>
        <v>0.64</v>
      </c>
      <c r="J280" s="174">
        <f t="shared" si="77"/>
        <v>0.64</v>
      </c>
      <c r="K280" s="174">
        <f t="shared" si="77"/>
        <v>0.64</v>
      </c>
      <c r="L280" s="174">
        <f t="shared" si="77"/>
        <v>0.64</v>
      </c>
      <c r="M280" s="174">
        <f t="shared" si="77"/>
        <v>0.64</v>
      </c>
      <c r="N280" s="174">
        <f t="shared" si="77"/>
        <v>0.64</v>
      </c>
      <c r="O280" s="174">
        <f t="shared" si="77"/>
        <v>0.64</v>
      </c>
      <c r="P280" s="174">
        <f t="shared" si="77"/>
        <v>0.64</v>
      </c>
      <c r="Q280" s="174">
        <f t="shared" si="77"/>
        <v>0.64</v>
      </c>
      <c r="R280" s="174">
        <f t="shared" si="77"/>
        <v>0.64</v>
      </c>
      <c r="S280" s="174">
        <f t="shared" si="77"/>
        <v>0.64</v>
      </c>
      <c r="T280" s="174">
        <f t="shared" si="77"/>
        <v>0.64</v>
      </c>
      <c r="U280" s="174">
        <f t="shared" si="77"/>
        <v>0.64</v>
      </c>
      <c r="V280" s="174">
        <f t="shared" si="77"/>
        <v>0.64</v>
      </c>
      <c r="W280" s="174">
        <f t="shared" si="77"/>
        <v>0.64</v>
      </c>
      <c r="X280" s="174">
        <f t="shared" si="77"/>
        <v>0.64</v>
      </c>
      <c r="Y280" s="174">
        <f t="shared" si="77"/>
        <v>0.64</v>
      </c>
      <c r="Z280" s="174">
        <f t="shared" si="77"/>
        <v>0.64</v>
      </c>
      <c r="AA280" s="174">
        <f t="shared" si="77"/>
        <v>0.64</v>
      </c>
      <c r="AB280" s="174">
        <f t="shared" si="77"/>
        <v>0.64</v>
      </c>
      <c r="AC280" s="174">
        <f t="shared" si="77"/>
        <v>0.64</v>
      </c>
      <c r="AD280" s="174">
        <f t="shared" si="77"/>
        <v>0.64</v>
      </c>
      <c r="AE280" s="174">
        <f t="shared" si="77"/>
        <v>0.64</v>
      </c>
      <c r="AF280" s="174">
        <f>B249</f>
        <v>0.64</v>
      </c>
      <c r="AG280" s="43"/>
      <c r="AH280" s="43"/>
    </row>
    <row r="281" spans="1:34" x14ac:dyDescent="0.25">
      <c r="A281" s="175" t="str">
        <f>A132</f>
        <v>KGA</v>
      </c>
      <c r="B281" s="175" t="str">
        <f t="shared" ref="B281:AF281" si="78">IF(B132&lt;100,"",B132-520)</f>
        <v/>
      </c>
      <c r="C281" s="175" t="str">
        <f t="shared" si="78"/>
        <v/>
      </c>
      <c r="D281" s="175" t="str">
        <f t="shared" si="78"/>
        <v/>
      </c>
      <c r="E281" s="175" t="str">
        <f t="shared" si="78"/>
        <v/>
      </c>
      <c r="F281" s="175" t="str">
        <f t="shared" si="78"/>
        <v/>
      </c>
      <c r="G281" s="175" t="str">
        <f t="shared" si="78"/>
        <v/>
      </c>
      <c r="H281" s="175" t="str">
        <f t="shared" si="78"/>
        <v/>
      </c>
      <c r="I281" s="175" t="str">
        <f t="shared" si="78"/>
        <v/>
      </c>
      <c r="J281" s="175" t="str">
        <f t="shared" si="78"/>
        <v/>
      </c>
      <c r="K281" s="175" t="str">
        <f t="shared" si="78"/>
        <v/>
      </c>
      <c r="L281" s="175" t="str">
        <f t="shared" si="78"/>
        <v/>
      </c>
      <c r="M281" s="175" t="str">
        <f t="shared" si="78"/>
        <v/>
      </c>
      <c r="N281" s="175" t="str">
        <f t="shared" si="78"/>
        <v/>
      </c>
      <c r="O281" s="175" t="str">
        <f t="shared" si="78"/>
        <v/>
      </c>
      <c r="P281" s="175" t="str">
        <f t="shared" si="78"/>
        <v/>
      </c>
      <c r="Q281" s="175" t="str">
        <f t="shared" si="78"/>
        <v/>
      </c>
      <c r="R281" s="175" t="str">
        <f t="shared" si="78"/>
        <v/>
      </c>
      <c r="S281" s="175" t="str">
        <f t="shared" si="78"/>
        <v/>
      </c>
      <c r="T281" s="175" t="str">
        <f t="shared" si="78"/>
        <v/>
      </c>
      <c r="U281" s="175" t="str">
        <f t="shared" si="78"/>
        <v/>
      </c>
      <c r="V281" s="175" t="str">
        <f t="shared" si="78"/>
        <v/>
      </c>
      <c r="W281" s="175" t="str">
        <f t="shared" si="78"/>
        <v/>
      </c>
      <c r="X281" s="175" t="str">
        <f t="shared" si="78"/>
        <v/>
      </c>
      <c r="Y281" s="175" t="str">
        <f t="shared" si="78"/>
        <v/>
      </c>
      <c r="Z281" s="175" t="str">
        <f t="shared" si="78"/>
        <v/>
      </c>
      <c r="AA281" s="175" t="str">
        <f t="shared" si="78"/>
        <v/>
      </c>
      <c r="AB281" s="175" t="str">
        <f t="shared" si="78"/>
        <v/>
      </c>
      <c r="AC281" s="175" t="str">
        <f t="shared" si="78"/>
        <v/>
      </c>
      <c r="AD281" s="175" t="str">
        <f t="shared" si="78"/>
        <v/>
      </c>
      <c r="AE281" s="175" t="str">
        <f t="shared" si="78"/>
        <v/>
      </c>
      <c r="AF281" s="175" t="str">
        <f t="shared" si="78"/>
        <v/>
      </c>
      <c r="AG281" s="43"/>
      <c r="AH281" s="43"/>
    </row>
    <row r="282" spans="1:34" x14ac:dyDescent="0.25">
      <c r="A282" s="175" t="str">
        <f>A133</f>
        <v>MMRS</v>
      </c>
      <c r="B282" s="175" t="str">
        <f t="shared" ref="B282:AF282" si="79">IF(B133&lt;100,"",B133-620)</f>
        <v/>
      </c>
      <c r="C282" s="175" t="str">
        <f t="shared" si="79"/>
        <v/>
      </c>
      <c r="D282" s="175" t="str">
        <f t="shared" si="79"/>
        <v/>
      </c>
      <c r="E282" s="175" t="str">
        <f t="shared" si="79"/>
        <v/>
      </c>
      <c r="F282" s="175" t="str">
        <f t="shared" si="79"/>
        <v/>
      </c>
      <c r="G282" s="175" t="str">
        <f t="shared" si="79"/>
        <v/>
      </c>
      <c r="H282" s="175" t="str">
        <f t="shared" si="79"/>
        <v/>
      </c>
      <c r="I282" s="175" t="str">
        <f t="shared" si="79"/>
        <v/>
      </c>
      <c r="J282" s="175" t="str">
        <f t="shared" si="79"/>
        <v/>
      </c>
      <c r="K282" s="175" t="str">
        <f t="shared" si="79"/>
        <v/>
      </c>
      <c r="L282" s="175" t="str">
        <f t="shared" si="79"/>
        <v/>
      </c>
      <c r="M282" s="175" t="str">
        <f t="shared" si="79"/>
        <v/>
      </c>
      <c r="N282" s="175" t="str">
        <f t="shared" si="79"/>
        <v/>
      </c>
      <c r="O282" s="175" t="str">
        <f t="shared" si="79"/>
        <v/>
      </c>
      <c r="P282" s="175" t="str">
        <f t="shared" si="79"/>
        <v/>
      </c>
      <c r="Q282" s="175" t="str">
        <f t="shared" si="79"/>
        <v/>
      </c>
      <c r="R282" s="175" t="str">
        <f t="shared" si="79"/>
        <v/>
      </c>
      <c r="S282" s="175" t="str">
        <f t="shared" si="79"/>
        <v/>
      </c>
      <c r="T282" s="175" t="str">
        <f t="shared" si="79"/>
        <v/>
      </c>
      <c r="U282" s="175" t="str">
        <f t="shared" si="79"/>
        <v/>
      </c>
      <c r="V282" s="175" t="str">
        <f t="shared" si="79"/>
        <v/>
      </c>
      <c r="W282" s="175" t="str">
        <f t="shared" si="79"/>
        <v/>
      </c>
      <c r="X282" s="175" t="str">
        <f t="shared" si="79"/>
        <v/>
      </c>
      <c r="Y282" s="175" t="str">
        <f t="shared" si="79"/>
        <v/>
      </c>
      <c r="Z282" s="175" t="str">
        <f t="shared" si="79"/>
        <v/>
      </c>
      <c r="AA282" s="175" t="str">
        <f t="shared" si="79"/>
        <v/>
      </c>
      <c r="AB282" s="175" t="str">
        <f t="shared" si="79"/>
        <v/>
      </c>
      <c r="AC282" s="175" t="str">
        <f t="shared" si="79"/>
        <v/>
      </c>
      <c r="AD282" s="175" t="str">
        <f t="shared" si="79"/>
        <v/>
      </c>
      <c r="AE282" s="175" t="str">
        <f t="shared" si="79"/>
        <v/>
      </c>
      <c r="AF282" s="175" t="str">
        <f t="shared" si="79"/>
        <v/>
      </c>
      <c r="AG282" s="43"/>
      <c r="AH282" s="43"/>
    </row>
    <row r="283" spans="1:34" x14ac:dyDescent="0.25">
      <c r="A283" s="175" t="str">
        <f>A134</f>
        <v>MRS</v>
      </c>
      <c r="B283" s="175" t="str">
        <f t="shared" ref="B283:AF283" si="80">IF(B134&lt;100,"",B134-330)</f>
        <v/>
      </c>
      <c r="C283" s="175" t="str">
        <f t="shared" si="80"/>
        <v/>
      </c>
      <c r="D283" s="175" t="str">
        <f t="shared" si="80"/>
        <v/>
      </c>
      <c r="E283" s="175" t="str">
        <f t="shared" si="80"/>
        <v/>
      </c>
      <c r="F283" s="175" t="str">
        <f t="shared" si="80"/>
        <v/>
      </c>
      <c r="G283" s="175" t="str">
        <f t="shared" si="80"/>
        <v/>
      </c>
      <c r="H283" s="175" t="str">
        <f t="shared" si="80"/>
        <v/>
      </c>
      <c r="I283" s="175" t="str">
        <f t="shared" si="80"/>
        <v/>
      </c>
      <c r="J283" s="175" t="str">
        <f t="shared" si="80"/>
        <v/>
      </c>
      <c r="K283" s="175" t="str">
        <f t="shared" si="80"/>
        <v/>
      </c>
      <c r="L283" s="175" t="str">
        <f t="shared" si="80"/>
        <v/>
      </c>
      <c r="M283" s="175" t="str">
        <f t="shared" si="80"/>
        <v/>
      </c>
      <c r="N283" s="175" t="str">
        <f t="shared" si="80"/>
        <v/>
      </c>
      <c r="O283" s="175" t="str">
        <f t="shared" si="80"/>
        <v/>
      </c>
      <c r="P283" s="175" t="str">
        <f t="shared" si="80"/>
        <v/>
      </c>
      <c r="Q283" s="175" t="str">
        <f t="shared" si="80"/>
        <v/>
      </c>
      <c r="R283" s="175" t="str">
        <f t="shared" si="80"/>
        <v/>
      </c>
      <c r="S283" s="175" t="str">
        <f t="shared" si="80"/>
        <v/>
      </c>
      <c r="T283" s="175" t="str">
        <f t="shared" si="80"/>
        <v/>
      </c>
      <c r="U283" s="175" t="str">
        <f t="shared" si="80"/>
        <v/>
      </c>
      <c r="V283" s="175" t="str">
        <f t="shared" si="80"/>
        <v/>
      </c>
      <c r="W283" s="175" t="str">
        <f t="shared" si="80"/>
        <v/>
      </c>
      <c r="X283" s="175" t="str">
        <f t="shared" si="80"/>
        <v/>
      </c>
      <c r="Y283" s="175" t="str">
        <f t="shared" si="80"/>
        <v/>
      </c>
      <c r="Z283" s="175" t="str">
        <f t="shared" si="80"/>
        <v/>
      </c>
      <c r="AA283" s="175" t="str">
        <f t="shared" si="80"/>
        <v/>
      </c>
      <c r="AB283" s="175" t="str">
        <f t="shared" si="80"/>
        <v/>
      </c>
      <c r="AC283" s="175" t="str">
        <f t="shared" si="80"/>
        <v/>
      </c>
      <c r="AD283" s="175" t="str">
        <f t="shared" si="80"/>
        <v/>
      </c>
      <c r="AE283" s="175" t="str">
        <f t="shared" si="80"/>
        <v/>
      </c>
      <c r="AF283" s="175" t="str">
        <f t="shared" si="80"/>
        <v/>
      </c>
      <c r="AG283" s="43"/>
      <c r="AH283" s="43"/>
    </row>
    <row r="284" spans="1:34" x14ac:dyDescent="0.25">
      <c r="A284" s="175" t="str">
        <f>A135</f>
        <v>KL 1</v>
      </c>
      <c r="B284" s="175" t="str">
        <f t="shared" ref="B284:AF284" si="81">IF(B135&lt;100,"",B135-1500)</f>
        <v/>
      </c>
      <c r="C284" s="175" t="str">
        <f t="shared" si="81"/>
        <v/>
      </c>
      <c r="D284" s="175" t="str">
        <f t="shared" si="81"/>
        <v/>
      </c>
      <c r="E284" s="175" t="str">
        <f t="shared" si="81"/>
        <v/>
      </c>
      <c r="F284" s="175" t="str">
        <f t="shared" si="81"/>
        <v/>
      </c>
      <c r="G284" s="175" t="str">
        <f t="shared" si="81"/>
        <v/>
      </c>
      <c r="H284" s="175" t="str">
        <f t="shared" si="81"/>
        <v/>
      </c>
      <c r="I284" s="175" t="str">
        <f t="shared" si="81"/>
        <v/>
      </c>
      <c r="J284" s="175" t="str">
        <f t="shared" si="81"/>
        <v/>
      </c>
      <c r="K284" s="175" t="str">
        <f t="shared" si="81"/>
        <v/>
      </c>
      <c r="L284" s="175" t="str">
        <f t="shared" si="81"/>
        <v/>
      </c>
      <c r="M284" s="175" t="str">
        <f t="shared" si="81"/>
        <v/>
      </c>
      <c r="N284" s="175" t="str">
        <f t="shared" si="81"/>
        <v/>
      </c>
      <c r="O284" s="175" t="str">
        <f t="shared" si="81"/>
        <v/>
      </c>
      <c r="P284" s="175" t="str">
        <f t="shared" si="81"/>
        <v/>
      </c>
      <c r="Q284" s="175" t="str">
        <f t="shared" si="81"/>
        <v/>
      </c>
      <c r="R284" s="175" t="str">
        <f t="shared" si="81"/>
        <v/>
      </c>
      <c r="S284" s="175" t="str">
        <f t="shared" si="81"/>
        <v/>
      </c>
      <c r="T284" s="175" t="str">
        <f t="shared" si="81"/>
        <v/>
      </c>
      <c r="U284" s="175" t="str">
        <f t="shared" si="81"/>
        <v/>
      </c>
      <c r="V284" s="175" t="str">
        <f t="shared" si="81"/>
        <v/>
      </c>
      <c r="W284" s="175" t="str">
        <f t="shared" si="81"/>
        <v/>
      </c>
      <c r="X284" s="175" t="str">
        <f t="shared" si="81"/>
        <v/>
      </c>
      <c r="Y284" s="175" t="str">
        <f t="shared" si="81"/>
        <v/>
      </c>
      <c r="Z284" s="175" t="str">
        <f t="shared" si="81"/>
        <v/>
      </c>
      <c r="AA284" s="175" t="str">
        <f t="shared" si="81"/>
        <v/>
      </c>
      <c r="AB284" s="175" t="str">
        <f t="shared" si="81"/>
        <v/>
      </c>
      <c r="AC284" s="175" t="str">
        <f t="shared" si="81"/>
        <v/>
      </c>
      <c r="AD284" s="175" t="str">
        <f t="shared" si="81"/>
        <v/>
      </c>
      <c r="AE284" s="175" t="str">
        <f t="shared" si="81"/>
        <v/>
      </c>
      <c r="AF284" s="175" t="str">
        <f t="shared" si="81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 A132:A251">
    <cfRule type="expression" dxfId="1943" priority="86">
      <formula>$AH11=0</formula>
    </cfRule>
  </conditionalFormatting>
  <conditionalFormatting sqref="B8 M8 S8 AB8">
    <cfRule type="expression" dxfId="1942" priority="148">
      <formula>C$9&lt;8/24</formula>
    </cfRule>
    <cfRule type="expression" dxfId="1941" priority="146">
      <formula>AND(C$9&gt;=14/24,C$9&lt;20/24)</formula>
    </cfRule>
    <cfRule type="expression" dxfId="1940" priority="147">
      <formula>AND(C$9&gt;=8/24,C$9&lt;14/24)</formula>
    </cfRule>
  </conditionalFormatting>
  <conditionalFormatting sqref="B63:I74 J64:J74 K68:L74 M70:AF74">
    <cfRule type="expression" dxfId="1939" priority="50">
      <formula>AND(B$9&gt;=8/24,B$9&lt;14/24)</formula>
    </cfRule>
    <cfRule type="expression" dxfId="1938" priority="49">
      <formula>AND(B$9&gt;=14/24,B$9&lt;20/24)</formula>
    </cfRule>
    <cfRule type="expression" dxfId="1937" priority="48">
      <formula>B$9&gt;=20/24</formula>
    </cfRule>
    <cfRule type="expression" dxfId="1936" priority="51">
      <formula>B$9&lt;8/24</formula>
    </cfRule>
  </conditionalFormatting>
  <conditionalFormatting sqref="B97:L97">
    <cfRule type="expression" dxfId="1935" priority="9">
      <formula>B$9&gt;=20/24</formula>
    </cfRule>
    <cfRule type="expression" dxfId="1934" priority="10">
      <formula>AND(B$9&gt;=14/24,B$9&lt;20/24)</formula>
    </cfRule>
    <cfRule type="expression" dxfId="1933" priority="11">
      <formula>AND(B$9&gt;=8/24,B$9&lt;14/24)</formula>
    </cfRule>
    <cfRule type="expression" dxfId="1932" priority="12">
      <formula>B$9&lt;8/24</formula>
    </cfRule>
  </conditionalFormatting>
  <conditionalFormatting sqref="B99:L99">
    <cfRule type="expression" dxfId="1931" priority="5">
      <formula>B$9&gt;=20/24</formula>
    </cfRule>
    <cfRule type="expression" dxfId="1930" priority="6">
      <formula>AND(B$9&gt;=14/24,B$9&lt;20/24)</formula>
    </cfRule>
    <cfRule type="expression" dxfId="1929" priority="7">
      <formula>AND(B$9&gt;=8/24,B$9&lt;14/24)</formula>
    </cfRule>
    <cfRule type="expression" dxfId="1928" priority="8">
      <formula>B$9&lt;8/24</formula>
    </cfRule>
  </conditionalFormatting>
  <conditionalFormatting sqref="B81:AA96">
    <cfRule type="expression" dxfId="1927" priority="13">
      <formula>B$9&gt;=20/24</formula>
    </cfRule>
    <cfRule type="expression" dxfId="1926" priority="14">
      <formula>AND(B$9&gt;=14/24,B$9&lt;20/24)</formula>
    </cfRule>
    <cfRule type="expression" dxfId="1925" priority="15">
      <formula>AND(B$9&gt;=8/24,B$9&lt;14/24)</formula>
    </cfRule>
    <cfRule type="expression" dxfId="1924" priority="16">
      <formula>B$9&lt;8/24</formula>
    </cfRule>
  </conditionalFormatting>
  <conditionalFormatting sqref="B9:AF52">
    <cfRule type="expression" dxfId="1923" priority="59">
      <formula>AND(B$9&gt;=8/24,B$9&lt;14/24)</formula>
    </cfRule>
    <cfRule type="expression" dxfId="1922" priority="57">
      <formula>B$9&gt;=20/24</formula>
    </cfRule>
    <cfRule type="expression" dxfId="1921" priority="58">
      <formula>AND(B$9&gt;=14/24,B$9&lt;20/24)</formula>
    </cfRule>
    <cfRule type="expression" dxfId="1920" priority="60">
      <formula>B$9&lt;8/24</formula>
    </cfRule>
  </conditionalFormatting>
  <conditionalFormatting sqref="B11:AF55">
    <cfRule type="expression" dxfId="1919" priority="42">
      <formula>B11&gt;$AG11</formula>
    </cfRule>
  </conditionalFormatting>
  <conditionalFormatting sqref="B53:AF57">
    <cfRule type="expression" dxfId="1918" priority="38">
      <formula>B$9&gt;=20/24</formula>
    </cfRule>
    <cfRule type="expression" dxfId="1917" priority="39">
      <formula>AND(B$9&gt;=14/24,B$9&lt;20/24)</formula>
    </cfRule>
    <cfRule type="expression" dxfId="1916" priority="41">
      <formula>B$9&lt;8/24</formula>
    </cfRule>
    <cfRule type="expression" dxfId="1915" priority="40">
      <formula>AND(B$9&gt;=8/24,B$9&lt;14/24)</formula>
    </cfRule>
  </conditionalFormatting>
  <conditionalFormatting sqref="B56:AF61">
    <cfRule type="expression" dxfId="1914" priority="33">
      <formula>B56&gt;$AG56</formula>
    </cfRule>
  </conditionalFormatting>
  <conditionalFormatting sqref="B59:AF61">
    <cfRule type="expression" dxfId="1913" priority="72">
      <formula>B$9&gt;=20/24</formula>
    </cfRule>
    <cfRule type="expression" dxfId="1912" priority="73">
      <formula>AND(B$9&gt;=14/24,B$9&lt;20/24)</formula>
    </cfRule>
    <cfRule type="expression" dxfId="1911" priority="74">
      <formula>AND(B$9&gt;=8/24,B$9&lt;14/24)</formula>
    </cfRule>
    <cfRule type="expression" dxfId="1910" priority="75">
      <formula>B$9&lt;8/24</formula>
    </cfRule>
  </conditionalFormatting>
  <conditionalFormatting sqref="B63:AF74">
    <cfRule type="expression" dxfId="1909" priority="47">
      <formula>B63&gt;$AG63</formula>
    </cfRule>
  </conditionalFormatting>
  <conditionalFormatting sqref="B77:AF79">
    <cfRule type="expression" dxfId="1908" priority="79">
      <formula>AND(B$9&gt;=8/24,B$9&lt;14/24)</formula>
    </cfRule>
    <cfRule type="expression" dxfId="1907" priority="76">
      <formula>B77&gt;$AG77</formula>
    </cfRule>
    <cfRule type="expression" dxfId="1906" priority="77">
      <formula>B$9&gt;=20/24</formula>
    </cfRule>
    <cfRule type="expression" dxfId="1905" priority="78">
      <formula>AND(B$9&gt;=14/24,B$9&lt;20/24)</formula>
    </cfRule>
    <cfRule type="expression" dxfId="1904" priority="80">
      <formula>B$9&lt;8/24</formula>
    </cfRule>
  </conditionalFormatting>
  <conditionalFormatting sqref="B101:AF117">
    <cfRule type="expression" dxfId="1903" priority="2">
      <formula>AND(B$9&gt;=14/24,B$9&lt;20/24)</formula>
    </cfRule>
    <cfRule type="expression" dxfId="1902" priority="3">
      <formula>AND(B$9&gt;=8/24,B$9&lt;14/24)</formula>
    </cfRule>
    <cfRule type="expression" dxfId="1901" priority="4">
      <formula>B$9&lt;8/24</formula>
    </cfRule>
    <cfRule type="expression" dxfId="1900" priority="1">
      <formula>B$9&gt;=20/24</formula>
    </cfRule>
  </conditionalFormatting>
  <conditionalFormatting sqref="B119:AF135">
    <cfRule type="expression" dxfId="1899" priority="53">
      <formula>AND(B$9&gt;=14/24,B$9&lt;20/24)</formula>
    </cfRule>
    <cfRule type="expression" dxfId="1898" priority="52">
      <formula>B$9&gt;=20/24</formula>
    </cfRule>
    <cfRule type="expression" dxfId="1897" priority="54">
      <formula>AND(B$9&gt;=8/24,B$9&lt;14/24)</formula>
    </cfRule>
    <cfRule type="expression" dxfId="1896" priority="55">
      <formula>B$9&lt;8/24</formula>
    </cfRule>
  </conditionalFormatting>
  <conditionalFormatting sqref="B242:AF242 B244:B250 D244:AF250 U258:AF258">
    <cfRule type="expression" dxfId="1895" priority="141">
      <formula>AND(B$9&gt;=8/24,B$9&lt;14/24)</formula>
    </cfRule>
    <cfRule type="expression" dxfId="1894" priority="140">
      <formula>AND(B$9&gt;=14/24,B$9&lt;20/24)</formula>
    </cfRule>
    <cfRule type="expression" dxfId="1893" priority="139">
      <formula>B$9&gt;=20/24</formula>
    </cfRule>
    <cfRule type="expression" dxfId="1892" priority="142">
      <formula>B$9&lt;8/24</formula>
    </cfRule>
  </conditionalFormatting>
  <conditionalFormatting sqref="B62:AG62">
    <cfRule type="expression" dxfId="1891" priority="31">
      <formula>AND(B$9&gt;=8/24,B$9&lt;14/24)</formula>
    </cfRule>
    <cfRule type="expression" dxfId="1890" priority="32">
      <formula>B$9&lt;8/24</formula>
    </cfRule>
    <cfRule type="expression" dxfId="1889" priority="30">
      <formula>AND(B$9&gt;=14/24,B$9&lt;20/24)</formula>
    </cfRule>
    <cfRule type="expression" dxfId="1888" priority="29">
      <formula>B$9&gt;=20/24</formula>
    </cfRule>
    <cfRule type="expression" dxfId="1887" priority="28">
      <formula>B62&gt;$AG62</formula>
    </cfRule>
  </conditionalFormatting>
  <conditionalFormatting sqref="B75:AG76">
    <cfRule type="expression" dxfId="1886" priority="27">
      <formula>B75&gt;$AG75</formula>
    </cfRule>
  </conditionalFormatting>
  <conditionalFormatting sqref="B80:AG80">
    <cfRule type="expression" dxfId="1885" priority="21">
      <formula>B$9&lt;8/24</formula>
    </cfRule>
    <cfRule type="expression" dxfId="1884" priority="20">
      <formula>AND(B$9&gt;=8/24,B$9&lt;14/24)</formula>
    </cfRule>
    <cfRule type="expression" dxfId="1883" priority="19">
      <formula>AND(B$9&gt;=14/24,B$9&lt;20/24)</formula>
    </cfRule>
    <cfRule type="expression" dxfId="1882" priority="18">
      <formula>B$9&gt;=20/24</formula>
    </cfRule>
    <cfRule type="expression" dxfId="1881" priority="17">
      <formula>B80&gt;$AG80</formula>
    </cfRule>
  </conditionalFormatting>
  <conditionalFormatting sqref="F63:L65">
    <cfRule type="expression" dxfId="1880" priority="121">
      <formula>AND(F$9&gt;=14/24,F$9&lt;20/24)</formula>
    </cfRule>
    <cfRule type="expression" dxfId="1879" priority="120">
      <formula>F$9&gt;=20/24</formula>
    </cfRule>
    <cfRule type="expression" dxfId="1878" priority="123">
      <formula>F$9&lt;8/24</formula>
    </cfRule>
    <cfRule type="expression" dxfId="1877" priority="122">
      <formula>AND(F$9&gt;=8/24,F$9&lt;14/24)</formula>
    </cfRule>
  </conditionalFormatting>
  <conditionalFormatting sqref="F68:U68">
    <cfRule type="expression" dxfId="1876" priority="99">
      <formula>AND(F$9&gt;=8/24,F$9&lt;14/24)</formula>
    </cfRule>
    <cfRule type="expression" dxfId="1875" priority="100">
      <formula>F$9&lt;8/24</formula>
    </cfRule>
    <cfRule type="expression" dxfId="1874" priority="97">
      <formula>F$9&gt;=20/24</formula>
    </cfRule>
    <cfRule type="expression" dxfId="1873" priority="98">
      <formula>AND(F$9&gt;=14/24,F$9&lt;20/24)</formula>
    </cfRule>
  </conditionalFormatting>
  <conditionalFormatting sqref="F69:AF74">
    <cfRule type="expression" dxfId="1872" priority="90">
      <formula>F$9&lt;8/24</formula>
    </cfRule>
    <cfRule type="expression" dxfId="1871" priority="87">
      <formula>F$9&gt;=20/24</formula>
    </cfRule>
    <cfRule type="expression" dxfId="1870" priority="89">
      <formula>AND(F$9&gt;=8/24,F$9&lt;14/24)</formula>
    </cfRule>
    <cfRule type="expression" dxfId="1869" priority="88">
      <formula>AND(F$9&gt;=14/24,F$9&lt;20/24)</formula>
    </cfRule>
  </conditionalFormatting>
  <conditionalFormatting sqref="G56:L56">
    <cfRule type="expression" dxfId="1868" priority="65">
      <formula>G$9&lt;8/24</formula>
    </cfRule>
  </conditionalFormatting>
  <conditionalFormatting sqref="M63:U67">
    <cfRule type="expression" dxfId="1867" priority="124">
      <formula>M$9&gt;=20/24</formula>
    </cfRule>
    <cfRule type="expression" dxfId="1866" priority="125">
      <formula>AND(M$9&gt;=14/24,M$9&lt;20/24)</formula>
    </cfRule>
    <cfRule type="expression" dxfId="1865" priority="126">
      <formula>AND(M$9&gt;=8/24,M$9&lt;14/24)</formula>
    </cfRule>
    <cfRule type="expression" dxfId="1864" priority="127">
      <formula>M$9&lt;8/24</formula>
    </cfRule>
  </conditionalFormatting>
  <conditionalFormatting sqref="O3:P3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863" priority="145">
      <formula>C$9&gt;=20/24</formula>
    </cfRule>
  </conditionalFormatting>
  <conditionalFormatting sqref="S8">
    <cfRule type="expression" dxfId="1862" priority="132">
      <formula>U$9&gt;=20/24</formula>
    </cfRule>
    <cfRule type="expression" dxfId="1861" priority="135">
      <formula>U$9&lt;8/24</formula>
    </cfRule>
    <cfRule type="expression" dxfId="1860" priority="134">
      <formula>AND(U$9&gt;=8/24,U$9&lt;14/24)</formula>
    </cfRule>
    <cfRule type="expression" dxfId="1859" priority="133">
      <formula>AND(U$9&gt;=14/24,U$9&lt;20/24)</formula>
    </cfRule>
  </conditionalFormatting>
  <conditionalFormatting sqref="T258">
    <cfRule type="expression" dxfId="1858" priority="160">
      <formula>AX$9&lt;8/24</formula>
    </cfRule>
    <cfRule type="expression" dxfId="1857" priority="159">
      <formula>AND(AX$9&gt;=8/24,AX$9&lt;14/24)</formula>
    </cfRule>
    <cfRule type="expression" dxfId="1856" priority="158">
      <formula>AND(AX$9&gt;=14/24,AX$9&lt;20/24)</formula>
    </cfRule>
    <cfRule type="expression" dxfId="1855" priority="157">
      <formula>AX$9&gt;=20/24</formula>
    </cfRule>
  </conditionalFormatting>
  <conditionalFormatting sqref="T63:AF68">
    <cfRule type="expression" dxfId="1854" priority="94">
      <formula>T$9&lt;8/24</formula>
    </cfRule>
    <cfRule type="expression" dxfId="1853" priority="93">
      <formula>AND(T$9&gt;=8/24,T$9&lt;14/24)</formula>
    </cfRule>
    <cfRule type="expression" dxfId="1852" priority="92">
      <formula>AND(T$9&gt;=14/24,T$9&lt;20/24)</formula>
    </cfRule>
    <cfRule type="expression" dxfId="1851" priority="91">
      <formula>T$9&gt;=20/24</formula>
    </cfRule>
  </conditionalFormatting>
  <conditionalFormatting sqref="V3 AB3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850" priority="131">
      <formula>AD$9&lt;8/24</formula>
    </cfRule>
    <cfRule type="expression" dxfId="1849" priority="128">
      <formula>AD$9&gt;=20/24</formula>
    </cfRule>
    <cfRule type="expression" dxfId="1848" priority="129">
      <formula>AND(AD$9&gt;=14/24,AD$9&lt;20/24)</formula>
    </cfRule>
    <cfRule type="expression" dxfId="1847" priority="130">
      <formula>AND(AD$9&gt;=8/24,AD$9&lt;14/24)</formula>
    </cfRule>
  </conditionalFormatting>
  <conditionalFormatting sqref="AB81:AF99 M97:AA99 B98:O98">
    <cfRule type="expression" dxfId="1846" priority="43">
      <formula>B$9&gt;=20/24</formula>
    </cfRule>
    <cfRule type="expression" dxfId="1845" priority="44">
      <formula>AND(B$9&gt;=14/24,B$9&lt;20/24)</formula>
    </cfRule>
    <cfRule type="expression" dxfId="1844" priority="45">
      <formula>AND(B$9&gt;=8/24,B$9&lt;14/24)</formula>
    </cfRule>
    <cfRule type="expression" dxfId="1843" priority="46">
      <formula>B$9&lt;8/24</formula>
    </cfRule>
  </conditionalFormatting>
  <conditionalFormatting sqref="AG58">
    <cfRule type="expression" dxfId="1842" priority="115">
      <formula>AG58&gt;$AG58</formula>
    </cfRule>
  </conditionalFormatting>
  <conditionalFormatting sqref="AG97">
    <cfRule type="expression" dxfId="1841" priority="119">
      <formula>AG$9&lt;8/24</formula>
    </cfRule>
    <cfRule type="expression" dxfId="1840" priority="118">
      <formula>AND(AG$9&gt;=8/24,AG$9&lt;14/24)</formula>
    </cfRule>
    <cfRule type="expression" dxfId="1839" priority="117">
      <formula>AND(AG$9&gt;=14/24,AG$9&lt;20/24)</formula>
    </cfRule>
    <cfRule type="expression" dxfId="1838" priority="116">
      <formula>AG$9&gt;=20/24</formula>
    </cfRule>
  </conditionalFormatting>
  <conditionalFormatting sqref="AG258">
    <cfRule type="expression" dxfId="1837" priority="152">
      <formula>B$9&lt;8/24</formula>
    </cfRule>
    <cfRule type="expression" dxfId="1836" priority="151">
      <formula>AND(B$9&gt;=8/24,B$9&lt;14/24)</formula>
    </cfRule>
    <cfRule type="expression" dxfId="1835" priority="150">
      <formula>AND(B$9&gt;=14/24,B$9&lt;20/24)</formula>
    </cfRule>
    <cfRule type="expression" dxfId="1834" priority="149">
      <formula>B$9&gt;=20/24</formula>
    </cfRule>
  </conditionalFormatting>
  <conditionalFormatting sqref="AH258:AX258">
    <cfRule type="expression" dxfId="1833" priority="155">
      <formula>AND(AG$9&gt;=8/24,AG$9&lt;14/24)</formula>
    </cfRule>
    <cfRule type="expression" dxfId="1832" priority="154">
      <formula>AND(AG$9&gt;=14/24,AG$9&lt;20/24)</formula>
    </cfRule>
    <cfRule type="expression" dxfId="1831" priority="153">
      <formula>AG$9&gt;=20/24</formula>
    </cfRule>
    <cfRule type="expression" dxfId="1830" priority="156">
      <formula>AG$9&lt;8/24</formula>
    </cfRule>
  </conditionalFormatting>
  <conditionalFormatting sqref="AL4:AL6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829" priority="165">
      <formula>AJ$9&lt;8/24</formula>
    </cfRule>
    <cfRule type="expression" dxfId="1828" priority="162">
      <formula>AJ$9&gt;=20/24</formula>
    </cfRule>
    <cfRule type="expression" dxfId="1827" priority="163">
      <formula>AND(AJ$9&gt;=14/24,AJ$9&lt;20/24)</formula>
    </cfRule>
    <cfRule type="expression" dxfId="1826" priority="164">
      <formula>AND(AJ$9&gt;=8/24,AJ$9&lt;14/24)</formula>
    </cfRule>
  </conditionalFormatting>
  <conditionalFormatting sqref="AL88:AN88 AL94:AN94">
    <cfRule type="expression" dxfId="1825" priority="109">
      <formula>AND(AL$9&gt;=14/24,AL$9&lt;20/24)</formula>
    </cfRule>
    <cfRule type="expression" dxfId="1824" priority="110">
      <formula>AND(AL$9&gt;=8/24,AL$9&lt;14/24)</formula>
    </cfRule>
    <cfRule type="expression" dxfId="1823" priority="111">
      <formula>AL$9&lt;8/24</formula>
    </cfRule>
    <cfRule type="expression" dxfId="1822" priority="108">
      <formula>AL$9&gt;=20/24</formula>
    </cfRule>
  </conditionalFormatting>
  <conditionalFormatting sqref="AN89:AN92">
    <cfRule type="expression" dxfId="1821" priority="104">
      <formula>AN$9&gt;=20/24</formula>
    </cfRule>
    <cfRule type="expression" dxfId="1820" priority="107">
      <formula>AN$9&lt;8/24</formula>
    </cfRule>
    <cfRule type="expression" dxfId="1819" priority="106">
      <formula>AND(AN$9&gt;=8/24,AN$9&lt;14/24)</formula>
    </cfRule>
    <cfRule type="expression" dxfId="1818" priority="105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3F5C-81D2-4116-B24E-D352F68B47DB}">
  <sheetPr codeName="Sheet18"/>
  <dimension ref="A1:CJ291"/>
  <sheetViews>
    <sheetView zoomScale="106" workbookViewId="0">
      <pane xSplit="1" ySplit="10" topLeftCell="B56" activePane="bottomRight" state="frozen"/>
      <selection activeCell="P118" sqref="P118"/>
      <selection pane="topRight" activeCell="P118" sqref="P118"/>
      <selection pane="bottomLeft" activeCell="P118" sqref="P118"/>
      <selection pane="bottomRight" activeCell="J59" sqref="J5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2080/09/17</v>
      </c>
      <c r="C4" s="246"/>
      <c r="D4" s="246"/>
      <c r="E4" s="247" t="str">
        <f ca="1">"2080/"&amp;"09/"&amp;INT(MID(CELL("filename",G6),FIND("]",CELL("filename",G6))+1,200))</f>
        <v>2080/09/17</v>
      </c>
      <c r="F4" s="247"/>
      <c r="G4" s="247"/>
      <c r="H4" s="247" t="str">
        <f ca="1">TEXT(E4,"dddd")</f>
        <v>Tuesday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173.8</v>
      </c>
      <c r="C5" s="30">
        <f t="shared" si="0"/>
        <v>176.9</v>
      </c>
      <c r="D5" s="30">
        <f t="shared" si="0"/>
        <v>147.30000000000001</v>
      </c>
      <c r="E5" s="30">
        <f t="shared" si="0"/>
        <v>140.9</v>
      </c>
      <c r="F5" s="30">
        <f t="shared" si="0"/>
        <v>218.8</v>
      </c>
      <c r="G5" s="30">
        <f t="shared" si="0"/>
        <v>197.7</v>
      </c>
      <c r="H5" s="30">
        <f t="shared" si="0"/>
        <v>280.2</v>
      </c>
      <c r="I5" s="30">
        <f t="shared" si="0"/>
        <v>294.3</v>
      </c>
      <c r="J5" s="30">
        <f t="shared" si="0"/>
        <v>302</v>
      </c>
      <c r="K5" s="30">
        <f t="shared" si="0"/>
        <v>107</v>
      </c>
      <c r="L5" s="30">
        <f t="shared" si="0"/>
        <v>108.8</v>
      </c>
      <c r="M5" s="30">
        <f t="shared" si="0"/>
        <v>53</v>
      </c>
      <c r="N5" s="30">
        <f t="shared" si="0"/>
        <v>105.5</v>
      </c>
      <c r="O5" s="30">
        <f t="shared" si="0"/>
        <v>259</v>
      </c>
      <c r="P5" s="30">
        <f t="shared" si="0"/>
        <v>369.2</v>
      </c>
      <c r="Q5" s="30">
        <f t="shared" si="0"/>
        <v>402</v>
      </c>
      <c r="R5" s="30">
        <f t="shared" si="0"/>
        <v>421.8</v>
      </c>
      <c r="S5" s="30">
        <f t="shared" si="0"/>
        <v>454.8</v>
      </c>
      <c r="T5" s="30">
        <f t="shared" si="0"/>
        <v>429.9</v>
      </c>
      <c r="U5" s="30">
        <f t="shared" si="0"/>
        <v>156.10000000000002</v>
      </c>
      <c r="V5" s="30">
        <f t="shared" si="0"/>
        <v>66.3</v>
      </c>
      <c r="W5" s="30">
        <f t="shared" si="0"/>
        <v>36.200000000000003</v>
      </c>
      <c r="X5" s="30">
        <f t="shared" si="0"/>
        <v>90.8</v>
      </c>
      <c r="Y5" s="30">
        <f t="shared" si="0"/>
        <v>251.8</v>
      </c>
      <c r="Z5" s="30">
        <f t="shared" si="0"/>
        <v>60.1</v>
      </c>
      <c r="AA5" s="30">
        <f t="shared" si="0"/>
        <v>171.9</v>
      </c>
      <c r="AB5" s="30">
        <f t="shared" si="0"/>
        <v>215</v>
      </c>
      <c r="AC5" s="30">
        <f t="shared" si="0"/>
        <v>223.8</v>
      </c>
      <c r="AD5" s="30">
        <f t="shared" si="0"/>
        <v>313</v>
      </c>
      <c r="AE5" s="30">
        <f t="shared" si="0"/>
        <v>226</v>
      </c>
      <c r="AF5" s="30">
        <f>B92</f>
        <v>194.8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1680MW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Load=956</v>
      </c>
      <c r="B7" s="35">
        <f>B100</f>
        <v>1023.94</v>
      </c>
      <c r="C7" s="35">
        <f t="shared" ref="C7:AF7" si="1">C100</f>
        <v>957.54</v>
      </c>
      <c r="D7" s="35">
        <f t="shared" si="1"/>
        <v>955.54000000000008</v>
      </c>
      <c r="E7" s="35">
        <f t="shared" si="1"/>
        <v>962.84000000000015</v>
      </c>
      <c r="F7" s="35">
        <f t="shared" si="1"/>
        <v>965.93999999999994</v>
      </c>
      <c r="G7" s="35">
        <f t="shared" si="1"/>
        <v>1051.6400000000001</v>
      </c>
      <c r="H7" s="35">
        <f t="shared" si="1"/>
        <v>1122.24</v>
      </c>
      <c r="I7" s="35">
        <f t="shared" si="1"/>
        <v>1235.3400000000001</v>
      </c>
      <c r="J7" s="35">
        <f t="shared" si="1"/>
        <v>1361.74</v>
      </c>
      <c r="K7" s="35">
        <f t="shared" si="1"/>
        <v>1504.8400000000001</v>
      </c>
      <c r="L7" s="35">
        <f t="shared" si="1"/>
        <v>1622.94</v>
      </c>
      <c r="M7" s="35">
        <f t="shared" si="1"/>
        <v>1679.74</v>
      </c>
      <c r="N7" s="35">
        <f t="shared" si="1"/>
        <v>1638.1399999999999</v>
      </c>
      <c r="O7" s="35">
        <f t="shared" si="1"/>
        <v>1549.3400000000001</v>
      </c>
      <c r="P7" s="35">
        <f t="shared" si="1"/>
        <v>1457.3400000000001</v>
      </c>
      <c r="Q7" s="35">
        <f t="shared" si="1"/>
        <v>1407.0400000000002</v>
      </c>
      <c r="R7" s="35">
        <f t="shared" si="1"/>
        <v>1314.3400000000001</v>
      </c>
      <c r="S7" s="35">
        <f t="shared" si="1"/>
        <v>1287.0400000000002</v>
      </c>
      <c r="T7" s="35">
        <f t="shared" si="1"/>
        <v>1316.0400000000002</v>
      </c>
      <c r="U7" s="35">
        <f t="shared" si="1"/>
        <v>1339.54</v>
      </c>
      <c r="V7" s="35">
        <f t="shared" si="1"/>
        <v>1317.2400000000002</v>
      </c>
      <c r="W7" s="35">
        <f t="shared" si="1"/>
        <v>1542.0400000000002</v>
      </c>
      <c r="X7" s="35">
        <f t="shared" si="1"/>
        <v>1672.14</v>
      </c>
      <c r="Y7" s="35">
        <f t="shared" si="1"/>
        <v>1619.74</v>
      </c>
      <c r="Z7" s="35">
        <f t="shared" si="1"/>
        <v>1529.74</v>
      </c>
      <c r="AA7" s="35">
        <f t="shared" si="1"/>
        <v>1337.14</v>
      </c>
      <c r="AB7" s="35">
        <f t="shared" si="1"/>
        <v>1422.5400000000002</v>
      </c>
      <c r="AC7" s="35">
        <f t="shared" si="1"/>
        <v>1368.3400000000001</v>
      </c>
      <c r="AD7" s="35">
        <f t="shared" si="1"/>
        <v>1344.24</v>
      </c>
      <c r="AE7" s="35">
        <f t="shared" si="1"/>
        <v>1196.2400000000002</v>
      </c>
      <c r="AF7" s="35">
        <f t="shared" si="1"/>
        <v>1031.2400000000002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37.4</v>
      </c>
      <c r="C11" s="45">
        <v>37.4</v>
      </c>
      <c r="D11" s="45">
        <v>37.4</v>
      </c>
      <c r="E11" s="45">
        <v>37.4</v>
      </c>
      <c r="F11" s="45">
        <v>37.4</v>
      </c>
      <c r="G11" s="45">
        <v>37.4</v>
      </c>
      <c r="H11" s="45">
        <v>37.4</v>
      </c>
      <c r="I11" s="45">
        <v>36.700000000000003</v>
      </c>
      <c r="J11" s="45">
        <v>36.700000000000003</v>
      </c>
      <c r="K11" s="45">
        <v>36.700000000000003</v>
      </c>
      <c r="L11" s="45">
        <v>36.700000000000003</v>
      </c>
      <c r="M11" s="45">
        <v>36.700000000000003</v>
      </c>
      <c r="N11" s="45">
        <v>36.700000000000003</v>
      </c>
      <c r="O11" s="45">
        <v>36.700000000000003</v>
      </c>
      <c r="P11" s="45">
        <v>37.4</v>
      </c>
      <c r="Q11" s="45">
        <v>37.4</v>
      </c>
      <c r="R11" s="45">
        <v>37.4</v>
      </c>
      <c r="S11" s="45">
        <v>37.4</v>
      </c>
      <c r="T11" s="45">
        <v>37.4</v>
      </c>
      <c r="U11" s="45">
        <v>37.4</v>
      </c>
      <c r="V11" s="45">
        <v>37.4</v>
      </c>
      <c r="W11" s="45">
        <v>37.4</v>
      </c>
      <c r="X11" s="45">
        <v>37.4</v>
      </c>
      <c r="Y11" s="45">
        <v>37.4</v>
      </c>
      <c r="Z11" s="45">
        <v>37.4</v>
      </c>
      <c r="AA11" s="45">
        <v>37.4</v>
      </c>
      <c r="AB11" s="45">
        <v>37.4</v>
      </c>
      <c r="AC11" s="45">
        <v>37.4</v>
      </c>
      <c r="AD11" s="45">
        <v>37.4</v>
      </c>
      <c r="AE11" s="45">
        <v>37.4</v>
      </c>
      <c r="AF11" s="45">
        <v>37.4</v>
      </c>
      <c r="AG11" s="46">
        <v>86</v>
      </c>
      <c r="AH11" s="47">
        <f t="shared" ref="AH11:AH84" si="2">MAX(B11:AF11)</f>
        <v>37.4</v>
      </c>
      <c r="AI11" s="48">
        <f t="shared" ref="AI11:AI84" si="3">MIN(B11:AF11)</f>
        <v>36.700000000000003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13.8</v>
      </c>
      <c r="C12" s="45">
        <v>13.8</v>
      </c>
      <c r="D12" s="45">
        <v>13.8</v>
      </c>
      <c r="E12" s="45">
        <v>13.8</v>
      </c>
      <c r="F12" s="45">
        <v>13.8</v>
      </c>
      <c r="G12" s="45">
        <v>13.8</v>
      </c>
      <c r="H12" s="45">
        <v>13.8</v>
      </c>
      <c r="I12" s="45">
        <v>13.8</v>
      </c>
      <c r="J12" s="45">
        <v>13.8</v>
      </c>
      <c r="K12" s="45">
        <v>13.8</v>
      </c>
      <c r="L12" s="45">
        <v>13.8</v>
      </c>
      <c r="M12" s="45">
        <v>13.8</v>
      </c>
      <c r="N12" s="45">
        <v>13.8</v>
      </c>
      <c r="O12" s="45">
        <v>13.8</v>
      </c>
      <c r="P12" s="45">
        <v>13.8</v>
      </c>
      <c r="Q12" s="45">
        <v>13.8</v>
      </c>
      <c r="R12" s="45">
        <v>13.8</v>
      </c>
      <c r="S12" s="45">
        <v>13.8</v>
      </c>
      <c r="T12" s="45">
        <v>13.8</v>
      </c>
      <c r="U12" s="45">
        <v>13.8</v>
      </c>
      <c r="V12" s="45">
        <v>13.8</v>
      </c>
      <c r="W12" s="45">
        <v>13.8</v>
      </c>
      <c r="X12" s="45">
        <v>13.8</v>
      </c>
      <c r="Y12" s="45">
        <v>13.8</v>
      </c>
      <c r="Z12" s="45">
        <v>13.8</v>
      </c>
      <c r="AA12" s="45">
        <v>13.8</v>
      </c>
      <c r="AB12" s="45">
        <v>13.8</v>
      </c>
      <c r="AC12" s="45">
        <v>13.8</v>
      </c>
      <c r="AD12" s="45">
        <v>13.8</v>
      </c>
      <c r="AE12" s="45">
        <v>13.8</v>
      </c>
      <c r="AF12" s="45">
        <v>13.8</v>
      </c>
      <c r="AG12" s="49">
        <v>54</v>
      </c>
      <c r="AH12" s="47">
        <f t="shared" si="2"/>
        <v>13.8</v>
      </c>
      <c r="AI12" s="48">
        <f t="shared" si="3"/>
        <v>13.8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17</v>
      </c>
      <c r="C13" s="45">
        <v>17</v>
      </c>
      <c r="D13" s="45">
        <v>17</v>
      </c>
      <c r="E13" s="45">
        <v>17</v>
      </c>
      <c r="F13" s="45">
        <v>17</v>
      </c>
      <c r="G13" s="45">
        <v>17</v>
      </c>
      <c r="H13" s="45">
        <v>17</v>
      </c>
      <c r="I13" s="45">
        <v>17</v>
      </c>
      <c r="J13" s="45">
        <v>17</v>
      </c>
      <c r="K13" s="45">
        <v>17</v>
      </c>
      <c r="L13" s="45">
        <v>17</v>
      </c>
      <c r="M13" s="45">
        <v>17</v>
      </c>
      <c r="N13" s="45">
        <v>17</v>
      </c>
      <c r="O13" s="45">
        <v>17</v>
      </c>
      <c r="P13" s="45">
        <v>17</v>
      </c>
      <c r="Q13" s="45">
        <v>17</v>
      </c>
      <c r="R13" s="45">
        <v>17</v>
      </c>
      <c r="S13" s="45">
        <v>17</v>
      </c>
      <c r="T13" s="45">
        <v>17</v>
      </c>
      <c r="U13" s="45">
        <v>17</v>
      </c>
      <c r="V13" s="45">
        <v>17</v>
      </c>
      <c r="W13" s="45">
        <v>17</v>
      </c>
      <c r="X13" s="45">
        <v>17</v>
      </c>
      <c r="Y13" s="45">
        <v>17</v>
      </c>
      <c r="Z13" s="45">
        <v>17</v>
      </c>
      <c r="AA13" s="45">
        <v>17</v>
      </c>
      <c r="AB13" s="45">
        <v>17</v>
      </c>
      <c r="AC13" s="45">
        <v>17</v>
      </c>
      <c r="AD13" s="45">
        <v>17</v>
      </c>
      <c r="AE13" s="45">
        <v>17</v>
      </c>
      <c r="AF13" s="45">
        <v>17</v>
      </c>
      <c r="AG13" s="49">
        <v>54</v>
      </c>
      <c r="AH13" s="47">
        <f t="shared" si="2"/>
        <v>17</v>
      </c>
      <c r="AI13" s="48">
        <f t="shared" si="3"/>
        <v>17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20</v>
      </c>
      <c r="C14" s="45">
        <v>20</v>
      </c>
      <c r="D14" s="45">
        <v>20</v>
      </c>
      <c r="E14" s="45">
        <v>20</v>
      </c>
      <c r="F14" s="45">
        <v>20</v>
      </c>
      <c r="G14" s="45">
        <v>20</v>
      </c>
      <c r="H14" s="45">
        <v>20</v>
      </c>
      <c r="I14" s="45">
        <v>19.100000000000001</v>
      </c>
      <c r="J14" s="45">
        <v>19.100000000000001</v>
      </c>
      <c r="K14" s="45">
        <v>19.100000000000001</v>
      </c>
      <c r="L14" s="45">
        <v>19.100000000000001</v>
      </c>
      <c r="M14" s="45">
        <v>19.100000000000001</v>
      </c>
      <c r="N14" s="45">
        <v>19.100000000000001</v>
      </c>
      <c r="O14" s="45">
        <v>19.100000000000001</v>
      </c>
      <c r="P14" s="45">
        <v>19</v>
      </c>
      <c r="Q14" s="45">
        <v>19</v>
      </c>
      <c r="R14" s="45">
        <v>19</v>
      </c>
      <c r="S14" s="45">
        <v>19</v>
      </c>
      <c r="T14" s="45">
        <v>19</v>
      </c>
      <c r="U14" s="45">
        <v>19</v>
      </c>
      <c r="V14" s="45">
        <v>19</v>
      </c>
      <c r="W14" s="45">
        <v>19</v>
      </c>
      <c r="X14" s="45">
        <v>19</v>
      </c>
      <c r="Y14" s="45">
        <v>19</v>
      </c>
      <c r="Z14" s="45">
        <v>19</v>
      </c>
      <c r="AA14" s="45">
        <v>19</v>
      </c>
      <c r="AB14" s="45">
        <v>19</v>
      </c>
      <c r="AC14" s="45">
        <v>19</v>
      </c>
      <c r="AD14" s="45">
        <v>19</v>
      </c>
      <c r="AE14" s="45">
        <v>19</v>
      </c>
      <c r="AF14" s="45">
        <v>19</v>
      </c>
      <c r="AG14" s="46">
        <v>52.4</v>
      </c>
      <c r="AH14" s="47">
        <f t="shared" si="2"/>
        <v>20</v>
      </c>
      <c r="AI14" s="48">
        <f t="shared" si="3"/>
        <v>19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51">
        <v>39.5</v>
      </c>
      <c r="C15" s="51">
        <v>40.5</v>
      </c>
      <c r="D15" s="51">
        <v>40.700000000000003</v>
      </c>
      <c r="E15" s="51">
        <v>40.700000000000003</v>
      </c>
      <c r="F15" s="51">
        <v>41</v>
      </c>
      <c r="G15" s="51">
        <v>41</v>
      </c>
      <c r="H15" s="51">
        <v>41</v>
      </c>
      <c r="I15" s="51">
        <v>40.799999999999997</v>
      </c>
      <c r="J15" s="51">
        <v>40.799999999999997</v>
      </c>
      <c r="K15" s="51">
        <v>40.799999999999997</v>
      </c>
      <c r="L15" s="51">
        <v>40.799999999999997</v>
      </c>
      <c r="M15" s="51">
        <v>40.799999999999997</v>
      </c>
      <c r="N15" s="51">
        <v>40.799999999999997</v>
      </c>
      <c r="O15" s="51">
        <v>40.799999999999997</v>
      </c>
      <c r="P15" s="51">
        <v>40.5</v>
      </c>
      <c r="Q15" s="51">
        <v>40.5</v>
      </c>
      <c r="R15" s="51">
        <v>40.5</v>
      </c>
      <c r="S15" s="51">
        <v>40.5</v>
      </c>
      <c r="T15" s="51">
        <v>40.5</v>
      </c>
      <c r="U15" s="51">
        <v>40.5</v>
      </c>
      <c r="V15" s="51">
        <v>40.5</v>
      </c>
      <c r="W15" s="51">
        <v>40.5</v>
      </c>
      <c r="X15" s="51">
        <v>40.5</v>
      </c>
      <c r="Y15" s="51">
        <v>40.5</v>
      </c>
      <c r="Z15" s="51">
        <v>40.5</v>
      </c>
      <c r="AA15" s="51">
        <v>40.5</v>
      </c>
      <c r="AB15" s="51">
        <v>40.5</v>
      </c>
      <c r="AC15" s="51">
        <v>40.5</v>
      </c>
      <c r="AD15" s="51">
        <v>40.5</v>
      </c>
      <c r="AE15" s="51">
        <v>40.5</v>
      </c>
      <c r="AF15" s="51">
        <v>40.5</v>
      </c>
      <c r="AG15" s="49">
        <v>50</v>
      </c>
      <c r="AH15" s="47">
        <f t="shared" si="2"/>
        <v>41</v>
      </c>
      <c r="AI15" s="48">
        <f t="shared" si="3"/>
        <v>39.5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21.6</v>
      </c>
      <c r="C16" s="45">
        <v>20.6</v>
      </c>
      <c r="D16" s="45">
        <v>21.4</v>
      </c>
      <c r="E16" s="45">
        <v>21.4</v>
      </c>
      <c r="F16" s="45">
        <v>20.6</v>
      </c>
      <c r="G16" s="45">
        <v>20.6</v>
      </c>
      <c r="H16" s="45">
        <v>20.6</v>
      </c>
      <c r="I16" s="45">
        <v>20.6</v>
      </c>
      <c r="J16" s="45">
        <v>20.6</v>
      </c>
      <c r="K16" s="45">
        <v>20.6</v>
      </c>
      <c r="L16" s="45">
        <v>20.6</v>
      </c>
      <c r="M16" s="45">
        <v>20.6</v>
      </c>
      <c r="N16" s="45">
        <v>20.6</v>
      </c>
      <c r="O16" s="45">
        <v>20.6</v>
      </c>
      <c r="P16" s="45">
        <v>20.6</v>
      </c>
      <c r="Q16" s="45">
        <v>20.6</v>
      </c>
      <c r="R16" s="45">
        <v>20.6</v>
      </c>
      <c r="S16" s="45">
        <v>20.6</v>
      </c>
      <c r="T16" s="45">
        <v>20.6</v>
      </c>
      <c r="U16" s="45">
        <v>20.6</v>
      </c>
      <c r="V16" s="45">
        <v>20.6</v>
      </c>
      <c r="W16" s="45">
        <v>20.6</v>
      </c>
      <c r="X16" s="45">
        <v>20.6</v>
      </c>
      <c r="Y16" s="45">
        <v>20.6</v>
      </c>
      <c r="Z16" s="45">
        <v>20.6</v>
      </c>
      <c r="AA16" s="45">
        <v>20.6</v>
      </c>
      <c r="AB16" s="45">
        <v>20.6</v>
      </c>
      <c r="AC16" s="45">
        <v>20.6</v>
      </c>
      <c r="AD16" s="45">
        <v>20.6</v>
      </c>
      <c r="AE16" s="45">
        <v>20.6</v>
      </c>
      <c r="AF16" s="45">
        <v>20.6</v>
      </c>
      <c r="AG16" s="49">
        <v>45</v>
      </c>
      <c r="AH16" s="47">
        <f t="shared" si="2"/>
        <v>21.6</v>
      </c>
      <c r="AI16" s="48">
        <f t="shared" si="3"/>
        <v>20.6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11</v>
      </c>
      <c r="C18" s="45">
        <v>11</v>
      </c>
      <c r="D18" s="45">
        <v>11</v>
      </c>
      <c r="E18" s="45">
        <v>11</v>
      </c>
      <c r="F18" s="45">
        <v>11</v>
      </c>
      <c r="G18" s="45">
        <v>11</v>
      </c>
      <c r="H18" s="45">
        <v>11</v>
      </c>
      <c r="I18" s="45">
        <v>11</v>
      </c>
      <c r="J18" s="45">
        <v>11</v>
      </c>
      <c r="K18" s="45">
        <v>11</v>
      </c>
      <c r="L18" s="45">
        <v>11</v>
      </c>
      <c r="M18" s="45">
        <v>11</v>
      </c>
      <c r="N18" s="45">
        <v>11</v>
      </c>
      <c r="O18" s="45">
        <v>11</v>
      </c>
      <c r="P18" s="45">
        <v>10.5</v>
      </c>
      <c r="Q18" s="45">
        <v>10.5</v>
      </c>
      <c r="R18" s="45">
        <v>10.5</v>
      </c>
      <c r="S18" s="45">
        <v>10.5</v>
      </c>
      <c r="T18" s="45">
        <v>10.5</v>
      </c>
      <c r="U18" s="45">
        <v>10.5</v>
      </c>
      <c r="V18" s="45">
        <v>10.5</v>
      </c>
      <c r="W18" s="45">
        <v>10.5</v>
      </c>
      <c r="X18" s="45">
        <v>10.5</v>
      </c>
      <c r="Y18" s="45">
        <v>10.5</v>
      </c>
      <c r="Z18" s="45">
        <v>10.5</v>
      </c>
      <c r="AA18" s="45">
        <v>10.5</v>
      </c>
      <c r="AB18" s="45">
        <v>10.5</v>
      </c>
      <c r="AC18" s="45">
        <v>10.5</v>
      </c>
      <c r="AD18" s="45">
        <v>10.5</v>
      </c>
      <c r="AE18" s="45">
        <v>10.5</v>
      </c>
      <c r="AF18" s="45">
        <v>10.5</v>
      </c>
      <c r="AG18" s="49">
        <v>42</v>
      </c>
      <c r="AH18" s="47">
        <f t="shared" si="2"/>
        <v>11</v>
      </c>
      <c r="AI18" s="48">
        <f t="shared" si="3"/>
        <v>10.5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12.5</v>
      </c>
      <c r="C20" s="45">
        <v>12.5</v>
      </c>
      <c r="D20" s="45">
        <v>12.5</v>
      </c>
      <c r="E20" s="45">
        <v>12.5</v>
      </c>
      <c r="F20" s="45">
        <v>12.5</v>
      </c>
      <c r="G20" s="45">
        <v>12.5</v>
      </c>
      <c r="H20" s="45">
        <v>12.5</v>
      </c>
      <c r="I20" s="45">
        <v>12.5</v>
      </c>
      <c r="J20" s="45">
        <v>12.5</v>
      </c>
      <c r="K20" s="45">
        <v>12.5</v>
      </c>
      <c r="L20" s="45">
        <v>12.5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12.5</v>
      </c>
      <c r="T20" s="45">
        <v>12.5</v>
      </c>
      <c r="U20" s="45">
        <v>12.5</v>
      </c>
      <c r="V20" s="45">
        <v>12.5</v>
      </c>
      <c r="W20" s="45">
        <v>12.5</v>
      </c>
      <c r="X20" s="45">
        <v>12.5</v>
      </c>
      <c r="Y20" s="45">
        <v>12.5</v>
      </c>
      <c r="Z20" s="45">
        <v>12.5</v>
      </c>
      <c r="AA20" s="45">
        <v>12.5</v>
      </c>
      <c r="AB20" s="45">
        <v>12.5</v>
      </c>
      <c r="AC20" s="45">
        <v>12.5</v>
      </c>
      <c r="AD20" s="45">
        <v>12.5</v>
      </c>
      <c r="AE20" s="45">
        <v>12.5</v>
      </c>
      <c r="AF20" s="45">
        <v>12.5</v>
      </c>
      <c r="AG20" s="49">
        <v>38.46</v>
      </c>
      <c r="AH20" s="47">
        <f t="shared" si="2"/>
        <v>12.5</v>
      </c>
      <c r="AI20" s="48">
        <f t="shared" si="3"/>
        <v>12.5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11.7</v>
      </c>
      <c r="C22" s="45">
        <v>11.7</v>
      </c>
      <c r="D22" s="45">
        <v>11.7</v>
      </c>
      <c r="E22" s="45">
        <v>11.7</v>
      </c>
      <c r="F22" s="45">
        <v>11.7</v>
      </c>
      <c r="G22" s="45">
        <v>11.7</v>
      </c>
      <c r="H22" s="45">
        <v>11.7</v>
      </c>
      <c r="I22" s="45">
        <v>11.7</v>
      </c>
      <c r="J22" s="45">
        <v>11.7</v>
      </c>
      <c r="K22" s="45">
        <v>11.7</v>
      </c>
      <c r="L22" s="45">
        <v>11.7</v>
      </c>
      <c r="M22" s="45">
        <v>11.7</v>
      </c>
      <c r="N22" s="45">
        <v>11.7</v>
      </c>
      <c r="O22" s="45">
        <v>11.7</v>
      </c>
      <c r="P22" s="45">
        <v>11.7</v>
      </c>
      <c r="Q22" s="45">
        <v>11.7</v>
      </c>
      <c r="R22" s="45">
        <v>11.7</v>
      </c>
      <c r="S22" s="45">
        <v>11.7</v>
      </c>
      <c r="T22" s="45">
        <v>11.7</v>
      </c>
      <c r="U22" s="45">
        <v>11.7</v>
      </c>
      <c r="V22" s="45">
        <v>11.7</v>
      </c>
      <c r="W22" s="45">
        <v>11.7</v>
      </c>
      <c r="X22" s="45">
        <v>11.7</v>
      </c>
      <c r="Y22" s="45">
        <v>11.7</v>
      </c>
      <c r="Z22" s="45">
        <v>11.7</v>
      </c>
      <c r="AA22" s="45">
        <v>11.7</v>
      </c>
      <c r="AB22" s="45">
        <v>11.7</v>
      </c>
      <c r="AC22" s="45">
        <v>11.7</v>
      </c>
      <c r="AD22" s="45">
        <v>11.7</v>
      </c>
      <c r="AE22" s="45">
        <v>11.7</v>
      </c>
      <c r="AF22" s="45">
        <v>11.7</v>
      </c>
      <c r="AG22" s="52">
        <v>30</v>
      </c>
      <c r="AH22" s="47">
        <f t="shared" si="2"/>
        <v>11.7</v>
      </c>
      <c r="AI22" s="48">
        <f t="shared" si="3"/>
        <v>11.7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13.5</v>
      </c>
      <c r="C23" s="45">
        <v>13.5</v>
      </c>
      <c r="D23" s="45">
        <v>13.5</v>
      </c>
      <c r="E23" s="45">
        <v>13.5</v>
      </c>
      <c r="F23" s="45">
        <v>13.5</v>
      </c>
      <c r="G23" s="45">
        <v>13.5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13.5</v>
      </c>
      <c r="W23" s="45">
        <v>13.5</v>
      </c>
      <c r="X23" s="45">
        <v>13.5</v>
      </c>
      <c r="Y23" s="45">
        <v>13.5</v>
      </c>
      <c r="Z23" s="45">
        <v>13.5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49">
        <v>24.2</v>
      </c>
      <c r="AH23" s="47">
        <f t="shared" si="2"/>
        <v>13.5</v>
      </c>
      <c r="AI23" s="48">
        <f t="shared" si="3"/>
        <v>13.5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12</v>
      </c>
      <c r="C24" s="45">
        <v>12</v>
      </c>
      <c r="D24" s="45">
        <v>12</v>
      </c>
      <c r="E24" s="45">
        <v>12</v>
      </c>
      <c r="F24" s="45">
        <v>12</v>
      </c>
      <c r="G24" s="45">
        <v>12</v>
      </c>
      <c r="H24" s="45">
        <v>12</v>
      </c>
      <c r="I24" s="45">
        <v>12</v>
      </c>
      <c r="J24" s="45">
        <v>12</v>
      </c>
      <c r="K24" s="45">
        <v>12</v>
      </c>
      <c r="L24" s="45">
        <v>12</v>
      </c>
      <c r="M24" s="45">
        <v>12</v>
      </c>
      <c r="N24" s="45">
        <v>12</v>
      </c>
      <c r="O24" s="45">
        <v>12</v>
      </c>
      <c r="P24" s="45">
        <v>12</v>
      </c>
      <c r="Q24" s="45">
        <v>12</v>
      </c>
      <c r="R24" s="45">
        <v>12</v>
      </c>
      <c r="S24" s="45">
        <v>12</v>
      </c>
      <c r="T24" s="45">
        <v>12</v>
      </c>
      <c r="U24" s="45">
        <v>12</v>
      </c>
      <c r="V24" s="45">
        <v>12</v>
      </c>
      <c r="W24" s="45">
        <v>12</v>
      </c>
      <c r="X24" s="45">
        <v>12</v>
      </c>
      <c r="Y24" s="45">
        <v>12</v>
      </c>
      <c r="Z24" s="45">
        <v>12</v>
      </c>
      <c r="AA24" s="45">
        <v>12</v>
      </c>
      <c r="AB24" s="45">
        <v>12</v>
      </c>
      <c r="AC24" s="45">
        <v>12</v>
      </c>
      <c r="AD24" s="45">
        <v>12</v>
      </c>
      <c r="AE24" s="45">
        <v>12</v>
      </c>
      <c r="AF24" s="45">
        <v>12</v>
      </c>
      <c r="AG24" s="49">
        <v>28</v>
      </c>
      <c r="AH24" s="47">
        <f t="shared" si="2"/>
        <v>12</v>
      </c>
      <c r="AI24" s="48">
        <f t="shared" si="3"/>
        <v>12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9.6</v>
      </c>
      <c r="C25" s="45">
        <v>9.6</v>
      </c>
      <c r="D25" s="45">
        <v>0</v>
      </c>
      <c r="E25" s="45">
        <v>13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9</v>
      </c>
      <c r="N25" s="45">
        <v>9</v>
      </c>
      <c r="O25" s="45">
        <v>9</v>
      </c>
      <c r="P25" s="45">
        <v>9</v>
      </c>
      <c r="Q25" s="45">
        <v>9</v>
      </c>
      <c r="R25" s="45">
        <v>9</v>
      </c>
      <c r="S25" s="45">
        <v>9</v>
      </c>
      <c r="T25" s="45">
        <v>9</v>
      </c>
      <c r="U25" s="45">
        <v>9</v>
      </c>
      <c r="V25" s="45">
        <v>9</v>
      </c>
      <c r="W25" s="45">
        <v>9</v>
      </c>
      <c r="X25" s="45">
        <v>9</v>
      </c>
      <c r="Y25" s="45">
        <v>9</v>
      </c>
      <c r="Z25" s="45">
        <v>9</v>
      </c>
      <c r="AA25" s="45">
        <v>9</v>
      </c>
      <c r="AB25" s="45">
        <v>9</v>
      </c>
      <c r="AC25" s="45">
        <v>9</v>
      </c>
      <c r="AD25" s="45">
        <v>9</v>
      </c>
      <c r="AE25" s="45">
        <v>9</v>
      </c>
      <c r="AF25" s="45">
        <v>9</v>
      </c>
      <c r="AG25" s="52">
        <v>30</v>
      </c>
      <c r="AH25" s="47">
        <f t="shared" si="2"/>
        <v>13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11.5</v>
      </c>
      <c r="C26" s="45">
        <v>11.9</v>
      </c>
      <c r="D26" s="45">
        <v>11.9</v>
      </c>
      <c r="E26" s="45">
        <v>11.9</v>
      </c>
      <c r="F26" s="45">
        <v>11.9</v>
      </c>
      <c r="G26" s="45">
        <v>11.9</v>
      </c>
      <c r="H26" s="45">
        <v>11.9</v>
      </c>
      <c r="I26" s="45">
        <v>11.9</v>
      </c>
      <c r="J26" s="45">
        <v>11.9</v>
      </c>
      <c r="K26" s="45">
        <v>11.9</v>
      </c>
      <c r="L26" s="45">
        <v>11.9</v>
      </c>
      <c r="M26" s="45">
        <v>11.9</v>
      </c>
      <c r="N26" s="45">
        <v>11.9</v>
      </c>
      <c r="O26" s="45">
        <v>11.9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49">
        <v>25</v>
      </c>
      <c r="AH26" s="47">
        <f t="shared" si="2"/>
        <v>11.9</v>
      </c>
      <c r="AI26" s="48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10.8</v>
      </c>
      <c r="C29" s="45">
        <v>10.8</v>
      </c>
      <c r="D29" s="45">
        <v>10.8</v>
      </c>
      <c r="E29" s="45">
        <v>10.8</v>
      </c>
      <c r="F29" s="45">
        <v>10.8</v>
      </c>
      <c r="G29" s="45">
        <v>10.8</v>
      </c>
      <c r="H29" s="45">
        <v>10.8</v>
      </c>
      <c r="I29" s="45">
        <v>10.8</v>
      </c>
      <c r="J29" s="45">
        <v>10.8</v>
      </c>
      <c r="K29" s="45">
        <v>10.8</v>
      </c>
      <c r="L29" s="45">
        <v>10.8</v>
      </c>
      <c r="M29" s="45">
        <v>10.8</v>
      </c>
      <c r="N29" s="45">
        <v>10.8</v>
      </c>
      <c r="O29" s="45">
        <v>10.8</v>
      </c>
      <c r="P29" s="45">
        <v>10.8</v>
      </c>
      <c r="Q29" s="45">
        <v>10.8</v>
      </c>
      <c r="R29" s="45">
        <v>10.8</v>
      </c>
      <c r="S29" s="45">
        <v>10.8</v>
      </c>
      <c r="T29" s="45">
        <v>10.8</v>
      </c>
      <c r="U29" s="45">
        <v>10.8</v>
      </c>
      <c r="V29" s="45">
        <v>10.8</v>
      </c>
      <c r="W29" s="45">
        <v>10.8</v>
      </c>
      <c r="X29" s="45">
        <v>10.8</v>
      </c>
      <c r="Y29" s="45">
        <v>10.8</v>
      </c>
      <c r="Z29" s="45">
        <v>10.8</v>
      </c>
      <c r="AA29" s="45">
        <v>10.8</v>
      </c>
      <c r="AB29" s="45">
        <v>10.8</v>
      </c>
      <c r="AC29" s="45">
        <v>10.8</v>
      </c>
      <c r="AD29" s="45">
        <v>10.8</v>
      </c>
      <c r="AE29" s="45">
        <v>10.8</v>
      </c>
      <c r="AF29" s="45">
        <v>10.8</v>
      </c>
      <c r="AG29" s="49">
        <v>25</v>
      </c>
      <c r="AH29" s="47">
        <f t="shared" si="2"/>
        <v>10.8</v>
      </c>
      <c r="AI29" s="48">
        <f t="shared" si="3"/>
        <v>10.8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10.3</v>
      </c>
      <c r="C30" s="45">
        <v>10.3</v>
      </c>
      <c r="D30" s="45">
        <v>10.4</v>
      </c>
      <c r="E30" s="45">
        <v>10.4</v>
      </c>
      <c r="F30" s="45">
        <v>10.4</v>
      </c>
      <c r="G30" s="45">
        <v>10.4</v>
      </c>
      <c r="H30" s="45">
        <v>10.4</v>
      </c>
      <c r="I30" s="45">
        <v>10.4</v>
      </c>
      <c r="J30" s="45">
        <v>10.4</v>
      </c>
      <c r="K30" s="45">
        <v>10.4</v>
      </c>
      <c r="L30" s="45">
        <v>10.4</v>
      </c>
      <c r="M30" s="45">
        <v>10.4</v>
      </c>
      <c r="N30" s="45">
        <v>10.4</v>
      </c>
      <c r="O30" s="45">
        <v>10.4</v>
      </c>
      <c r="P30" s="45">
        <v>10</v>
      </c>
      <c r="Q30" s="45">
        <v>10</v>
      </c>
      <c r="R30" s="45">
        <v>10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10</v>
      </c>
      <c r="AE30" s="45">
        <v>10</v>
      </c>
      <c r="AF30" s="45">
        <v>10</v>
      </c>
      <c r="AG30" s="49">
        <v>23.5</v>
      </c>
      <c r="AH30" s="47">
        <f t="shared" si="2"/>
        <v>10.4</v>
      </c>
      <c r="AI30" s="48">
        <f t="shared" si="3"/>
        <v>10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6.26</v>
      </c>
      <c r="C33" s="45">
        <v>6.26</v>
      </c>
      <c r="D33" s="45">
        <v>6.26</v>
      </c>
      <c r="E33" s="45">
        <v>6.26</v>
      </c>
      <c r="F33" s="45">
        <v>6.26</v>
      </c>
      <c r="G33" s="45">
        <v>6.26</v>
      </c>
      <c r="H33" s="45">
        <v>6.26</v>
      </c>
      <c r="I33" s="45">
        <v>6.26</v>
      </c>
      <c r="J33" s="45">
        <v>6.26</v>
      </c>
      <c r="K33" s="45">
        <v>6.26</v>
      </c>
      <c r="L33" s="45">
        <v>6.26</v>
      </c>
      <c r="M33" s="45">
        <v>6.26</v>
      </c>
      <c r="N33" s="45">
        <v>6.26</v>
      </c>
      <c r="O33" s="45">
        <v>6.26</v>
      </c>
      <c r="P33" s="45">
        <v>6.26</v>
      </c>
      <c r="Q33" s="45">
        <v>6.26</v>
      </c>
      <c r="R33" s="45">
        <v>6.26</v>
      </c>
      <c r="S33" s="45">
        <v>6.26</v>
      </c>
      <c r="T33" s="45">
        <v>6.26</v>
      </c>
      <c r="U33" s="45">
        <v>6.26</v>
      </c>
      <c r="V33" s="45">
        <v>6.26</v>
      </c>
      <c r="W33" s="45">
        <v>6.26</v>
      </c>
      <c r="X33" s="45">
        <v>6.26</v>
      </c>
      <c r="Y33" s="45">
        <v>6.26</v>
      </c>
      <c r="Z33" s="45">
        <v>6.26</v>
      </c>
      <c r="AA33" s="45">
        <v>6.26</v>
      </c>
      <c r="AB33" s="45">
        <v>6.26</v>
      </c>
      <c r="AC33" s="45">
        <v>6.26</v>
      </c>
      <c r="AD33" s="45">
        <v>6.26</v>
      </c>
      <c r="AE33" s="45">
        <v>6.26</v>
      </c>
      <c r="AF33" s="45">
        <v>6.26</v>
      </c>
      <c r="AG33" s="49">
        <v>22</v>
      </c>
      <c r="AH33" s="47">
        <f t="shared" si="2"/>
        <v>6.26</v>
      </c>
      <c r="AI33" s="48">
        <f t="shared" si="3"/>
        <v>6.26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10.9</v>
      </c>
      <c r="C34" s="45">
        <v>11.4</v>
      </c>
      <c r="D34" s="45">
        <v>11.1</v>
      </c>
      <c r="E34" s="45">
        <v>11.1</v>
      </c>
      <c r="F34" s="45">
        <v>11.1</v>
      </c>
      <c r="G34" s="45">
        <v>11.1</v>
      </c>
      <c r="H34" s="45">
        <v>11.1</v>
      </c>
      <c r="I34" s="45">
        <v>11.1</v>
      </c>
      <c r="J34" s="45">
        <v>11.1</v>
      </c>
      <c r="K34" s="45">
        <v>11.1</v>
      </c>
      <c r="L34" s="45">
        <v>11.1</v>
      </c>
      <c r="M34" s="45">
        <v>11.1</v>
      </c>
      <c r="N34" s="45">
        <v>11.1</v>
      </c>
      <c r="O34" s="45">
        <v>11.1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49">
        <v>22</v>
      </c>
      <c r="AH34" s="47">
        <f t="shared" si="2"/>
        <v>11.4</v>
      </c>
      <c r="AI34" s="48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1">
        <f>8.8+25.2</f>
        <v>34</v>
      </c>
      <c r="C57" s="51">
        <f>8.8+25.5</f>
        <v>34.299999999999997</v>
      </c>
      <c r="D57" s="51">
        <f>8.8+25.5</f>
        <v>34.299999999999997</v>
      </c>
      <c r="E57" s="57">
        <f>8.6+24.9</f>
        <v>33.5</v>
      </c>
      <c r="F57" s="57">
        <f>8.8+25</f>
        <v>33.799999999999997</v>
      </c>
      <c r="G57" s="57">
        <f>8.8+24.8</f>
        <v>33.6</v>
      </c>
      <c r="H57" s="57">
        <f>8.6+24.4</f>
        <v>33</v>
      </c>
      <c r="I57" s="57">
        <f>8.2+23.8</f>
        <v>32</v>
      </c>
      <c r="J57" s="57">
        <f>7.9+23.2</f>
        <v>31.1</v>
      </c>
      <c r="K57" s="51">
        <f>7.8+22.6</f>
        <v>30.400000000000002</v>
      </c>
      <c r="L57" s="51">
        <f>7.8+22.6</f>
        <v>30.400000000000002</v>
      </c>
      <c r="M57" s="51">
        <f>7.8+22.6</f>
        <v>30.400000000000002</v>
      </c>
      <c r="N57" s="51">
        <f t="shared" ref="N57:O57" si="4">7.8+22.6</f>
        <v>30.400000000000002</v>
      </c>
      <c r="O57" s="51">
        <f t="shared" si="4"/>
        <v>30.400000000000002</v>
      </c>
      <c r="P57" s="51">
        <v>32.6</v>
      </c>
      <c r="Q57" s="51">
        <v>32.6</v>
      </c>
      <c r="R57" s="51">
        <v>32.6</v>
      </c>
      <c r="S57" s="51">
        <v>30.6</v>
      </c>
      <c r="T57" s="51">
        <v>30.6</v>
      </c>
      <c r="U57" s="51">
        <v>30.6</v>
      </c>
      <c r="V57" s="51">
        <v>30.6</v>
      </c>
      <c r="W57" s="51">
        <v>30.6</v>
      </c>
      <c r="X57" s="57">
        <v>30.6</v>
      </c>
      <c r="Y57" s="57">
        <v>30.6</v>
      </c>
      <c r="Z57" s="57">
        <v>30.6</v>
      </c>
      <c r="AA57" s="57">
        <v>30.6</v>
      </c>
      <c r="AB57" s="57">
        <v>28</v>
      </c>
      <c r="AC57" s="57">
        <v>28</v>
      </c>
      <c r="AD57" s="57">
        <v>28</v>
      </c>
      <c r="AE57" s="57">
        <v>28</v>
      </c>
      <c r="AF57" s="57">
        <v>28</v>
      </c>
      <c r="AG57" s="55">
        <v>240</v>
      </c>
      <c r="AH57" s="47">
        <f t="shared" si="2"/>
        <v>34.299999999999997</v>
      </c>
      <c r="AI57" s="48">
        <f t="shared" si="3"/>
        <v>28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630.6</v>
      </c>
      <c r="C58" s="60">
        <f t="shared" si="5"/>
        <v>631.5</v>
      </c>
      <c r="D58" s="60">
        <f t="shared" ref="D58" si="6">SUM(D11:D56)</f>
        <v>622.70000000000005</v>
      </c>
      <c r="E58" s="60">
        <f t="shared" ref="E58:AF58" si="7">SUM(E11:E56)</f>
        <v>635.70000000000005</v>
      </c>
      <c r="F58" s="60">
        <f t="shared" si="7"/>
        <v>631.20000000000005</v>
      </c>
      <c r="G58" s="60">
        <f t="shared" si="7"/>
        <v>631.20000000000005</v>
      </c>
      <c r="H58" s="60">
        <f t="shared" si="7"/>
        <v>631.20000000000005</v>
      </c>
      <c r="I58" s="60">
        <f t="shared" si="7"/>
        <v>629.40000000000009</v>
      </c>
      <c r="J58" s="60">
        <f t="shared" si="7"/>
        <v>629.40000000000009</v>
      </c>
      <c r="K58" s="60">
        <f t="shared" si="7"/>
        <v>629.40000000000009</v>
      </c>
      <c r="L58" s="60">
        <f t="shared" si="7"/>
        <v>629.40000000000009</v>
      </c>
      <c r="M58" s="60">
        <f t="shared" si="7"/>
        <v>629.40000000000009</v>
      </c>
      <c r="N58" s="60">
        <f t="shared" si="7"/>
        <v>629.40000000000009</v>
      </c>
      <c r="O58" s="60">
        <f t="shared" si="7"/>
        <v>629.40000000000009</v>
      </c>
      <c r="P58" s="60">
        <f t="shared" si="7"/>
        <v>623.40000000000009</v>
      </c>
      <c r="Q58" s="60">
        <f t="shared" si="7"/>
        <v>623.40000000000009</v>
      </c>
      <c r="R58" s="60">
        <f t="shared" si="7"/>
        <v>623.40000000000009</v>
      </c>
      <c r="S58" s="60">
        <f t="shared" si="7"/>
        <v>623.40000000000009</v>
      </c>
      <c r="T58" s="60">
        <f t="shared" ref="T58:U58" si="8">SUM(T11:T56)</f>
        <v>623.40000000000009</v>
      </c>
      <c r="U58" s="60">
        <f t="shared" si="8"/>
        <v>623.40000000000009</v>
      </c>
      <c r="V58" s="60">
        <f t="shared" ref="V58:X58" si="9">SUM(V11:V56)</f>
        <v>623.40000000000009</v>
      </c>
      <c r="W58" s="60">
        <f t="shared" si="9"/>
        <v>623.40000000000009</v>
      </c>
      <c r="X58" s="60">
        <f t="shared" si="9"/>
        <v>623.40000000000009</v>
      </c>
      <c r="Y58" s="60">
        <f t="shared" ref="Y58:Z58" si="10">SUM(Y11:Y56)</f>
        <v>623.40000000000009</v>
      </c>
      <c r="Z58" s="60">
        <f t="shared" si="10"/>
        <v>623.40000000000009</v>
      </c>
      <c r="AA58" s="60">
        <f t="shared" ref="AA58" si="11">SUM(AA11:AA56)</f>
        <v>623.40000000000009</v>
      </c>
      <c r="AB58" s="60">
        <f t="shared" si="7"/>
        <v>623.40000000000009</v>
      </c>
      <c r="AC58" s="60">
        <f t="shared" si="7"/>
        <v>623.40000000000009</v>
      </c>
      <c r="AD58" s="60">
        <f t="shared" si="7"/>
        <v>623.40000000000009</v>
      </c>
      <c r="AE58" s="60">
        <f t="shared" si="7"/>
        <v>623.40000000000009</v>
      </c>
      <c r="AF58" s="60">
        <f t="shared" si="7"/>
        <v>623.40000000000009</v>
      </c>
      <c r="AG58" s="61">
        <f>SUM(AG14:AG56)</f>
        <v>1042.4000000000001</v>
      </c>
      <c r="AH58" s="47">
        <f t="shared" si="2"/>
        <v>635.70000000000005</v>
      </c>
      <c r="AI58" s="48">
        <f t="shared" si="3"/>
        <v>622.70000000000005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70</v>
      </c>
      <c r="K59" s="45">
        <v>60</v>
      </c>
      <c r="L59" s="45">
        <v>340</v>
      </c>
      <c r="M59" s="45">
        <v>395</v>
      </c>
      <c r="N59" s="63">
        <v>430</v>
      </c>
      <c r="O59" s="63">
        <v>370</v>
      </c>
      <c r="P59" s="63">
        <v>120</v>
      </c>
      <c r="Q59" s="63">
        <v>70</v>
      </c>
      <c r="R59" s="63">
        <v>0</v>
      </c>
      <c r="S59" s="45">
        <v>0</v>
      </c>
      <c r="T59" s="45">
        <v>0</v>
      </c>
      <c r="U59" s="45">
        <v>0</v>
      </c>
      <c r="V59" s="45">
        <v>160</v>
      </c>
      <c r="W59" s="45">
        <v>380</v>
      </c>
      <c r="X59" s="45">
        <v>456</v>
      </c>
      <c r="Y59" s="45">
        <v>350</v>
      </c>
      <c r="Z59" s="45">
        <v>100</v>
      </c>
      <c r="AA59" s="45">
        <v>110</v>
      </c>
      <c r="AB59" s="45">
        <v>120</v>
      </c>
      <c r="AC59" s="45">
        <v>100</v>
      </c>
      <c r="AD59" s="45">
        <v>100</v>
      </c>
      <c r="AE59" s="45">
        <v>20</v>
      </c>
      <c r="AF59" s="45">
        <v>0</v>
      </c>
      <c r="AG59" s="52">
        <v>456</v>
      </c>
      <c r="AH59" s="47">
        <f t="shared" si="2"/>
        <v>456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37</v>
      </c>
      <c r="C60" s="65">
        <v>37</v>
      </c>
      <c r="D60" s="65">
        <v>37</v>
      </c>
      <c r="E60" s="65">
        <v>37</v>
      </c>
      <c r="F60" s="65">
        <v>37</v>
      </c>
      <c r="G60" s="65">
        <v>37</v>
      </c>
      <c r="H60" s="65">
        <v>37</v>
      </c>
      <c r="I60" s="65">
        <v>37</v>
      </c>
      <c r="J60" s="65">
        <v>37</v>
      </c>
      <c r="K60" s="65">
        <v>37</v>
      </c>
      <c r="L60" s="65">
        <v>37</v>
      </c>
      <c r="M60" s="65">
        <v>37</v>
      </c>
      <c r="N60" s="65">
        <v>37</v>
      </c>
      <c r="O60" s="65">
        <v>37</v>
      </c>
      <c r="P60" s="65">
        <v>37</v>
      </c>
      <c r="Q60" s="65">
        <v>37</v>
      </c>
      <c r="R60" s="65">
        <v>37</v>
      </c>
      <c r="S60" s="65">
        <v>37</v>
      </c>
      <c r="T60" s="65">
        <v>37</v>
      </c>
      <c r="U60" s="65">
        <v>37</v>
      </c>
      <c r="V60" s="65">
        <v>37</v>
      </c>
      <c r="W60" s="65">
        <v>37</v>
      </c>
      <c r="X60" s="65">
        <v>37</v>
      </c>
      <c r="Y60" s="65">
        <v>37</v>
      </c>
      <c r="Z60" s="65">
        <v>37</v>
      </c>
      <c r="AA60" s="65">
        <v>37</v>
      </c>
      <c r="AB60" s="65">
        <v>37</v>
      </c>
      <c r="AC60" s="65">
        <v>37</v>
      </c>
      <c r="AD60" s="65">
        <v>37</v>
      </c>
      <c r="AE60" s="65">
        <v>37</v>
      </c>
      <c r="AF60" s="65">
        <v>37</v>
      </c>
      <c r="AG60" s="55">
        <v>60</v>
      </c>
      <c r="AH60" s="47">
        <f t="shared" si="2"/>
        <v>37</v>
      </c>
      <c r="AI60" s="48">
        <f t="shared" si="3"/>
        <v>37</v>
      </c>
      <c r="AK60" s="50"/>
    </row>
    <row r="61" spans="1:88" ht="15.75" thickBot="1" x14ac:dyDescent="0.3">
      <c r="A61" s="66" t="s">
        <v>61</v>
      </c>
      <c r="B61" s="67">
        <v>15.1</v>
      </c>
      <c r="C61" s="67">
        <v>13.4</v>
      </c>
      <c r="D61" s="67">
        <v>13.5</v>
      </c>
      <c r="E61" s="67">
        <v>13.5</v>
      </c>
      <c r="F61" s="67">
        <v>13.4</v>
      </c>
      <c r="G61" s="67">
        <v>13.5</v>
      </c>
      <c r="H61" s="67">
        <v>13.4</v>
      </c>
      <c r="I61" s="67">
        <v>13.5</v>
      </c>
      <c r="J61" s="67">
        <v>13.5</v>
      </c>
      <c r="K61" s="67">
        <v>16.100000000000001</v>
      </c>
      <c r="L61" s="67">
        <v>16.100000000000001</v>
      </c>
      <c r="M61" s="67">
        <v>16.100000000000001</v>
      </c>
      <c r="N61" s="67">
        <v>16.100000000000001</v>
      </c>
      <c r="O61" s="67">
        <v>12.8</v>
      </c>
      <c r="P61" s="67">
        <v>12.8</v>
      </c>
      <c r="Q61" s="67">
        <v>12.8</v>
      </c>
      <c r="R61" s="67">
        <v>12.8</v>
      </c>
      <c r="S61" s="67">
        <v>12.7</v>
      </c>
      <c r="T61" s="67">
        <v>12.7</v>
      </c>
      <c r="U61" s="67">
        <v>12.7</v>
      </c>
      <c r="V61" s="67">
        <v>12.7</v>
      </c>
      <c r="W61" s="67">
        <v>12.7</v>
      </c>
      <c r="X61" s="67">
        <v>20.100000000000001</v>
      </c>
      <c r="Y61" s="67">
        <v>20.100000000000001</v>
      </c>
      <c r="Z61" s="67">
        <v>20.100000000000001</v>
      </c>
      <c r="AA61" s="67">
        <v>20.100000000000001</v>
      </c>
      <c r="AB61" s="67">
        <v>20.100000000000001</v>
      </c>
      <c r="AC61" s="67">
        <v>20.100000000000001</v>
      </c>
      <c r="AD61" s="67">
        <v>20.100000000000001</v>
      </c>
      <c r="AE61" s="67">
        <v>20.100000000000001</v>
      </c>
      <c r="AF61" s="67">
        <v>20.100000000000001</v>
      </c>
      <c r="AG61" s="68">
        <v>22.1</v>
      </c>
      <c r="AH61" s="47">
        <f t="shared" si="2"/>
        <v>20.100000000000001</v>
      </c>
      <c r="AI61" s="48">
        <f t="shared" si="3"/>
        <v>12.7</v>
      </c>
      <c r="AK61" s="50"/>
    </row>
    <row r="62" spans="1:88" ht="15.75" thickBot="1" x14ac:dyDescent="0.3">
      <c r="A62" s="69" t="s">
        <v>62</v>
      </c>
      <c r="B62" s="60">
        <f t="shared" ref="B62:C62" si="12">SUM(B59:B61)</f>
        <v>52.1</v>
      </c>
      <c r="C62" s="60">
        <f t="shared" si="12"/>
        <v>50.4</v>
      </c>
      <c r="D62" s="60">
        <f t="shared" ref="D62" si="13">SUM(D59:D61)</f>
        <v>50.5</v>
      </c>
      <c r="E62" s="60">
        <f t="shared" ref="E62:AG62" si="14">SUM(E59:E61)</f>
        <v>50.5</v>
      </c>
      <c r="F62" s="60">
        <f t="shared" si="14"/>
        <v>50.4</v>
      </c>
      <c r="G62" s="60">
        <f t="shared" si="14"/>
        <v>50.5</v>
      </c>
      <c r="H62" s="60">
        <f t="shared" si="14"/>
        <v>50.4</v>
      </c>
      <c r="I62" s="60">
        <f t="shared" si="14"/>
        <v>65.5</v>
      </c>
      <c r="J62" s="60">
        <f t="shared" si="14"/>
        <v>120.5</v>
      </c>
      <c r="K62" s="60">
        <f t="shared" si="14"/>
        <v>113.1</v>
      </c>
      <c r="L62" s="60">
        <f t="shared" si="14"/>
        <v>393.1</v>
      </c>
      <c r="M62" s="60">
        <f t="shared" si="14"/>
        <v>448.1</v>
      </c>
      <c r="N62" s="60">
        <f t="shared" si="14"/>
        <v>483.1</v>
      </c>
      <c r="O62" s="60">
        <f t="shared" si="14"/>
        <v>419.8</v>
      </c>
      <c r="P62" s="60">
        <f t="shared" si="14"/>
        <v>169.8</v>
      </c>
      <c r="Q62" s="60">
        <f t="shared" si="14"/>
        <v>119.8</v>
      </c>
      <c r="R62" s="60">
        <f t="shared" si="14"/>
        <v>49.8</v>
      </c>
      <c r="S62" s="60">
        <f t="shared" si="14"/>
        <v>49.7</v>
      </c>
      <c r="T62" s="60">
        <f t="shared" ref="T62:U62" si="15">SUM(T59:T61)</f>
        <v>49.7</v>
      </c>
      <c r="U62" s="60">
        <f t="shared" si="15"/>
        <v>49.7</v>
      </c>
      <c r="V62" s="60">
        <f t="shared" ref="V62:X62" si="16">SUM(V59:V61)</f>
        <v>209.7</v>
      </c>
      <c r="W62" s="60">
        <f t="shared" si="16"/>
        <v>429.7</v>
      </c>
      <c r="X62" s="60">
        <f t="shared" si="16"/>
        <v>513.1</v>
      </c>
      <c r="Y62" s="60">
        <f t="shared" ref="Y62:Z62" si="17">SUM(Y59:Y61)</f>
        <v>407.1</v>
      </c>
      <c r="Z62" s="60">
        <f t="shared" si="17"/>
        <v>157.1</v>
      </c>
      <c r="AA62" s="60">
        <f t="shared" ref="AA62" si="18">SUM(AA59:AA61)</f>
        <v>167.1</v>
      </c>
      <c r="AB62" s="60">
        <f t="shared" si="14"/>
        <v>177.1</v>
      </c>
      <c r="AC62" s="60">
        <f t="shared" si="14"/>
        <v>157.1</v>
      </c>
      <c r="AD62" s="60">
        <f t="shared" si="14"/>
        <v>157.1</v>
      </c>
      <c r="AE62" s="60">
        <f t="shared" si="14"/>
        <v>77.099999999999994</v>
      </c>
      <c r="AF62" s="60">
        <f t="shared" si="14"/>
        <v>57.1</v>
      </c>
      <c r="AG62" s="61">
        <f t="shared" si="14"/>
        <v>538.1</v>
      </c>
      <c r="AH62" s="47">
        <f t="shared" si="2"/>
        <v>513.1</v>
      </c>
      <c r="AI62" s="48">
        <f t="shared" si="3"/>
        <v>49.7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59</v>
      </c>
      <c r="I63" s="45">
        <v>80.900000000000006</v>
      </c>
      <c r="J63" s="45">
        <v>121.7</v>
      </c>
      <c r="K63" s="45">
        <v>126.4</v>
      </c>
      <c r="L63" s="45">
        <v>144</v>
      </c>
      <c r="M63" s="45">
        <v>144</v>
      </c>
      <c r="N63" s="45">
        <v>144</v>
      </c>
      <c r="O63" s="45">
        <v>144</v>
      </c>
      <c r="P63" s="45">
        <v>143.4</v>
      </c>
      <c r="Q63" s="45">
        <v>70.8</v>
      </c>
      <c r="R63" s="45">
        <v>60</v>
      </c>
      <c r="S63" s="45">
        <v>45</v>
      </c>
      <c r="T63" s="45">
        <v>41.9</v>
      </c>
      <c r="U63" s="45">
        <v>70.7</v>
      </c>
      <c r="V63" s="45">
        <v>96.9</v>
      </c>
      <c r="W63" s="45">
        <v>143.6</v>
      </c>
      <c r="X63" s="45">
        <v>143.6</v>
      </c>
      <c r="Y63" s="45">
        <v>143.6</v>
      </c>
      <c r="Z63" s="45">
        <v>143.6</v>
      </c>
      <c r="AA63" s="45">
        <v>143.6</v>
      </c>
      <c r="AB63" s="45">
        <v>97.6</v>
      </c>
      <c r="AC63" s="45">
        <v>48</v>
      </c>
      <c r="AD63" s="45">
        <v>48</v>
      </c>
      <c r="AE63" s="45">
        <v>0</v>
      </c>
      <c r="AF63" s="45">
        <v>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0</v>
      </c>
      <c r="C64" s="45">
        <v>0</v>
      </c>
      <c r="D64" s="45">
        <v>0</v>
      </c>
      <c r="E64" s="65">
        <v>0</v>
      </c>
      <c r="F64" s="65">
        <v>23.4</v>
      </c>
      <c r="G64" s="65">
        <v>23.5</v>
      </c>
      <c r="H64" s="65">
        <v>34.4</v>
      </c>
      <c r="I64" s="65">
        <v>25</v>
      </c>
      <c r="J64" s="65">
        <v>34.799999999999997</v>
      </c>
      <c r="K64" s="65">
        <v>69.5</v>
      </c>
      <c r="L64" s="65">
        <v>70</v>
      </c>
      <c r="M64" s="65">
        <v>70</v>
      </c>
      <c r="N64" s="65">
        <v>70</v>
      </c>
      <c r="O64" s="65">
        <v>70</v>
      </c>
      <c r="P64" s="65">
        <v>69.599999999999994</v>
      </c>
      <c r="Q64" s="65">
        <v>54.8</v>
      </c>
      <c r="R64" s="65">
        <v>25</v>
      </c>
      <c r="S64" s="45">
        <v>24.7</v>
      </c>
      <c r="T64" s="45">
        <v>25.1</v>
      </c>
      <c r="U64" s="45">
        <v>35.700000000000003</v>
      </c>
      <c r="V64" s="45">
        <v>60.4</v>
      </c>
      <c r="W64" s="45">
        <v>70.400000000000006</v>
      </c>
      <c r="X64" s="45">
        <v>70.400000000000006</v>
      </c>
      <c r="Y64" s="45">
        <v>70.400000000000006</v>
      </c>
      <c r="Z64" s="45">
        <v>70.400000000000006</v>
      </c>
      <c r="AA64" s="45">
        <v>60.5</v>
      </c>
      <c r="AB64" s="45">
        <v>50.6</v>
      </c>
      <c r="AC64" s="45">
        <v>24</v>
      </c>
      <c r="AD64" s="45">
        <v>24</v>
      </c>
      <c r="AE64" s="45">
        <v>24</v>
      </c>
      <c r="AF64" s="45">
        <v>0</v>
      </c>
      <c r="AG64" s="55">
        <v>70</v>
      </c>
      <c r="AH64" s="47">
        <f t="shared" si="2"/>
        <v>70.400000000000006</v>
      </c>
      <c r="AI64" s="48">
        <f t="shared" si="3"/>
        <v>0</v>
      </c>
      <c r="AK64" s="50"/>
    </row>
    <row r="65" spans="1:41" x14ac:dyDescent="0.25">
      <c r="A65" s="54" t="s">
        <v>65</v>
      </c>
      <c r="B65" s="45">
        <v>40.799999999999997</v>
      </c>
      <c r="C65" s="45">
        <v>0</v>
      </c>
      <c r="D65" s="45">
        <v>0</v>
      </c>
      <c r="E65" s="65">
        <v>22.7</v>
      </c>
      <c r="F65" s="65">
        <v>15.7</v>
      </c>
      <c r="G65" s="65">
        <v>23</v>
      </c>
      <c r="H65" s="65">
        <v>44.9</v>
      </c>
      <c r="I65" s="65">
        <v>35</v>
      </c>
      <c r="J65" s="65">
        <v>33.4</v>
      </c>
      <c r="K65" s="65">
        <v>52.8</v>
      </c>
      <c r="L65" s="65">
        <v>67.8</v>
      </c>
      <c r="M65" s="65">
        <v>67.8</v>
      </c>
      <c r="N65" s="65">
        <v>55</v>
      </c>
      <c r="O65" s="65">
        <v>55</v>
      </c>
      <c r="P65" s="65">
        <v>56.7</v>
      </c>
      <c r="Q65" s="65">
        <v>36.9</v>
      </c>
      <c r="R65" s="65">
        <v>37</v>
      </c>
      <c r="S65" s="45">
        <v>16.2</v>
      </c>
      <c r="T65" s="45">
        <v>16.3</v>
      </c>
      <c r="U65" s="45">
        <v>33.4</v>
      </c>
      <c r="V65" s="45">
        <v>52.8</v>
      </c>
      <c r="W65" s="45">
        <v>67.599999999999994</v>
      </c>
      <c r="X65" s="45">
        <v>67.599999999999994</v>
      </c>
      <c r="Y65" s="45">
        <v>67.599999999999994</v>
      </c>
      <c r="Z65" s="45">
        <v>67.599999999999994</v>
      </c>
      <c r="AA65" s="45">
        <v>67.599999999999994</v>
      </c>
      <c r="AB65" s="45">
        <v>67.099999999999994</v>
      </c>
      <c r="AC65" s="45">
        <v>66</v>
      </c>
      <c r="AD65" s="45">
        <v>67.099999999999994</v>
      </c>
      <c r="AE65" s="45">
        <v>50</v>
      </c>
      <c r="AF65" s="45">
        <v>16</v>
      </c>
      <c r="AG65" s="55">
        <v>69</v>
      </c>
      <c r="AH65" s="47">
        <f t="shared" si="2"/>
        <v>67.8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56.2</v>
      </c>
      <c r="C66" s="45">
        <v>52.4</v>
      </c>
      <c r="D66" s="45">
        <v>53.2</v>
      </c>
      <c r="E66" s="65">
        <v>54.4</v>
      </c>
      <c r="F66" s="65">
        <v>52.1</v>
      </c>
      <c r="G66" s="65">
        <v>52.4</v>
      </c>
      <c r="H66" s="65">
        <v>52.4</v>
      </c>
      <c r="I66" s="65">
        <v>52.1</v>
      </c>
      <c r="J66" s="65">
        <v>52.4</v>
      </c>
      <c r="K66" s="57">
        <v>52.4</v>
      </c>
      <c r="L66" s="57">
        <v>52.4</v>
      </c>
      <c r="M66" s="57">
        <v>52.4</v>
      </c>
      <c r="N66" s="57">
        <v>52.4</v>
      </c>
      <c r="O66" s="57">
        <v>52.4</v>
      </c>
      <c r="P66" s="57">
        <v>52.4</v>
      </c>
      <c r="Q66" s="65">
        <v>52.1</v>
      </c>
      <c r="R66" s="65">
        <v>52.1</v>
      </c>
      <c r="S66" s="45">
        <v>47.1</v>
      </c>
      <c r="T66" s="45">
        <v>50.2</v>
      </c>
      <c r="U66" s="45">
        <v>47.4</v>
      </c>
      <c r="V66" s="45">
        <v>49.7</v>
      </c>
      <c r="W66" s="45">
        <v>49.7</v>
      </c>
      <c r="X66" s="45">
        <v>49.7</v>
      </c>
      <c r="Y66" s="45">
        <v>49.7</v>
      </c>
      <c r="Z66" s="45">
        <v>49.7</v>
      </c>
      <c r="AA66" s="45">
        <v>49.7</v>
      </c>
      <c r="AB66" s="45">
        <v>59.7</v>
      </c>
      <c r="AC66" s="45">
        <v>59.7</v>
      </c>
      <c r="AD66" s="45">
        <v>59.7</v>
      </c>
      <c r="AE66" s="45">
        <v>59.7</v>
      </c>
      <c r="AF66" s="45">
        <v>59.7</v>
      </c>
      <c r="AG66" s="55">
        <v>60</v>
      </c>
      <c r="AH66" s="47">
        <f t="shared" si="2"/>
        <v>59.7</v>
      </c>
      <c r="AI66" s="48">
        <f t="shared" si="3"/>
        <v>47.1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15</v>
      </c>
      <c r="J67" s="65">
        <v>23</v>
      </c>
      <c r="K67" s="57">
        <v>27</v>
      </c>
      <c r="L67" s="57">
        <v>27</v>
      </c>
      <c r="M67" s="57">
        <v>27</v>
      </c>
      <c r="N67" s="57">
        <v>15</v>
      </c>
      <c r="O67" s="57">
        <v>15</v>
      </c>
      <c r="P67" s="57">
        <v>15</v>
      </c>
      <c r="Q67" s="65">
        <v>15</v>
      </c>
      <c r="R67" s="6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29</v>
      </c>
      <c r="Y67" s="45">
        <v>29</v>
      </c>
      <c r="Z67" s="45">
        <v>29</v>
      </c>
      <c r="AA67" s="45">
        <v>29</v>
      </c>
      <c r="AB67" s="45">
        <v>29</v>
      </c>
      <c r="AC67" s="45">
        <v>29</v>
      </c>
      <c r="AD67" s="45">
        <v>15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</v>
      </c>
      <c r="L68" s="65">
        <v>0</v>
      </c>
      <c r="M68" s="65">
        <v>0</v>
      </c>
      <c r="N68" s="65">
        <v>4</v>
      </c>
      <c r="O68" s="65">
        <v>6</v>
      </c>
      <c r="P68" s="65">
        <v>15.8</v>
      </c>
      <c r="Q68" s="65">
        <v>12.8</v>
      </c>
      <c r="R68" s="65">
        <v>12.8</v>
      </c>
      <c r="S68" s="45">
        <v>10.1</v>
      </c>
      <c r="T68" s="45">
        <v>6.6</v>
      </c>
      <c r="U68" s="45">
        <v>2.2999999999999998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15.8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16</v>
      </c>
      <c r="AI69" s="48">
        <f t="shared" si="3"/>
        <v>16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13.8</v>
      </c>
      <c r="C71" s="65">
        <v>14</v>
      </c>
      <c r="D71" s="65">
        <v>13.9</v>
      </c>
      <c r="E71" s="65">
        <v>13.9</v>
      </c>
      <c r="F71" s="65">
        <v>13.9</v>
      </c>
      <c r="G71" s="65">
        <v>13.9</v>
      </c>
      <c r="H71" s="65">
        <v>13.9</v>
      </c>
      <c r="I71" s="65">
        <v>13.9</v>
      </c>
      <c r="J71" s="65">
        <v>13.9</v>
      </c>
      <c r="K71" s="65">
        <v>13.9</v>
      </c>
      <c r="L71" s="65">
        <v>13.9</v>
      </c>
      <c r="M71" s="65">
        <v>13.9</v>
      </c>
      <c r="N71" s="65">
        <v>13.9</v>
      </c>
      <c r="O71" s="65">
        <v>13.9</v>
      </c>
      <c r="P71" s="65">
        <v>13.9</v>
      </c>
      <c r="Q71" s="65">
        <v>13.9</v>
      </c>
      <c r="R71" s="65">
        <v>13.9</v>
      </c>
      <c r="S71" s="65">
        <v>11.5</v>
      </c>
      <c r="T71" s="65">
        <v>11.5</v>
      </c>
      <c r="U71" s="65">
        <v>11.5</v>
      </c>
      <c r="V71" s="65">
        <v>11.5</v>
      </c>
      <c r="W71" s="65">
        <v>11.5</v>
      </c>
      <c r="X71" s="65">
        <v>11.5</v>
      </c>
      <c r="Y71" s="65">
        <v>11.5</v>
      </c>
      <c r="Z71" s="65">
        <v>11.5</v>
      </c>
      <c r="AA71" s="65">
        <v>11.5</v>
      </c>
      <c r="AB71" s="65">
        <v>11.5</v>
      </c>
      <c r="AC71" s="65">
        <v>11.5</v>
      </c>
      <c r="AD71" s="65">
        <v>11.5</v>
      </c>
      <c r="AE71" s="65">
        <v>11.5</v>
      </c>
      <c r="AF71" s="65">
        <v>11.5</v>
      </c>
      <c r="AG71" s="55">
        <v>14.1</v>
      </c>
      <c r="AH71" s="47">
        <f t="shared" si="2"/>
        <v>14</v>
      </c>
      <c r="AI71" s="48">
        <f t="shared" si="3"/>
        <v>11.5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5.0999999999999996</v>
      </c>
      <c r="C72" s="65">
        <v>5.9</v>
      </c>
      <c r="D72" s="65">
        <v>5.8</v>
      </c>
      <c r="E72" s="65">
        <v>5.8</v>
      </c>
      <c r="F72" s="65">
        <v>5.8</v>
      </c>
      <c r="G72" s="65">
        <v>5.8</v>
      </c>
      <c r="H72" s="65">
        <v>5.8</v>
      </c>
      <c r="I72" s="65">
        <v>5.8</v>
      </c>
      <c r="J72" s="65">
        <v>5.8</v>
      </c>
      <c r="K72" s="65">
        <v>5.8</v>
      </c>
      <c r="L72" s="65">
        <v>5.8</v>
      </c>
      <c r="M72" s="65">
        <v>5.8</v>
      </c>
      <c r="N72" s="65">
        <v>5.8</v>
      </c>
      <c r="O72" s="65">
        <v>5.8</v>
      </c>
      <c r="P72" s="65">
        <v>5.8</v>
      </c>
      <c r="Q72" s="65">
        <v>5.8</v>
      </c>
      <c r="R72" s="65">
        <v>5.8</v>
      </c>
      <c r="S72" s="65">
        <v>5</v>
      </c>
      <c r="T72" s="65">
        <v>5</v>
      </c>
      <c r="U72" s="65">
        <v>5</v>
      </c>
      <c r="V72" s="65">
        <v>5</v>
      </c>
      <c r="W72" s="65">
        <v>5</v>
      </c>
      <c r="X72" s="65">
        <v>5</v>
      </c>
      <c r="Y72" s="65">
        <v>5</v>
      </c>
      <c r="Z72" s="65">
        <v>5</v>
      </c>
      <c r="AA72" s="65">
        <v>5</v>
      </c>
      <c r="AB72" s="65">
        <v>5</v>
      </c>
      <c r="AC72" s="65">
        <v>5</v>
      </c>
      <c r="AD72" s="65">
        <v>5</v>
      </c>
      <c r="AE72" s="65">
        <v>5</v>
      </c>
      <c r="AF72" s="65">
        <v>5</v>
      </c>
      <c r="AG72" s="55">
        <v>14</v>
      </c>
      <c r="AH72" s="47">
        <f t="shared" si="2"/>
        <v>5.9</v>
      </c>
      <c r="AI72" s="48">
        <f t="shared" si="3"/>
        <v>5</v>
      </c>
      <c r="AK72" s="50"/>
    </row>
    <row r="73" spans="1:41" x14ac:dyDescent="0.25">
      <c r="A73" s="54" t="s">
        <v>73</v>
      </c>
      <c r="B73" s="65">
        <v>6</v>
      </c>
      <c r="C73" s="65">
        <v>6</v>
      </c>
      <c r="D73" s="65">
        <v>6</v>
      </c>
      <c r="E73" s="65">
        <v>6</v>
      </c>
      <c r="F73" s="65">
        <v>6</v>
      </c>
      <c r="G73" s="65">
        <v>6</v>
      </c>
      <c r="H73" s="65">
        <v>6</v>
      </c>
      <c r="I73" s="65">
        <v>6</v>
      </c>
      <c r="J73" s="65">
        <v>6</v>
      </c>
      <c r="K73" s="65">
        <v>6</v>
      </c>
      <c r="L73" s="65">
        <v>6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6</v>
      </c>
      <c r="V73" s="65">
        <v>6</v>
      </c>
      <c r="W73" s="65">
        <v>6</v>
      </c>
      <c r="X73" s="65">
        <v>6</v>
      </c>
      <c r="Y73" s="65">
        <v>6</v>
      </c>
      <c r="Z73" s="65">
        <v>6</v>
      </c>
      <c r="AA73" s="65">
        <v>6</v>
      </c>
      <c r="AB73" s="65">
        <v>6</v>
      </c>
      <c r="AC73" s="65">
        <v>6</v>
      </c>
      <c r="AD73" s="65">
        <v>6</v>
      </c>
      <c r="AE73" s="65">
        <v>6</v>
      </c>
      <c r="AF73" s="65">
        <v>6</v>
      </c>
      <c r="AG73" s="55">
        <v>10.050000000000001</v>
      </c>
      <c r="AH73" s="47">
        <f t="shared" si="2"/>
        <v>6</v>
      </c>
      <c r="AI73" s="48">
        <f t="shared" si="3"/>
        <v>6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AG250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9">SUM(B63:B75)</f>
        <v>148.44</v>
      </c>
      <c r="C76" s="60">
        <f t="shared" si="19"/>
        <v>104.84000000000002</v>
      </c>
      <c r="D76" s="60">
        <f t="shared" ref="D76" si="20">SUM(D63:D75)</f>
        <v>105.44000000000001</v>
      </c>
      <c r="E76" s="60">
        <f t="shared" ref="E76:AG76" si="21">SUM(E63:E75)</f>
        <v>129.34</v>
      </c>
      <c r="F76" s="60">
        <f t="shared" si="21"/>
        <v>143.44</v>
      </c>
      <c r="G76" s="60">
        <f t="shared" si="21"/>
        <v>151.14000000000001</v>
      </c>
      <c r="H76" s="60">
        <f t="shared" si="21"/>
        <v>242.94000000000003</v>
      </c>
      <c r="I76" s="60">
        <f t="shared" si="21"/>
        <v>260.24000000000007</v>
      </c>
      <c r="J76" s="60">
        <f t="shared" si="21"/>
        <v>317.54000000000002</v>
      </c>
      <c r="K76" s="60">
        <f t="shared" si="21"/>
        <v>380.34</v>
      </c>
      <c r="L76" s="60">
        <f t="shared" si="21"/>
        <v>413.44</v>
      </c>
      <c r="M76" s="60">
        <f t="shared" si="21"/>
        <v>413.44</v>
      </c>
      <c r="N76" s="60">
        <f t="shared" si="21"/>
        <v>392.64</v>
      </c>
      <c r="O76" s="60">
        <f t="shared" si="21"/>
        <v>394.64</v>
      </c>
      <c r="P76" s="60">
        <f t="shared" si="21"/>
        <v>405.14</v>
      </c>
      <c r="Q76" s="60">
        <f t="shared" si="21"/>
        <v>294.64</v>
      </c>
      <c r="R76" s="60">
        <f t="shared" si="21"/>
        <v>239.14000000000001</v>
      </c>
      <c r="S76" s="60">
        <f t="shared" si="21"/>
        <v>192.14</v>
      </c>
      <c r="T76" s="60">
        <f t="shared" ref="T76:U76" si="22">SUM(T63:T75)</f>
        <v>189.14</v>
      </c>
      <c r="U76" s="60">
        <f t="shared" si="22"/>
        <v>238.54000000000002</v>
      </c>
      <c r="V76" s="60">
        <f t="shared" ref="V76:X76" si="23">SUM(V63:V75)</f>
        <v>308.84000000000003</v>
      </c>
      <c r="W76" s="60">
        <f t="shared" si="23"/>
        <v>380.34000000000003</v>
      </c>
      <c r="X76" s="60">
        <f t="shared" si="23"/>
        <v>409.34000000000003</v>
      </c>
      <c r="Y76" s="60">
        <f t="shared" ref="Y76:Z76" si="24">SUM(Y63:Y75)</f>
        <v>409.34000000000003</v>
      </c>
      <c r="Z76" s="60">
        <f t="shared" si="24"/>
        <v>409.34000000000003</v>
      </c>
      <c r="AA76" s="60">
        <f t="shared" ref="AA76" si="25">SUM(AA63:AA75)</f>
        <v>399.44</v>
      </c>
      <c r="AB76" s="60">
        <f t="shared" si="21"/>
        <v>353.04</v>
      </c>
      <c r="AC76" s="60">
        <f t="shared" si="21"/>
        <v>275.74</v>
      </c>
      <c r="AD76" s="60">
        <f t="shared" si="21"/>
        <v>262.84000000000003</v>
      </c>
      <c r="AE76" s="60">
        <f t="shared" si="21"/>
        <v>182.73999999999998</v>
      </c>
      <c r="AF76" s="60">
        <f t="shared" si="21"/>
        <v>124.74000000000001</v>
      </c>
      <c r="AG76" s="61">
        <f t="shared" si="21"/>
        <v>489.91</v>
      </c>
      <c r="AH76" s="47">
        <f t="shared" si="2"/>
        <v>413.44</v>
      </c>
      <c r="AI76" s="48">
        <f t="shared" si="3"/>
        <v>104.84000000000002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/>
      <c r="O77" s="45"/>
      <c r="P77" s="45"/>
      <c r="Q77" s="45"/>
      <c r="R77" s="45"/>
      <c r="S77" s="45"/>
      <c r="T77" s="45"/>
      <c r="U77" s="45"/>
      <c r="V77" s="45">
        <v>14.4</v>
      </c>
      <c r="W77" s="45">
        <v>30.1</v>
      </c>
      <c r="X77" s="45">
        <v>60</v>
      </c>
      <c r="Y77" s="45">
        <v>60</v>
      </c>
      <c r="Z77" s="45">
        <v>60</v>
      </c>
      <c r="AA77" s="45">
        <v>60</v>
      </c>
      <c r="AB77" s="45">
        <v>60</v>
      </c>
      <c r="AC77" s="45">
        <v>60</v>
      </c>
      <c r="AD77" s="45">
        <v>40</v>
      </c>
      <c r="AE77" s="45">
        <v>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/>
      <c r="O78" s="65"/>
      <c r="P78" s="65"/>
      <c r="Q78" s="65"/>
      <c r="R78" s="65"/>
      <c r="S78" s="65"/>
      <c r="T78" s="65"/>
      <c r="U78" s="65"/>
      <c r="V78" s="65">
        <v>5.7</v>
      </c>
      <c r="W78" s="65">
        <v>11.9</v>
      </c>
      <c r="X78" s="65">
        <v>27.2</v>
      </c>
      <c r="Y78" s="65">
        <v>27.2</v>
      </c>
      <c r="Z78" s="65">
        <v>27.2</v>
      </c>
      <c r="AA78" s="65">
        <v>27.2</v>
      </c>
      <c r="AB78" s="65">
        <v>27.2</v>
      </c>
      <c r="AC78" s="65">
        <v>27.2</v>
      </c>
      <c r="AD78" s="65">
        <v>27.2</v>
      </c>
      <c r="AE78" s="65">
        <v>0</v>
      </c>
      <c r="AF78" s="65">
        <v>0</v>
      </c>
      <c r="AG78" s="55">
        <v>32</v>
      </c>
      <c r="AH78" s="47">
        <f t="shared" si="2"/>
        <v>27.2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7"/>
      <c r="O79" s="67"/>
      <c r="P79" s="67"/>
      <c r="Q79" s="67"/>
      <c r="R79" s="67"/>
      <c r="S79" s="67"/>
      <c r="T79" s="67"/>
      <c r="U79" s="67"/>
      <c r="V79" s="67">
        <v>2.1</v>
      </c>
      <c r="W79" s="67">
        <v>4.3</v>
      </c>
      <c r="X79" s="67">
        <v>9.9</v>
      </c>
      <c r="Y79" s="67">
        <v>9.9</v>
      </c>
      <c r="Z79" s="67">
        <v>9.9</v>
      </c>
      <c r="AA79" s="67">
        <v>9.9</v>
      </c>
      <c r="AB79" s="67">
        <v>9.9</v>
      </c>
      <c r="AC79" s="67">
        <v>9.9</v>
      </c>
      <c r="AD79" s="67">
        <v>9.9</v>
      </c>
      <c r="AE79" s="67">
        <v>0</v>
      </c>
      <c r="AF79" s="67">
        <v>0</v>
      </c>
      <c r="AG79" s="68">
        <v>14</v>
      </c>
      <c r="AH79" s="47">
        <f t="shared" si="2"/>
        <v>9.9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26">B77+B78+B79</f>
        <v>0</v>
      </c>
      <c r="C80" s="60">
        <f t="shared" si="26"/>
        <v>0</v>
      </c>
      <c r="D80" s="60">
        <f t="shared" ref="D80" si="27">D77+D78+D79</f>
        <v>0</v>
      </c>
      <c r="E80" s="60">
        <f t="shared" ref="E80:AF80" si="28">E77+E78+E79</f>
        <v>0</v>
      </c>
      <c r="F80" s="60">
        <f t="shared" si="28"/>
        <v>0</v>
      </c>
      <c r="G80" s="60">
        <f t="shared" si="28"/>
        <v>0</v>
      </c>
      <c r="H80" s="60">
        <f t="shared" si="28"/>
        <v>0</v>
      </c>
      <c r="I80" s="60">
        <f t="shared" si="28"/>
        <v>0</v>
      </c>
      <c r="J80" s="60">
        <f t="shared" si="28"/>
        <v>0</v>
      </c>
      <c r="K80" s="60">
        <f t="shared" si="28"/>
        <v>0</v>
      </c>
      <c r="L80" s="60">
        <f t="shared" si="28"/>
        <v>0</v>
      </c>
      <c r="M80" s="60">
        <f t="shared" si="28"/>
        <v>0</v>
      </c>
      <c r="N80" s="60">
        <f t="shared" si="28"/>
        <v>0</v>
      </c>
      <c r="O80" s="60">
        <f t="shared" si="28"/>
        <v>0</v>
      </c>
      <c r="P80" s="60">
        <f t="shared" si="28"/>
        <v>0</v>
      </c>
      <c r="Q80" s="60">
        <f t="shared" si="28"/>
        <v>0</v>
      </c>
      <c r="R80" s="60">
        <f t="shared" si="28"/>
        <v>0</v>
      </c>
      <c r="S80" s="60">
        <f t="shared" si="28"/>
        <v>0</v>
      </c>
      <c r="T80" s="60">
        <f t="shared" ref="T80:U80" si="29">T77+T78+T79</f>
        <v>0</v>
      </c>
      <c r="U80" s="60">
        <f t="shared" si="29"/>
        <v>0</v>
      </c>
      <c r="V80" s="60">
        <f t="shared" ref="V80:X80" si="30">V77+V78+V79</f>
        <v>22.200000000000003</v>
      </c>
      <c r="W80" s="60">
        <f t="shared" si="30"/>
        <v>46.3</v>
      </c>
      <c r="X80" s="60">
        <f t="shared" si="30"/>
        <v>97.100000000000009</v>
      </c>
      <c r="Y80" s="60">
        <f t="shared" ref="Y80:Z80" si="31">Y77+Y78+Y79</f>
        <v>97.100000000000009</v>
      </c>
      <c r="Z80" s="60">
        <f t="shared" si="31"/>
        <v>97.100000000000009</v>
      </c>
      <c r="AA80" s="60">
        <f t="shared" ref="AA80" si="32">AA77+AA78+AA79</f>
        <v>97.100000000000009</v>
      </c>
      <c r="AB80" s="60">
        <f t="shared" si="28"/>
        <v>97.100000000000009</v>
      </c>
      <c r="AC80" s="60">
        <f t="shared" si="28"/>
        <v>97.100000000000009</v>
      </c>
      <c r="AD80" s="60">
        <f t="shared" si="28"/>
        <v>77.100000000000009</v>
      </c>
      <c r="AE80" s="60">
        <f t="shared" si="28"/>
        <v>0</v>
      </c>
      <c r="AF80" s="60">
        <f t="shared" si="28"/>
        <v>0</v>
      </c>
      <c r="AG80" s="61">
        <f>SUM(AG77:AG79)</f>
        <v>106</v>
      </c>
      <c r="AH80" s="47">
        <f t="shared" si="2"/>
        <v>97.100000000000009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42.8</v>
      </c>
      <c r="C81" s="45">
        <v>55.4</v>
      </c>
      <c r="D81" s="45">
        <v>61</v>
      </c>
      <c r="E81" s="45">
        <v>48.6</v>
      </c>
      <c r="F81" s="45">
        <v>48.2</v>
      </c>
      <c r="G81" s="45">
        <v>57.4</v>
      </c>
      <c r="H81" s="45">
        <v>51.7</v>
      </c>
      <c r="I81" s="45">
        <v>43.2</v>
      </c>
      <c r="J81" s="45">
        <v>51.3</v>
      </c>
      <c r="K81" s="45">
        <v>47</v>
      </c>
      <c r="L81" s="45">
        <v>47</v>
      </c>
      <c r="M81" s="45">
        <v>52</v>
      </c>
      <c r="N81" s="45">
        <v>45</v>
      </c>
      <c r="O81" s="45">
        <v>46.5</v>
      </c>
      <c r="P81" s="45">
        <v>46</v>
      </c>
      <c r="Q81" s="45">
        <v>54.2</v>
      </c>
      <c r="R81" s="45">
        <v>62</v>
      </c>
      <c r="S81" s="45">
        <v>41.8</v>
      </c>
      <c r="T81" s="45">
        <v>65.7</v>
      </c>
      <c r="U81" s="45">
        <v>58.5</v>
      </c>
      <c r="V81" s="45">
        <v>55.2</v>
      </c>
      <c r="W81" s="45">
        <v>60</v>
      </c>
      <c r="X81" s="45">
        <v>29.7</v>
      </c>
      <c r="Y81" s="45">
        <v>39</v>
      </c>
      <c r="Z81" s="45">
        <v>35</v>
      </c>
      <c r="AA81" s="45">
        <v>39.6</v>
      </c>
      <c r="AB81" s="45">
        <v>41.6</v>
      </c>
      <c r="AC81" s="45">
        <v>55</v>
      </c>
      <c r="AD81" s="45">
        <v>54.8</v>
      </c>
      <c r="AE81" s="45">
        <v>62</v>
      </c>
      <c r="AF81" s="45">
        <v>48</v>
      </c>
      <c r="AG81" s="52"/>
      <c r="AH81" s="47">
        <f t="shared" si="2"/>
        <v>65.7</v>
      </c>
      <c r="AI81" s="48">
        <f t="shared" si="3"/>
        <v>29.7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152</v>
      </c>
      <c r="C83" s="65">
        <v>118.4</v>
      </c>
      <c r="D83" s="65">
        <v>115.9</v>
      </c>
      <c r="E83" s="65">
        <v>98.7</v>
      </c>
      <c r="F83" s="65">
        <v>92.7</v>
      </c>
      <c r="G83" s="65">
        <v>161.4</v>
      </c>
      <c r="H83" s="65">
        <v>146</v>
      </c>
      <c r="I83" s="65">
        <v>237</v>
      </c>
      <c r="J83" s="65">
        <v>243</v>
      </c>
      <c r="K83" s="65">
        <v>255</v>
      </c>
      <c r="L83" s="65">
        <v>60</v>
      </c>
      <c r="M83" s="65">
        <v>56.8</v>
      </c>
      <c r="N83" s="65">
        <v>8</v>
      </c>
      <c r="O83" s="65">
        <v>59</v>
      </c>
      <c r="P83" s="65">
        <v>213</v>
      </c>
      <c r="Q83" s="65">
        <v>315</v>
      </c>
      <c r="R83" s="65">
        <v>340</v>
      </c>
      <c r="S83" s="65">
        <v>380</v>
      </c>
      <c r="T83" s="65">
        <v>389.1</v>
      </c>
      <c r="U83" s="65">
        <v>371.4</v>
      </c>
      <c r="V83" s="65">
        <v>100.9</v>
      </c>
      <c r="W83" s="65">
        <v>6.3</v>
      </c>
      <c r="X83" s="65">
        <v>6.5</v>
      </c>
      <c r="Y83" s="65">
        <v>51.8</v>
      </c>
      <c r="Z83" s="65">
        <v>216.8</v>
      </c>
      <c r="AA83" s="65">
        <v>20.5</v>
      </c>
      <c r="AB83" s="65">
        <v>130.30000000000001</v>
      </c>
      <c r="AC83" s="65">
        <v>160</v>
      </c>
      <c r="AD83" s="65">
        <v>169</v>
      </c>
      <c r="AE83" s="65">
        <v>251</v>
      </c>
      <c r="AF83" s="65">
        <v>178</v>
      </c>
      <c r="AG83" s="75"/>
      <c r="AH83" s="47">
        <f t="shared" si="2"/>
        <v>389.1</v>
      </c>
      <c r="AI83" s="48">
        <f t="shared" si="3"/>
        <v>6.3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3">MAX(B85:AF85)</f>
        <v>0</v>
      </c>
      <c r="AI85" s="48">
        <f t="shared" ref="AI85:AI130" si="34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3"/>
        <v>0</v>
      </c>
      <c r="AI86" s="48">
        <f t="shared" si="34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3"/>
        <v>0</v>
      </c>
      <c r="AI87" s="48">
        <f t="shared" si="3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3"/>
        <v>0</v>
      </c>
      <c r="AI88" s="48">
        <f t="shared" si="3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3"/>
        <v>0</v>
      </c>
      <c r="AI89" s="48">
        <f t="shared" si="3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3"/>
        <v>0</v>
      </c>
      <c r="AI90" s="48">
        <f t="shared" si="3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3"/>
        <v>0</v>
      </c>
      <c r="AI91" s="48">
        <f t="shared" si="34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35">SUMIF(B81:B91,"&gt;0")</f>
        <v>194.8</v>
      </c>
      <c r="C92" s="60">
        <f t="shared" si="35"/>
        <v>173.8</v>
      </c>
      <c r="D92" s="60">
        <f t="shared" ref="D92:AF92" si="36">SUMIF(D81:D91,"&gt;0")</f>
        <v>176.9</v>
      </c>
      <c r="E92" s="60">
        <f t="shared" si="36"/>
        <v>147.30000000000001</v>
      </c>
      <c r="F92" s="60">
        <f t="shared" si="36"/>
        <v>140.9</v>
      </c>
      <c r="G92" s="60">
        <f t="shared" si="36"/>
        <v>218.8</v>
      </c>
      <c r="H92" s="60">
        <f t="shared" si="36"/>
        <v>197.7</v>
      </c>
      <c r="I92" s="60">
        <f t="shared" si="36"/>
        <v>280.2</v>
      </c>
      <c r="J92" s="60">
        <f t="shared" si="36"/>
        <v>294.3</v>
      </c>
      <c r="K92" s="60">
        <f t="shared" si="36"/>
        <v>302</v>
      </c>
      <c r="L92" s="60">
        <f t="shared" si="36"/>
        <v>107</v>
      </c>
      <c r="M92" s="60">
        <f t="shared" si="36"/>
        <v>108.8</v>
      </c>
      <c r="N92" s="60">
        <f t="shared" si="36"/>
        <v>53</v>
      </c>
      <c r="O92" s="60">
        <f t="shared" si="36"/>
        <v>105.5</v>
      </c>
      <c r="P92" s="60">
        <f t="shared" si="36"/>
        <v>259</v>
      </c>
      <c r="Q92" s="60">
        <f t="shared" si="36"/>
        <v>369.2</v>
      </c>
      <c r="R92" s="60">
        <f t="shared" si="36"/>
        <v>402</v>
      </c>
      <c r="S92" s="60">
        <f t="shared" si="36"/>
        <v>421.8</v>
      </c>
      <c r="T92" s="60">
        <f t="shared" ref="T92:U92" si="37">SUMIF(T81:T91,"&gt;0")</f>
        <v>454.8</v>
      </c>
      <c r="U92" s="60">
        <f t="shared" si="37"/>
        <v>429.9</v>
      </c>
      <c r="V92" s="60">
        <f t="shared" ref="V92:X92" si="38">SUMIF(V81:V91,"&gt;0")</f>
        <v>156.10000000000002</v>
      </c>
      <c r="W92" s="60">
        <f t="shared" si="38"/>
        <v>66.3</v>
      </c>
      <c r="X92" s="60">
        <f t="shared" si="38"/>
        <v>36.200000000000003</v>
      </c>
      <c r="Y92" s="60">
        <f t="shared" ref="Y92:Z92" si="39">SUMIF(Y81:Y91,"&gt;0")</f>
        <v>90.8</v>
      </c>
      <c r="Z92" s="60">
        <f t="shared" si="39"/>
        <v>251.8</v>
      </c>
      <c r="AA92" s="60">
        <f t="shared" ref="AA92" si="40">SUMIF(AA81:AA91,"&gt;0")</f>
        <v>60.1</v>
      </c>
      <c r="AB92" s="60">
        <f t="shared" si="36"/>
        <v>171.9</v>
      </c>
      <c r="AC92" s="60">
        <f t="shared" si="36"/>
        <v>215</v>
      </c>
      <c r="AD92" s="60">
        <f t="shared" si="36"/>
        <v>223.8</v>
      </c>
      <c r="AE92" s="60">
        <f t="shared" si="36"/>
        <v>313</v>
      </c>
      <c r="AF92" s="60">
        <f t="shared" si="36"/>
        <v>226</v>
      </c>
      <c r="AG92" s="88">
        <f>SUM(AG81:AG91)</f>
        <v>0</v>
      </c>
      <c r="AH92" s="47">
        <f t="shared" si="33"/>
        <v>454.8</v>
      </c>
      <c r="AI92" s="48">
        <f t="shared" si="34"/>
        <v>36.200000000000003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3"/>
        <v>0</v>
      </c>
      <c r="AI93" s="48">
        <f t="shared" si="34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3"/>
        <v>0</v>
      </c>
      <c r="AI94" s="48">
        <f t="shared" si="34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3"/>
        <v>0</v>
      </c>
      <c r="AI95" s="48">
        <f t="shared" si="34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3"/>
        <v>0</v>
      </c>
      <c r="AI96" s="48">
        <f t="shared" si="34"/>
        <v>0</v>
      </c>
    </row>
    <row r="97" spans="1:37" ht="15.75" thickBot="1" x14ac:dyDescent="0.3">
      <c r="A97" s="74" t="s">
        <v>100</v>
      </c>
      <c r="B97" s="95">
        <f t="shared" ref="B97:C97" si="41">B58+B62+B80+B76+B92+B96</f>
        <v>1025.94</v>
      </c>
      <c r="C97" s="95">
        <f t="shared" si="41"/>
        <v>960.54</v>
      </c>
      <c r="D97" s="95">
        <f t="shared" ref="D97:AG97" si="42">D58+D62+D80+D76+D92+D96</f>
        <v>955.54000000000008</v>
      </c>
      <c r="E97" s="95">
        <f t="shared" si="42"/>
        <v>962.84000000000015</v>
      </c>
      <c r="F97" s="95">
        <f t="shared" si="42"/>
        <v>965.93999999999994</v>
      </c>
      <c r="G97" s="95">
        <f t="shared" si="42"/>
        <v>1051.6400000000001</v>
      </c>
      <c r="H97" s="95">
        <f t="shared" si="42"/>
        <v>1122.24</v>
      </c>
      <c r="I97" s="95">
        <f t="shared" si="42"/>
        <v>1235.3400000000001</v>
      </c>
      <c r="J97" s="95">
        <f t="shared" si="42"/>
        <v>1361.74</v>
      </c>
      <c r="K97" s="95">
        <f t="shared" si="42"/>
        <v>1424.8400000000001</v>
      </c>
      <c r="L97" s="95">
        <f t="shared" si="42"/>
        <v>1542.94</v>
      </c>
      <c r="M97" s="95">
        <f t="shared" si="42"/>
        <v>1599.74</v>
      </c>
      <c r="N97" s="95">
        <f t="shared" si="42"/>
        <v>1558.1399999999999</v>
      </c>
      <c r="O97" s="95">
        <f t="shared" si="42"/>
        <v>1549.3400000000001</v>
      </c>
      <c r="P97" s="95">
        <f t="shared" si="42"/>
        <v>1457.3400000000001</v>
      </c>
      <c r="Q97" s="95">
        <f t="shared" si="42"/>
        <v>1407.0400000000002</v>
      </c>
      <c r="R97" s="95">
        <f t="shared" si="42"/>
        <v>1314.3400000000001</v>
      </c>
      <c r="S97" s="95">
        <f t="shared" si="42"/>
        <v>1287.0400000000002</v>
      </c>
      <c r="T97" s="95">
        <f t="shared" ref="T97:U97" si="43">T58+T62+T80+T76+T92+T96</f>
        <v>1317.0400000000002</v>
      </c>
      <c r="U97" s="95">
        <f t="shared" si="43"/>
        <v>1341.54</v>
      </c>
      <c r="V97" s="95">
        <f t="shared" ref="V97:X97" si="44">V58+V62+V80+V76+V92+V96</f>
        <v>1320.2400000000002</v>
      </c>
      <c r="W97" s="95">
        <f t="shared" si="44"/>
        <v>1546.0400000000002</v>
      </c>
      <c r="X97" s="95">
        <f t="shared" si="44"/>
        <v>1679.14</v>
      </c>
      <c r="Y97" s="95">
        <f t="shared" ref="Y97:Z97" si="45">Y58+Y62+Y80+Y76+Y92+Y96</f>
        <v>1627.74</v>
      </c>
      <c r="Z97" s="95">
        <f t="shared" si="45"/>
        <v>1538.74</v>
      </c>
      <c r="AA97" s="95">
        <f t="shared" ref="AA97" si="46">AA58+AA62+AA80+AA76+AA92+AA96</f>
        <v>1347.14</v>
      </c>
      <c r="AB97" s="95">
        <f t="shared" si="42"/>
        <v>1422.5400000000002</v>
      </c>
      <c r="AC97" s="95">
        <f t="shared" si="42"/>
        <v>1368.3400000000001</v>
      </c>
      <c r="AD97" s="95">
        <f t="shared" si="42"/>
        <v>1344.24</v>
      </c>
      <c r="AE97" s="95">
        <f t="shared" si="42"/>
        <v>1196.2400000000002</v>
      </c>
      <c r="AF97" s="95">
        <f t="shared" si="42"/>
        <v>1031.2400000000002</v>
      </c>
      <c r="AG97" s="61">
        <f t="shared" si="42"/>
        <v>2231.81</v>
      </c>
      <c r="AH97" s="47">
        <f t="shared" si="33"/>
        <v>1679.14</v>
      </c>
      <c r="AI97" s="48">
        <f t="shared" si="34"/>
        <v>955.54000000000008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80</v>
      </c>
      <c r="L98" s="97">
        <v>80</v>
      </c>
      <c r="M98" s="97">
        <v>80</v>
      </c>
      <c r="N98" s="97">
        <v>80</v>
      </c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33"/>
        <v>80</v>
      </c>
      <c r="AI98" s="48">
        <f t="shared" si="34"/>
        <v>80</v>
      </c>
    </row>
    <row r="99" spans="1:37" ht="15.75" thickBot="1" x14ac:dyDescent="0.3">
      <c r="A99" s="74" t="s">
        <v>102</v>
      </c>
      <c r="B99" s="95">
        <f t="shared" ref="B99:C99" si="47">B97+B98</f>
        <v>1025.94</v>
      </c>
      <c r="C99" s="95">
        <f t="shared" si="47"/>
        <v>960.54</v>
      </c>
      <c r="D99" s="95">
        <f t="shared" ref="D99:AF99" si="48">D97+D98</f>
        <v>955.54000000000008</v>
      </c>
      <c r="E99" s="95">
        <f t="shared" si="48"/>
        <v>962.84000000000015</v>
      </c>
      <c r="F99" s="95">
        <f t="shared" si="48"/>
        <v>965.93999999999994</v>
      </c>
      <c r="G99" s="95">
        <f t="shared" si="48"/>
        <v>1051.6400000000001</v>
      </c>
      <c r="H99" s="95">
        <f t="shared" si="48"/>
        <v>1122.24</v>
      </c>
      <c r="I99" s="95">
        <f t="shared" si="48"/>
        <v>1235.3400000000001</v>
      </c>
      <c r="J99" s="95">
        <f t="shared" si="48"/>
        <v>1361.74</v>
      </c>
      <c r="K99" s="95">
        <f t="shared" si="48"/>
        <v>1504.8400000000001</v>
      </c>
      <c r="L99" s="95">
        <f t="shared" si="48"/>
        <v>1622.94</v>
      </c>
      <c r="M99" s="95">
        <f t="shared" si="48"/>
        <v>1679.74</v>
      </c>
      <c r="N99" s="95">
        <f t="shared" si="48"/>
        <v>1638.1399999999999</v>
      </c>
      <c r="O99" s="95">
        <f t="shared" si="48"/>
        <v>1549.3400000000001</v>
      </c>
      <c r="P99" s="95">
        <f t="shared" si="48"/>
        <v>1457.3400000000001</v>
      </c>
      <c r="Q99" s="95">
        <f t="shared" si="48"/>
        <v>1407.0400000000002</v>
      </c>
      <c r="R99" s="95">
        <f t="shared" si="48"/>
        <v>1314.3400000000001</v>
      </c>
      <c r="S99" s="95">
        <f t="shared" si="48"/>
        <v>1287.0400000000002</v>
      </c>
      <c r="T99" s="95">
        <f t="shared" ref="T99:U99" si="49">T97+T98</f>
        <v>1317.0400000000002</v>
      </c>
      <c r="U99" s="95">
        <f t="shared" si="49"/>
        <v>1341.54</v>
      </c>
      <c r="V99" s="95">
        <f t="shared" ref="V99:X99" si="50">V97+V98</f>
        <v>1320.2400000000002</v>
      </c>
      <c r="W99" s="95">
        <f t="shared" si="50"/>
        <v>1546.0400000000002</v>
      </c>
      <c r="X99" s="95">
        <f t="shared" si="50"/>
        <v>1679.14</v>
      </c>
      <c r="Y99" s="95">
        <f t="shared" ref="Y99:Z99" si="51">Y97+Y98</f>
        <v>1627.74</v>
      </c>
      <c r="Z99" s="95">
        <f t="shared" si="51"/>
        <v>1538.74</v>
      </c>
      <c r="AA99" s="95">
        <f t="shared" ref="AA99" si="52">AA97+AA98</f>
        <v>1347.14</v>
      </c>
      <c r="AB99" s="95">
        <f t="shared" si="48"/>
        <v>1422.5400000000002</v>
      </c>
      <c r="AC99" s="95">
        <f t="shared" si="48"/>
        <v>1368.3400000000001</v>
      </c>
      <c r="AD99" s="95">
        <f t="shared" si="48"/>
        <v>1344.24</v>
      </c>
      <c r="AE99" s="95">
        <f t="shared" si="48"/>
        <v>1196.2400000000002</v>
      </c>
      <c r="AF99" s="95">
        <f t="shared" si="48"/>
        <v>1031.2400000000002</v>
      </c>
      <c r="AG99" s="88">
        <f>AG96+AG92+AG80+AG76+AG58+AG98</f>
        <v>1693.71</v>
      </c>
      <c r="AH99" s="47">
        <f t="shared" si="33"/>
        <v>1679.74</v>
      </c>
      <c r="AI99" s="48">
        <f t="shared" si="34"/>
        <v>955.54000000000008</v>
      </c>
    </row>
    <row r="100" spans="1:37" ht="15.75" thickBot="1" x14ac:dyDescent="0.3">
      <c r="A100" s="74" t="s">
        <v>103</v>
      </c>
      <c r="B100" s="95">
        <f t="shared" ref="B100:C100" si="53">B99-(B107)</f>
        <v>1023.94</v>
      </c>
      <c r="C100" s="95">
        <f t="shared" si="53"/>
        <v>957.54</v>
      </c>
      <c r="D100" s="95">
        <f t="shared" ref="D100:M100" si="54">D99-(D107)</f>
        <v>955.54000000000008</v>
      </c>
      <c r="E100" s="95">
        <f t="shared" si="54"/>
        <v>962.84000000000015</v>
      </c>
      <c r="F100" s="95">
        <f t="shared" si="54"/>
        <v>965.93999999999994</v>
      </c>
      <c r="G100" s="95">
        <f t="shared" si="54"/>
        <v>1051.6400000000001</v>
      </c>
      <c r="H100" s="95">
        <f t="shared" si="54"/>
        <v>1122.24</v>
      </c>
      <c r="I100" s="95">
        <f t="shared" si="54"/>
        <v>1235.3400000000001</v>
      </c>
      <c r="J100" s="95">
        <f t="shared" si="54"/>
        <v>1361.74</v>
      </c>
      <c r="K100" s="95">
        <f t="shared" si="54"/>
        <v>1504.8400000000001</v>
      </c>
      <c r="L100" s="95">
        <f t="shared" si="54"/>
        <v>1622.94</v>
      </c>
      <c r="M100" s="95">
        <f t="shared" si="54"/>
        <v>1679.74</v>
      </c>
      <c r="N100" s="95">
        <f>N99-(N107)</f>
        <v>1638.1399999999999</v>
      </c>
      <c r="O100" s="95">
        <f t="shared" ref="O100:AF100" si="55">O99-(O107)</f>
        <v>1549.3400000000001</v>
      </c>
      <c r="P100" s="95">
        <f t="shared" si="55"/>
        <v>1457.3400000000001</v>
      </c>
      <c r="Q100" s="95">
        <f t="shared" si="55"/>
        <v>1407.0400000000002</v>
      </c>
      <c r="R100" s="95">
        <f t="shared" si="55"/>
        <v>1314.3400000000001</v>
      </c>
      <c r="S100" s="95">
        <f t="shared" si="55"/>
        <v>1287.0400000000002</v>
      </c>
      <c r="T100" s="95">
        <f t="shared" ref="T100:U100" si="56">T99-(T107)</f>
        <v>1316.0400000000002</v>
      </c>
      <c r="U100" s="95">
        <f t="shared" si="56"/>
        <v>1339.54</v>
      </c>
      <c r="V100" s="95">
        <f t="shared" ref="V100:X100" si="57">V99-(V107)</f>
        <v>1317.2400000000002</v>
      </c>
      <c r="W100" s="95">
        <f t="shared" si="57"/>
        <v>1542.0400000000002</v>
      </c>
      <c r="X100" s="95">
        <f t="shared" si="57"/>
        <v>1672.14</v>
      </c>
      <c r="Y100" s="95">
        <f t="shared" ref="Y100:Z100" si="58">Y99-(Y107)</f>
        <v>1619.74</v>
      </c>
      <c r="Z100" s="95">
        <f t="shared" si="58"/>
        <v>1529.74</v>
      </c>
      <c r="AA100" s="95">
        <f t="shared" ref="AA100" si="59">AA99-(AA107)</f>
        <v>1337.14</v>
      </c>
      <c r="AB100" s="95">
        <f t="shared" si="55"/>
        <v>1422.5400000000002</v>
      </c>
      <c r="AC100" s="95">
        <f t="shared" si="55"/>
        <v>1368.3400000000001</v>
      </c>
      <c r="AD100" s="95">
        <f t="shared" si="55"/>
        <v>1344.24</v>
      </c>
      <c r="AE100" s="95">
        <f t="shared" si="55"/>
        <v>1196.2400000000002</v>
      </c>
      <c r="AF100" s="95">
        <f t="shared" si="55"/>
        <v>1031.2400000000002</v>
      </c>
      <c r="AG100" s="88"/>
      <c r="AH100" s="47">
        <f t="shared" si="33"/>
        <v>1679.74</v>
      </c>
      <c r="AI100" s="48">
        <f t="shared" si="34"/>
        <v>955.54000000000008</v>
      </c>
    </row>
    <row r="101" spans="1:37" x14ac:dyDescent="0.25">
      <c r="A101" s="44" t="s">
        <v>84</v>
      </c>
      <c r="B101" s="76">
        <f t="shared" ref="B101:C101" si="60">IF(B84&lt;0,B84*-1,0)</f>
        <v>0</v>
      </c>
      <c r="C101" s="76">
        <f t="shared" si="60"/>
        <v>0</v>
      </c>
      <c r="D101" s="76">
        <f t="shared" ref="D101:AF101" si="61">IF(D84&lt;0,D84*-1,0)</f>
        <v>0</v>
      </c>
      <c r="E101" s="76">
        <f t="shared" si="61"/>
        <v>0</v>
      </c>
      <c r="F101" s="76">
        <f t="shared" si="61"/>
        <v>0</v>
      </c>
      <c r="G101" s="76">
        <f t="shared" si="61"/>
        <v>0</v>
      </c>
      <c r="H101" s="76">
        <f t="shared" si="61"/>
        <v>0</v>
      </c>
      <c r="I101" s="76">
        <f t="shared" si="61"/>
        <v>0</v>
      </c>
      <c r="J101" s="76">
        <f t="shared" si="61"/>
        <v>0</v>
      </c>
      <c r="K101" s="76">
        <f t="shared" si="61"/>
        <v>0</v>
      </c>
      <c r="L101" s="76">
        <f t="shared" si="61"/>
        <v>0</v>
      </c>
      <c r="M101" s="76">
        <f t="shared" si="61"/>
        <v>0</v>
      </c>
      <c r="N101" s="76">
        <f t="shared" si="61"/>
        <v>0</v>
      </c>
      <c r="O101" s="76">
        <f t="shared" si="61"/>
        <v>0</v>
      </c>
      <c r="P101" s="76">
        <f t="shared" si="61"/>
        <v>0</v>
      </c>
      <c r="Q101" s="76">
        <f t="shared" si="61"/>
        <v>0</v>
      </c>
      <c r="R101" s="76">
        <f t="shared" si="61"/>
        <v>0</v>
      </c>
      <c r="S101" s="76">
        <f t="shared" si="61"/>
        <v>0</v>
      </c>
      <c r="T101" s="76">
        <f t="shared" ref="T101:U101" si="62">IF(T84&lt;0,T84*-1,0)</f>
        <v>0</v>
      </c>
      <c r="U101" s="76">
        <f t="shared" si="62"/>
        <v>0</v>
      </c>
      <c r="V101" s="76">
        <f t="shared" ref="V101:X101" si="63">IF(V84&lt;0,V84*-1,0)</f>
        <v>0</v>
      </c>
      <c r="W101" s="76">
        <f t="shared" si="63"/>
        <v>0</v>
      </c>
      <c r="X101" s="76">
        <f t="shared" si="63"/>
        <v>0</v>
      </c>
      <c r="Y101" s="76">
        <f t="shared" ref="Y101:Z101" si="64">IF(Y84&lt;0,Y84*-1,0)</f>
        <v>0</v>
      </c>
      <c r="Z101" s="76">
        <f t="shared" si="64"/>
        <v>0</v>
      </c>
      <c r="AA101" s="76">
        <f t="shared" ref="AA101" si="65">IF(AA84&lt;0,AA84*-1,0)</f>
        <v>0</v>
      </c>
      <c r="AB101" s="76">
        <f t="shared" si="61"/>
        <v>0</v>
      </c>
      <c r="AC101" s="76">
        <f t="shared" si="61"/>
        <v>0</v>
      </c>
      <c r="AD101" s="76">
        <f t="shared" si="61"/>
        <v>0</v>
      </c>
      <c r="AE101" s="76">
        <f t="shared" si="61"/>
        <v>0</v>
      </c>
      <c r="AF101" s="76">
        <f t="shared" si="61"/>
        <v>0</v>
      </c>
      <c r="AG101" s="52"/>
      <c r="AH101" s="47">
        <f t="shared" si="33"/>
        <v>0</v>
      </c>
      <c r="AI101" s="48">
        <f t="shared" si="34"/>
        <v>0</v>
      </c>
    </row>
    <row r="102" spans="1:37" x14ac:dyDescent="0.25">
      <c r="A102" s="54" t="s">
        <v>82</v>
      </c>
      <c r="B102" s="76">
        <f t="shared" ref="B102:C102" si="66">IF(B82&lt;0,B82*-1,0)</f>
        <v>0</v>
      </c>
      <c r="C102" s="76">
        <f t="shared" si="66"/>
        <v>0</v>
      </c>
      <c r="D102" s="76">
        <f t="shared" ref="D102:AF102" si="67">IF(D82&lt;0,D82*-1,0)</f>
        <v>0</v>
      </c>
      <c r="E102" s="76">
        <f t="shared" si="67"/>
        <v>0</v>
      </c>
      <c r="F102" s="76">
        <f t="shared" si="67"/>
        <v>0</v>
      </c>
      <c r="G102" s="76">
        <f t="shared" si="67"/>
        <v>0</v>
      </c>
      <c r="H102" s="76">
        <f t="shared" si="67"/>
        <v>0</v>
      </c>
      <c r="I102" s="76">
        <f t="shared" si="67"/>
        <v>0</v>
      </c>
      <c r="J102" s="76">
        <f t="shared" si="67"/>
        <v>0</v>
      </c>
      <c r="K102" s="76">
        <f t="shared" si="67"/>
        <v>0</v>
      </c>
      <c r="L102" s="76">
        <f t="shared" si="67"/>
        <v>0</v>
      </c>
      <c r="M102" s="76">
        <f t="shared" si="67"/>
        <v>0</v>
      </c>
      <c r="N102" s="76">
        <f t="shared" si="67"/>
        <v>0</v>
      </c>
      <c r="O102" s="76">
        <f t="shared" si="67"/>
        <v>0</v>
      </c>
      <c r="P102" s="76">
        <f t="shared" si="67"/>
        <v>0</v>
      </c>
      <c r="Q102" s="76">
        <f t="shared" si="67"/>
        <v>0</v>
      </c>
      <c r="R102" s="76">
        <f t="shared" si="67"/>
        <v>0</v>
      </c>
      <c r="S102" s="76">
        <f t="shared" si="67"/>
        <v>0</v>
      </c>
      <c r="T102" s="76">
        <f t="shared" ref="T102:U102" si="68">IF(T82&lt;0,T82*-1,0)</f>
        <v>0</v>
      </c>
      <c r="U102" s="76">
        <f t="shared" si="68"/>
        <v>0</v>
      </c>
      <c r="V102" s="76">
        <f t="shared" ref="V102:X102" si="69">IF(V82&lt;0,V82*-1,0)</f>
        <v>0</v>
      </c>
      <c r="W102" s="76">
        <f t="shared" si="69"/>
        <v>0</v>
      </c>
      <c r="X102" s="76">
        <f t="shared" si="69"/>
        <v>0</v>
      </c>
      <c r="Y102" s="76">
        <f t="shared" ref="Y102:Z102" si="70">IF(Y82&lt;0,Y82*-1,0)</f>
        <v>0</v>
      </c>
      <c r="Z102" s="76">
        <f t="shared" si="70"/>
        <v>0</v>
      </c>
      <c r="AA102" s="76">
        <f t="shared" ref="AA102" si="71">IF(AA82&lt;0,AA82*-1,0)</f>
        <v>0</v>
      </c>
      <c r="AB102" s="76">
        <f t="shared" si="67"/>
        <v>0</v>
      </c>
      <c r="AC102" s="76">
        <f t="shared" si="67"/>
        <v>0</v>
      </c>
      <c r="AD102" s="76">
        <f t="shared" si="67"/>
        <v>0</v>
      </c>
      <c r="AE102" s="76">
        <f t="shared" si="67"/>
        <v>0</v>
      </c>
      <c r="AF102" s="76">
        <f t="shared" si="67"/>
        <v>0</v>
      </c>
      <c r="AG102" s="55"/>
      <c r="AH102" s="47">
        <f t="shared" si="33"/>
        <v>0</v>
      </c>
      <c r="AI102" s="48">
        <f t="shared" si="34"/>
        <v>0</v>
      </c>
    </row>
    <row r="103" spans="1:37" x14ac:dyDescent="0.25">
      <c r="A103" s="84" t="s">
        <v>104</v>
      </c>
      <c r="B103" s="76">
        <f t="shared" ref="B103:C103" si="72">IF(B85&lt;0,B85*-1,0)</f>
        <v>0</v>
      </c>
      <c r="C103" s="76">
        <f t="shared" si="72"/>
        <v>0</v>
      </c>
      <c r="D103" s="76">
        <f t="shared" ref="D103:AF103" si="73">IF(D85&lt;0,D85*-1,0)</f>
        <v>0</v>
      </c>
      <c r="E103" s="76">
        <f t="shared" si="73"/>
        <v>0</v>
      </c>
      <c r="F103" s="76">
        <f t="shared" si="73"/>
        <v>0</v>
      </c>
      <c r="G103" s="76">
        <f t="shared" si="73"/>
        <v>0</v>
      </c>
      <c r="H103" s="76">
        <f t="shared" si="73"/>
        <v>0</v>
      </c>
      <c r="I103" s="76">
        <f t="shared" si="73"/>
        <v>0</v>
      </c>
      <c r="J103" s="76">
        <f t="shared" si="73"/>
        <v>0</v>
      </c>
      <c r="K103" s="76">
        <f t="shared" si="73"/>
        <v>0</v>
      </c>
      <c r="L103" s="76">
        <f t="shared" si="73"/>
        <v>0</v>
      </c>
      <c r="M103" s="76">
        <f t="shared" si="73"/>
        <v>0</v>
      </c>
      <c r="N103" s="76">
        <f t="shared" si="73"/>
        <v>0</v>
      </c>
      <c r="O103" s="76">
        <f t="shared" si="73"/>
        <v>0</v>
      </c>
      <c r="P103" s="76">
        <f t="shared" si="73"/>
        <v>0</v>
      </c>
      <c r="Q103" s="76">
        <f t="shared" si="73"/>
        <v>0</v>
      </c>
      <c r="R103" s="76">
        <f t="shared" si="73"/>
        <v>0</v>
      </c>
      <c r="S103" s="76">
        <f t="shared" si="73"/>
        <v>0</v>
      </c>
      <c r="T103" s="76">
        <f t="shared" ref="T103:U103" si="74">IF(T85&lt;0,T85*-1,0)</f>
        <v>0</v>
      </c>
      <c r="U103" s="76">
        <f t="shared" si="74"/>
        <v>0</v>
      </c>
      <c r="V103" s="76">
        <f t="shared" ref="V103:X103" si="75">IF(V85&lt;0,V85*-1,0)</f>
        <v>0</v>
      </c>
      <c r="W103" s="76">
        <f t="shared" si="75"/>
        <v>0</v>
      </c>
      <c r="X103" s="76">
        <f t="shared" si="75"/>
        <v>0</v>
      </c>
      <c r="Y103" s="76">
        <f t="shared" ref="Y103:Z103" si="76">IF(Y85&lt;0,Y85*-1,0)</f>
        <v>0</v>
      </c>
      <c r="Z103" s="76">
        <f t="shared" si="76"/>
        <v>0</v>
      </c>
      <c r="AA103" s="76">
        <f t="shared" ref="AA103" si="77">IF(AA85&lt;0,AA85*-1,0)</f>
        <v>0</v>
      </c>
      <c r="AB103" s="76">
        <f t="shared" si="73"/>
        <v>0</v>
      </c>
      <c r="AC103" s="76">
        <f t="shared" si="73"/>
        <v>0</v>
      </c>
      <c r="AD103" s="76">
        <f t="shared" si="73"/>
        <v>0</v>
      </c>
      <c r="AE103" s="76">
        <f t="shared" si="73"/>
        <v>0</v>
      </c>
      <c r="AF103" s="76">
        <f t="shared" si="73"/>
        <v>0</v>
      </c>
      <c r="AG103" s="98"/>
      <c r="AH103" s="47">
        <f t="shared" si="33"/>
        <v>0</v>
      </c>
      <c r="AI103" s="48">
        <f t="shared" si="34"/>
        <v>0</v>
      </c>
    </row>
    <row r="104" spans="1:37" x14ac:dyDescent="0.25">
      <c r="A104" s="84" t="s">
        <v>105</v>
      </c>
      <c r="B104" s="76">
        <f t="shared" ref="B104:C104" si="78">IF(B83&lt;0,B83*-1,0)</f>
        <v>0</v>
      </c>
      <c r="C104" s="76">
        <f t="shared" si="78"/>
        <v>0</v>
      </c>
      <c r="D104" s="76">
        <f t="shared" ref="D104:AF104" si="79">IF(D83&lt;0,D83*-1,0)</f>
        <v>0</v>
      </c>
      <c r="E104" s="76">
        <f t="shared" si="79"/>
        <v>0</v>
      </c>
      <c r="F104" s="76">
        <f t="shared" si="79"/>
        <v>0</v>
      </c>
      <c r="G104" s="76">
        <f t="shared" si="79"/>
        <v>0</v>
      </c>
      <c r="H104" s="76">
        <f t="shared" si="79"/>
        <v>0</v>
      </c>
      <c r="I104" s="76">
        <f t="shared" si="79"/>
        <v>0</v>
      </c>
      <c r="J104" s="76">
        <f t="shared" si="79"/>
        <v>0</v>
      </c>
      <c r="K104" s="76">
        <f t="shared" si="79"/>
        <v>0</v>
      </c>
      <c r="L104" s="76">
        <f t="shared" si="79"/>
        <v>0</v>
      </c>
      <c r="M104" s="76">
        <f t="shared" si="79"/>
        <v>0</v>
      </c>
      <c r="N104" s="76">
        <f t="shared" si="79"/>
        <v>0</v>
      </c>
      <c r="O104" s="76">
        <f t="shared" si="79"/>
        <v>0</v>
      </c>
      <c r="P104" s="76">
        <f t="shared" si="79"/>
        <v>0</v>
      </c>
      <c r="Q104" s="76">
        <f t="shared" si="79"/>
        <v>0</v>
      </c>
      <c r="R104" s="76">
        <f t="shared" si="79"/>
        <v>0</v>
      </c>
      <c r="S104" s="76">
        <f t="shared" si="79"/>
        <v>0</v>
      </c>
      <c r="T104" s="76">
        <f t="shared" ref="T104:U104" si="80">IF(T83&lt;0,T83*-1,0)</f>
        <v>0</v>
      </c>
      <c r="U104" s="76">
        <f t="shared" si="80"/>
        <v>0</v>
      </c>
      <c r="V104" s="76">
        <f t="shared" ref="V104:X104" si="81">IF(V83&lt;0,V83*-1,0)</f>
        <v>0</v>
      </c>
      <c r="W104" s="76">
        <f t="shared" si="81"/>
        <v>0</v>
      </c>
      <c r="X104" s="76">
        <f t="shared" si="81"/>
        <v>0</v>
      </c>
      <c r="Y104" s="76">
        <f t="shared" ref="Y104:Z104" si="82">IF(Y83&lt;0,Y83*-1,0)</f>
        <v>0</v>
      </c>
      <c r="Z104" s="76">
        <f t="shared" si="82"/>
        <v>0</v>
      </c>
      <c r="AA104" s="76">
        <f t="shared" ref="AA104" si="83">IF(AA83&lt;0,AA83*-1,0)</f>
        <v>0</v>
      </c>
      <c r="AB104" s="76">
        <f t="shared" si="79"/>
        <v>0</v>
      </c>
      <c r="AC104" s="76">
        <f t="shared" si="79"/>
        <v>0</v>
      </c>
      <c r="AD104" s="76">
        <f t="shared" si="79"/>
        <v>0</v>
      </c>
      <c r="AE104" s="76">
        <f t="shared" si="79"/>
        <v>0</v>
      </c>
      <c r="AF104" s="76">
        <f t="shared" si="79"/>
        <v>0</v>
      </c>
      <c r="AG104" s="98"/>
      <c r="AH104" s="47">
        <f t="shared" si="33"/>
        <v>0</v>
      </c>
      <c r="AI104" s="48">
        <f t="shared" si="34"/>
        <v>0</v>
      </c>
    </row>
    <row r="105" spans="1:37" x14ac:dyDescent="0.25">
      <c r="A105" s="84" t="s">
        <v>81</v>
      </c>
      <c r="B105" s="76">
        <f t="shared" ref="B105:C105" si="84">IF(B81&lt;0,B81*-1,0)</f>
        <v>0</v>
      </c>
      <c r="C105" s="76">
        <f t="shared" si="84"/>
        <v>0</v>
      </c>
      <c r="D105" s="76">
        <f t="shared" ref="D105:AF105" si="85">IF(D81&lt;0,D81*-1,0)</f>
        <v>0</v>
      </c>
      <c r="E105" s="76">
        <f t="shared" si="85"/>
        <v>0</v>
      </c>
      <c r="F105" s="76">
        <f t="shared" si="85"/>
        <v>0</v>
      </c>
      <c r="G105" s="76">
        <f t="shared" si="85"/>
        <v>0</v>
      </c>
      <c r="H105" s="76">
        <f t="shared" si="85"/>
        <v>0</v>
      </c>
      <c r="I105" s="76">
        <f t="shared" si="85"/>
        <v>0</v>
      </c>
      <c r="J105" s="76">
        <f t="shared" si="85"/>
        <v>0</v>
      </c>
      <c r="K105" s="76">
        <f t="shared" si="85"/>
        <v>0</v>
      </c>
      <c r="L105" s="76">
        <f t="shared" si="85"/>
        <v>0</v>
      </c>
      <c r="M105" s="76">
        <f t="shared" si="85"/>
        <v>0</v>
      </c>
      <c r="N105" s="76">
        <f t="shared" si="85"/>
        <v>0</v>
      </c>
      <c r="O105" s="76">
        <f t="shared" si="85"/>
        <v>0</v>
      </c>
      <c r="P105" s="76">
        <f t="shared" si="85"/>
        <v>0</v>
      </c>
      <c r="Q105" s="76">
        <f t="shared" si="85"/>
        <v>0</v>
      </c>
      <c r="R105" s="76">
        <f t="shared" si="85"/>
        <v>0</v>
      </c>
      <c r="S105" s="76">
        <f t="shared" si="85"/>
        <v>0</v>
      </c>
      <c r="T105" s="76">
        <f t="shared" ref="T105:U105" si="86">IF(T81&lt;0,T81*-1,0)</f>
        <v>0</v>
      </c>
      <c r="U105" s="76">
        <f t="shared" si="86"/>
        <v>0</v>
      </c>
      <c r="V105" s="76">
        <f t="shared" ref="V105:X105" si="87">IF(V81&lt;0,V81*-1,0)</f>
        <v>0</v>
      </c>
      <c r="W105" s="76">
        <f t="shared" si="87"/>
        <v>0</v>
      </c>
      <c r="X105" s="76">
        <f t="shared" si="87"/>
        <v>0</v>
      </c>
      <c r="Y105" s="76">
        <f t="shared" ref="Y105:Z105" si="88">IF(Y81&lt;0,Y81*-1,0)</f>
        <v>0</v>
      </c>
      <c r="Z105" s="76">
        <f t="shared" si="88"/>
        <v>0</v>
      </c>
      <c r="AA105" s="76">
        <f t="shared" ref="AA105" si="89">IF(AA81&lt;0,AA81*-1,0)</f>
        <v>0</v>
      </c>
      <c r="AB105" s="76">
        <f t="shared" si="85"/>
        <v>0</v>
      </c>
      <c r="AC105" s="76">
        <f t="shared" si="85"/>
        <v>0</v>
      </c>
      <c r="AD105" s="76">
        <f t="shared" si="85"/>
        <v>0</v>
      </c>
      <c r="AE105" s="76">
        <f t="shared" si="85"/>
        <v>0</v>
      </c>
      <c r="AF105" s="76">
        <f t="shared" si="85"/>
        <v>0</v>
      </c>
      <c r="AG105" s="98"/>
      <c r="AH105" s="47">
        <f t="shared" si="33"/>
        <v>0</v>
      </c>
      <c r="AI105" s="48">
        <f t="shared" si="34"/>
        <v>0</v>
      </c>
    </row>
    <row r="106" spans="1:37" ht="15.75" thickBot="1" x14ac:dyDescent="0.3">
      <c r="A106" s="84" t="s">
        <v>106</v>
      </c>
      <c r="B106" s="94">
        <v>2</v>
      </c>
      <c r="C106" s="94">
        <v>3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1</v>
      </c>
      <c r="U106" s="94">
        <v>2</v>
      </c>
      <c r="V106" s="94">
        <v>3</v>
      </c>
      <c r="W106" s="94">
        <v>4</v>
      </c>
      <c r="X106" s="94">
        <v>7</v>
      </c>
      <c r="Y106" s="94">
        <v>8</v>
      </c>
      <c r="Z106" s="94">
        <v>9</v>
      </c>
      <c r="AA106" s="94">
        <v>10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3"/>
        <v>10</v>
      </c>
      <c r="AI106" s="48">
        <f t="shared" si="34"/>
        <v>0</v>
      </c>
    </row>
    <row r="107" spans="1:37" ht="15.75" thickBot="1" x14ac:dyDescent="0.3">
      <c r="A107" s="99" t="s">
        <v>107</v>
      </c>
      <c r="B107" s="60">
        <f t="shared" ref="B107:C107" si="90">SUM(B101:B106)</f>
        <v>2</v>
      </c>
      <c r="C107" s="60">
        <f t="shared" si="90"/>
        <v>3</v>
      </c>
      <c r="D107" s="60">
        <f t="shared" ref="D107:AF107" si="91">SUM(D101:D106)</f>
        <v>0</v>
      </c>
      <c r="E107" s="60">
        <f t="shared" si="91"/>
        <v>0</v>
      </c>
      <c r="F107" s="60">
        <f t="shared" si="91"/>
        <v>0</v>
      </c>
      <c r="G107" s="60">
        <f t="shared" si="91"/>
        <v>0</v>
      </c>
      <c r="H107" s="60">
        <f t="shared" si="91"/>
        <v>0</v>
      </c>
      <c r="I107" s="60">
        <f t="shared" si="91"/>
        <v>0</v>
      </c>
      <c r="J107" s="60">
        <f t="shared" si="91"/>
        <v>0</v>
      </c>
      <c r="K107" s="60">
        <f t="shared" si="91"/>
        <v>0</v>
      </c>
      <c r="L107" s="60">
        <f t="shared" si="91"/>
        <v>0</v>
      </c>
      <c r="M107" s="60">
        <f t="shared" si="91"/>
        <v>0</v>
      </c>
      <c r="N107" s="60">
        <f t="shared" si="91"/>
        <v>0</v>
      </c>
      <c r="O107" s="60">
        <f t="shared" si="91"/>
        <v>0</v>
      </c>
      <c r="P107" s="60">
        <f t="shared" si="91"/>
        <v>0</v>
      </c>
      <c r="Q107" s="60">
        <f t="shared" si="91"/>
        <v>0</v>
      </c>
      <c r="R107" s="60">
        <f t="shared" si="91"/>
        <v>0</v>
      </c>
      <c r="S107" s="60">
        <f t="shared" si="91"/>
        <v>0</v>
      </c>
      <c r="T107" s="60">
        <f t="shared" ref="T107:U107" si="92">SUM(T101:T106)</f>
        <v>1</v>
      </c>
      <c r="U107" s="60">
        <f t="shared" si="92"/>
        <v>2</v>
      </c>
      <c r="V107" s="60">
        <f t="shared" ref="V107:X107" si="93">SUM(V101:V106)</f>
        <v>3</v>
      </c>
      <c r="W107" s="60">
        <f t="shared" si="93"/>
        <v>4</v>
      </c>
      <c r="X107" s="60">
        <f t="shared" si="93"/>
        <v>7</v>
      </c>
      <c r="Y107" s="60">
        <f t="shared" ref="Y107:Z107" si="94">SUM(Y101:Y106)</f>
        <v>8</v>
      </c>
      <c r="Z107" s="60">
        <f t="shared" si="94"/>
        <v>9</v>
      </c>
      <c r="AA107" s="60">
        <f t="shared" ref="AA107" si="95">SUM(AA101:AA106)</f>
        <v>10</v>
      </c>
      <c r="AB107" s="60">
        <f t="shared" si="91"/>
        <v>0</v>
      </c>
      <c r="AC107" s="60">
        <f t="shared" si="91"/>
        <v>0</v>
      </c>
      <c r="AD107" s="60">
        <f t="shared" si="91"/>
        <v>0</v>
      </c>
      <c r="AE107" s="60">
        <f t="shared" si="91"/>
        <v>0</v>
      </c>
      <c r="AF107" s="60">
        <f t="shared" si="91"/>
        <v>0</v>
      </c>
      <c r="AG107" s="88"/>
      <c r="AH107" s="47">
        <f t="shared" si="33"/>
        <v>10</v>
      </c>
      <c r="AI107" s="48">
        <f t="shared" si="34"/>
        <v>0</v>
      </c>
      <c r="AK107" s="50"/>
    </row>
    <row r="108" spans="1:37" ht="15.75" thickBot="1" x14ac:dyDescent="0.3">
      <c r="A108" s="74" t="s">
        <v>108</v>
      </c>
      <c r="B108" s="60">
        <f t="shared" ref="B108:C108" si="96">B92-B107</f>
        <v>192.8</v>
      </c>
      <c r="C108" s="60">
        <f t="shared" si="96"/>
        <v>170.8</v>
      </c>
      <c r="D108" s="60">
        <f t="shared" ref="D108:AF108" si="97">D92-D107</f>
        <v>176.9</v>
      </c>
      <c r="E108" s="60">
        <f t="shared" si="97"/>
        <v>147.30000000000001</v>
      </c>
      <c r="F108" s="60">
        <f t="shared" si="97"/>
        <v>140.9</v>
      </c>
      <c r="G108" s="60">
        <f t="shared" si="97"/>
        <v>218.8</v>
      </c>
      <c r="H108" s="60">
        <f t="shared" si="97"/>
        <v>197.7</v>
      </c>
      <c r="I108" s="60">
        <f t="shared" si="97"/>
        <v>280.2</v>
      </c>
      <c r="J108" s="60">
        <f t="shared" si="97"/>
        <v>294.3</v>
      </c>
      <c r="K108" s="60">
        <f t="shared" si="97"/>
        <v>302</v>
      </c>
      <c r="L108" s="60">
        <f t="shared" si="97"/>
        <v>107</v>
      </c>
      <c r="M108" s="60">
        <f t="shared" si="97"/>
        <v>108.8</v>
      </c>
      <c r="N108" s="60">
        <f t="shared" si="97"/>
        <v>53</v>
      </c>
      <c r="O108" s="60">
        <f t="shared" si="97"/>
        <v>105.5</v>
      </c>
      <c r="P108" s="60">
        <f t="shared" si="97"/>
        <v>259</v>
      </c>
      <c r="Q108" s="60">
        <f t="shared" si="97"/>
        <v>369.2</v>
      </c>
      <c r="R108" s="60">
        <f t="shared" si="97"/>
        <v>402</v>
      </c>
      <c r="S108" s="60">
        <f t="shared" si="97"/>
        <v>421.8</v>
      </c>
      <c r="T108" s="60">
        <f t="shared" ref="T108:U108" si="98">T92-T107</f>
        <v>453.8</v>
      </c>
      <c r="U108" s="60">
        <f t="shared" si="98"/>
        <v>427.9</v>
      </c>
      <c r="V108" s="60">
        <f t="shared" ref="V108:X108" si="99">V92-V107</f>
        <v>153.10000000000002</v>
      </c>
      <c r="W108" s="60">
        <f t="shared" si="99"/>
        <v>62.3</v>
      </c>
      <c r="X108" s="60">
        <f t="shared" si="99"/>
        <v>29.200000000000003</v>
      </c>
      <c r="Y108" s="60">
        <f t="shared" ref="Y108:Z108" si="100">Y92-Y107</f>
        <v>82.8</v>
      </c>
      <c r="Z108" s="60">
        <f t="shared" si="100"/>
        <v>242.8</v>
      </c>
      <c r="AA108" s="60">
        <f t="shared" ref="AA108" si="101">AA92-AA107</f>
        <v>50.1</v>
      </c>
      <c r="AB108" s="60">
        <f t="shared" si="97"/>
        <v>171.9</v>
      </c>
      <c r="AC108" s="60">
        <f t="shared" si="97"/>
        <v>215</v>
      </c>
      <c r="AD108" s="60">
        <f t="shared" si="97"/>
        <v>223.8</v>
      </c>
      <c r="AE108" s="60">
        <f t="shared" si="97"/>
        <v>313</v>
      </c>
      <c r="AF108" s="60">
        <f t="shared" si="97"/>
        <v>226</v>
      </c>
      <c r="AG108" s="88"/>
      <c r="AH108" s="47">
        <f t="shared" si="33"/>
        <v>453.8</v>
      </c>
      <c r="AI108" s="48">
        <f t="shared" si="34"/>
        <v>29.200000000000003</v>
      </c>
    </row>
    <row r="109" spans="1:37" x14ac:dyDescent="0.25">
      <c r="A109" s="100" t="s">
        <v>109</v>
      </c>
      <c r="B109" s="101">
        <v>50</v>
      </c>
      <c r="C109" s="101">
        <v>50</v>
      </c>
      <c r="D109" s="101">
        <v>50.02</v>
      </c>
      <c r="E109" s="101">
        <v>49.97</v>
      </c>
      <c r="F109" s="101">
        <v>50.024000000000001</v>
      </c>
      <c r="G109" s="101">
        <v>49.939</v>
      </c>
      <c r="H109" s="101">
        <v>50.042000000000002</v>
      </c>
      <c r="I109" s="101">
        <v>49.997999999999998</v>
      </c>
      <c r="J109" s="101">
        <v>49.997999999999998</v>
      </c>
      <c r="K109" s="101">
        <v>50.134999999999998</v>
      </c>
      <c r="L109" s="101">
        <v>50.134999999999998</v>
      </c>
      <c r="M109" s="101">
        <v>50.41</v>
      </c>
      <c r="N109" s="101">
        <v>50.003999999999998</v>
      </c>
      <c r="O109" s="101">
        <v>49.972999999999999</v>
      </c>
      <c r="P109" s="101">
        <v>50</v>
      </c>
      <c r="Q109" s="101">
        <v>50.012999999999998</v>
      </c>
      <c r="R109" s="101">
        <v>50.039000000000001</v>
      </c>
      <c r="S109" s="101">
        <v>50.006999999999998</v>
      </c>
      <c r="T109" s="101">
        <v>49.99</v>
      </c>
      <c r="U109" s="101">
        <v>49.93</v>
      </c>
      <c r="V109" s="101">
        <v>49.96</v>
      </c>
      <c r="W109" s="101">
        <v>49.89</v>
      </c>
      <c r="X109" s="101">
        <v>49.84</v>
      </c>
      <c r="Y109" s="101">
        <v>49.88</v>
      </c>
      <c r="Z109" s="101">
        <v>50.02</v>
      </c>
      <c r="AA109" s="101">
        <v>49.92</v>
      </c>
      <c r="AB109" s="101">
        <v>49.92</v>
      </c>
      <c r="AC109" s="101">
        <v>49.95</v>
      </c>
      <c r="AD109" s="101">
        <v>50.073</v>
      </c>
      <c r="AE109" s="101">
        <v>49.97</v>
      </c>
      <c r="AF109" s="101">
        <v>50.015999999999998</v>
      </c>
      <c r="AG109" s="102"/>
      <c r="AH109" s="47">
        <f t="shared" si="33"/>
        <v>50.41</v>
      </c>
      <c r="AI109" s="48">
        <f t="shared" si="34"/>
        <v>49.84</v>
      </c>
    </row>
    <row r="110" spans="1:37" x14ac:dyDescent="0.25">
      <c r="A110" s="103" t="s">
        <v>110</v>
      </c>
      <c r="B110" s="65">
        <v>132.30000000000001</v>
      </c>
      <c r="C110" s="65">
        <v>132.4</v>
      </c>
      <c r="D110" s="65">
        <v>132.19999999999999</v>
      </c>
      <c r="E110" s="65">
        <v>132.1</v>
      </c>
      <c r="F110" s="65">
        <v>132.30000000000001</v>
      </c>
      <c r="G110" s="65">
        <v>131.4</v>
      </c>
      <c r="H110" s="65">
        <v>130.4</v>
      </c>
      <c r="I110" s="65">
        <v>128.69999999999999</v>
      </c>
      <c r="J110" s="65">
        <v>128.69999999999999</v>
      </c>
      <c r="K110" s="65">
        <v>127.3</v>
      </c>
      <c r="L110" s="65">
        <v>127.3</v>
      </c>
      <c r="M110" s="65">
        <v>124</v>
      </c>
      <c r="N110" s="65">
        <v>123.8</v>
      </c>
      <c r="O110" s="65">
        <v>122.8</v>
      </c>
      <c r="P110" s="65">
        <v>124</v>
      </c>
      <c r="Q110" s="65">
        <v>124.5</v>
      </c>
      <c r="R110" s="65">
        <v>124.5</v>
      </c>
      <c r="S110" s="65">
        <v>123.6</v>
      </c>
      <c r="T110" s="65">
        <v>123.6</v>
      </c>
      <c r="U110" s="65">
        <v>123.7</v>
      </c>
      <c r="V110" s="65">
        <v>128.4</v>
      </c>
      <c r="W110" s="65">
        <v>126.8</v>
      </c>
      <c r="X110" s="65">
        <v>126.9</v>
      </c>
      <c r="Y110" s="65">
        <v>126.9</v>
      </c>
      <c r="Z110" s="65">
        <v>128.6</v>
      </c>
      <c r="AA110" s="65">
        <v>128.80000000000001</v>
      </c>
      <c r="AB110" s="65">
        <v>128.80000000000001</v>
      </c>
      <c r="AC110" s="65">
        <v>127</v>
      </c>
      <c r="AD110" s="65">
        <v>130.30000000000001</v>
      </c>
      <c r="AE110" s="65">
        <v>129.4</v>
      </c>
      <c r="AF110" s="65">
        <v>131.4</v>
      </c>
      <c r="AG110" s="104"/>
      <c r="AH110" s="47">
        <f t="shared" si="33"/>
        <v>132.4</v>
      </c>
      <c r="AI110" s="48">
        <f t="shared" si="34"/>
        <v>122.8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3"/>
        <v>0</v>
      </c>
      <c r="AI111" s="48">
        <f t="shared" si="34"/>
        <v>0</v>
      </c>
    </row>
    <row r="112" spans="1:37" x14ac:dyDescent="0.25">
      <c r="A112" s="103" t="s">
        <v>112</v>
      </c>
      <c r="B112" s="65">
        <v>131.1</v>
      </c>
      <c r="C112" s="65">
        <v>129.30000000000001</v>
      </c>
      <c r="D112" s="65">
        <v>130.9</v>
      </c>
      <c r="E112" s="65">
        <v>129.19999999999999</v>
      </c>
      <c r="F112" s="65">
        <v>130.1</v>
      </c>
      <c r="G112" s="65">
        <v>127.7</v>
      </c>
      <c r="H112" s="65">
        <v>126.3</v>
      </c>
      <c r="I112" s="65">
        <v>125.6</v>
      </c>
      <c r="J112" s="65">
        <v>125.6</v>
      </c>
      <c r="K112" s="65">
        <v>129.19999999999999</v>
      </c>
      <c r="L112" s="65">
        <v>129.19999999999999</v>
      </c>
      <c r="M112" s="65">
        <v>128.5</v>
      </c>
      <c r="N112" s="65">
        <v>126.6</v>
      </c>
      <c r="O112" s="65">
        <v>126</v>
      </c>
      <c r="P112" s="65">
        <v>130.69999999999999</v>
      </c>
      <c r="Q112" s="65">
        <v>130.30000000000001</v>
      </c>
      <c r="R112" s="65">
        <v>128.80000000000001</v>
      </c>
      <c r="S112" s="65">
        <v>129.30000000000001</v>
      </c>
      <c r="T112" s="65">
        <v>129.30000000000001</v>
      </c>
      <c r="U112" s="65">
        <v>127.4</v>
      </c>
      <c r="V112" s="65">
        <v>127.4</v>
      </c>
      <c r="W112" s="65">
        <v>127.4</v>
      </c>
      <c r="X112" s="65"/>
      <c r="Y112" s="65"/>
      <c r="Z112" s="65"/>
      <c r="AA112" s="65"/>
      <c r="AB112" s="65"/>
      <c r="AC112" s="65"/>
      <c r="AD112" s="65">
        <v>129</v>
      </c>
      <c r="AE112" s="65">
        <v>131</v>
      </c>
      <c r="AF112" s="65">
        <v>131.6</v>
      </c>
      <c r="AG112" s="104"/>
      <c r="AH112" s="47">
        <f t="shared" si="33"/>
        <v>131.6</v>
      </c>
      <c r="AI112" s="48">
        <f t="shared" si="34"/>
        <v>125.6</v>
      </c>
    </row>
    <row r="113" spans="1:35" x14ac:dyDescent="0.25">
      <c r="A113" s="105" t="s">
        <v>113</v>
      </c>
      <c r="B113" s="65">
        <v>131.80000000000001</v>
      </c>
      <c r="C113" s="65">
        <v>130.69999999999999</v>
      </c>
      <c r="D113" s="65">
        <v>131.9</v>
      </c>
      <c r="E113" s="65">
        <v>130.5</v>
      </c>
      <c r="F113" s="65">
        <v>130.9</v>
      </c>
      <c r="G113" s="65">
        <v>132.1</v>
      </c>
      <c r="H113" s="65">
        <v>130.4</v>
      </c>
      <c r="I113" s="65">
        <v>128.9</v>
      </c>
      <c r="J113" s="65">
        <v>128.9</v>
      </c>
      <c r="K113" s="65">
        <v>130.80000000000001</v>
      </c>
      <c r="L113" s="65">
        <v>130.80000000000001</v>
      </c>
      <c r="M113" s="65">
        <v>130.80000000000001</v>
      </c>
      <c r="N113" s="65">
        <v>129.4</v>
      </c>
      <c r="O113" s="65">
        <v>127.8</v>
      </c>
      <c r="P113" s="65">
        <v>133</v>
      </c>
      <c r="Q113" s="65">
        <v>133.5</v>
      </c>
      <c r="R113" s="65">
        <v>132.5</v>
      </c>
      <c r="S113" s="65">
        <v>132.6</v>
      </c>
      <c r="T113" s="65">
        <v>132.6</v>
      </c>
      <c r="U113" s="65">
        <v>131.9</v>
      </c>
      <c r="V113" s="65">
        <v>131.69999999999999</v>
      </c>
      <c r="W113" s="65">
        <v>131.69999999999999</v>
      </c>
      <c r="X113" s="65">
        <v>127.7</v>
      </c>
      <c r="Y113" s="65">
        <v>127.7</v>
      </c>
      <c r="Z113" s="65">
        <v>133.6</v>
      </c>
      <c r="AA113" s="65">
        <v>131.80000000000001</v>
      </c>
      <c r="AB113" s="65">
        <v>131.80000000000001</v>
      </c>
      <c r="AC113" s="65">
        <v>132</v>
      </c>
      <c r="AD113" s="65">
        <v>132</v>
      </c>
      <c r="AE113" s="65">
        <v>132.5</v>
      </c>
      <c r="AF113" s="65">
        <v>134.19999999999999</v>
      </c>
      <c r="AG113" s="104"/>
      <c r="AH113" s="47">
        <f t="shared" si="33"/>
        <v>134.19999999999999</v>
      </c>
      <c r="AI113" s="48">
        <f t="shared" si="34"/>
        <v>127.7</v>
      </c>
    </row>
    <row r="114" spans="1:35" x14ac:dyDescent="0.25">
      <c r="A114" s="105" t="s">
        <v>114</v>
      </c>
      <c r="B114" s="106">
        <v>137.69999999999999</v>
      </c>
      <c r="C114" s="106">
        <v>137</v>
      </c>
      <c r="D114" s="106">
        <v>137.19999999999999</v>
      </c>
      <c r="E114" s="106">
        <v>136.5</v>
      </c>
      <c r="F114" s="106">
        <v>136.5</v>
      </c>
      <c r="G114" s="106">
        <v>135.19999999999999</v>
      </c>
      <c r="H114" s="106">
        <v>133.69999999999999</v>
      </c>
      <c r="I114" s="106">
        <v>131.6</v>
      </c>
      <c r="J114" s="106">
        <v>131.6</v>
      </c>
      <c r="K114" s="106">
        <v>132.9</v>
      </c>
      <c r="L114" s="106">
        <v>132.9</v>
      </c>
      <c r="M114" s="106">
        <v>132.9</v>
      </c>
      <c r="N114" s="106">
        <v>133.5</v>
      </c>
      <c r="O114" s="106">
        <v>133</v>
      </c>
      <c r="P114" s="106">
        <v>131</v>
      </c>
      <c r="Q114" s="106">
        <v>131.9</v>
      </c>
      <c r="R114" s="106">
        <v>132.6</v>
      </c>
      <c r="S114" s="106">
        <v>130.5</v>
      </c>
      <c r="T114" s="106">
        <v>130.5</v>
      </c>
      <c r="U114" s="106">
        <v>133.1</v>
      </c>
      <c r="V114" s="106">
        <v>134.9</v>
      </c>
      <c r="W114" s="106">
        <v>134.9</v>
      </c>
      <c r="X114" s="106">
        <v>134.69999999999999</v>
      </c>
      <c r="Y114" s="106">
        <v>134.69999999999999</v>
      </c>
      <c r="Z114" s="106">
        <v>135.80000000000001</v>
      </c>
      <c r="AA114" s="106">
        <v>136.30000000000001</v>
      </c>
      <c r="AB114" s="106">
        <v>136.30000000000001</v>
      </c>
      <c r="AC114" s="106">
        <v>135</v>
      </c>
      <c r="AD114" s="106">
        <v>132.4</v>
      </c>
      <c r="AE114" s="106">
        <v>135.5</v>
      </c>
      <c r="AF114" s="106">
        <v>136</v>
      </c>
      <c r="AG114" s="107"/>
      <c r="AH114" s="47">
        <f t="shared" si="33"/>
        <v>137.69999999999999</v>
      </c>
      <c r="AI114" s="48">
        <f t="shared" si="34"/>
        <v>130.5</v>
      </c>
    </row>
    <row r="115" spans="1:35" x14ac:dyDescent="0.25">
      <c r="A115" s="103" t="s">
        <v>115</v>
      </c>
      <c r="B115" s="65">
        <v>130.30000000000001</v>
      </c>
      <c r="C115" s="65">
        <v>134.19999999999999</v>
      </c>
      <c r="D115" s="65">
        <v>130.6</v>
      </c>
      <c r="E115" s="65">
        <v>136.69999999999999</v>
      </c>
      <c r="F115" s="65">
        <v>128.69999999999999</v>
      </c>
      <c r="G115" s="65">
        <v>128.80000000000001</v>
      </c>
      <c r="H115" s="65">
        <v>136.69999999999999</v>
      </c>
      <c r="I115" s="65">
        <v>133.1</v>
      </c>
      <c r="J115" s="65">
        <v>133.1</v>
      </c>
      <c r="K115" s="65">
        <v>133.69999999999999</v>
      </c>
      <c r="L115" s="65">
        <v>133.69999999999999</v>
      </c>
      <c r="M115" s="65">
        <v>133.69999999999999</v>
      </c>
      <c r="N115" s="65">
        <v>129.69999999999999</v>
      </c>
      <c r="O115" s="65">
        <v>129.4</v>
      </c>
      <c r="P115" s="65">
        <v>132</v>
      </c>
      <c r="Q115" s="65">
        <v>131.80000000000001</v>
      </c>
      <c r="R115" s="65">
        <v>132.6</v>
      </c>
      <c r="S115" s="65">
        <v>137</v>
      </c>
      <c r="T115" s="65">
        <v>137</v>
      </c>
      <c r="U115" s="65">
        <v>132.4</v>
      </c>
      <c r="V115" s="65">
        <v>132.30000000000001</v>
      </c>
      <c r="W115" s="65">
        <v>132.30000000000001</v>
      </c>
      <c r="X115" s="65">
        <v>131.69999999999999</v>
      </c>
      <c r="Y115" s="65">
        <v>131.69999999999999</v>
      </c>
      <c r="Z115" s="65">
        <v>133.1</v>
      </c>
      <c r="AA115" s="65">
        <v>133.4</v>
      </c>
      <c r="AB115" s="65">
        <v>133.4</v>
      </c>
      <c r="AC115" s="65">
        <v>135</v>
      </c>
      <c r="AD115" s="65">
        <v>133.6</v>
      </c>
      <c r="AE115" s="65">
        <v>132.19999999999999</v>
      </c>
      <c r="AF115" s="65">
        <v>133.1</v>
      </c>
      <c r="AG115" s="104"/>
      <c r="AH115" s="47">
        <f t="shared" si="33"/>
        <v>137</v>
      </c>
      <c r="AI115" s="48">
        <f t="shared" si="34"/>
        <v>128.69999999999999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3"/>
        <v>0</v>
      </c>
      <c r="AI116" s="48">
        <f t="shared" si="34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3"/>
        <v>0</v>
      </c>
      <c r="AI117" s="48">
        <f t="shared" si="34"/>
        <v>0</v>
      </c>
    </row>
    <row r="118" spans="1:35" ht="15.75" thickBot="1" x14ac:dyDescent="0.3">
      <c r="A118" s="110" t="s">
        <v>118</v>
      </c>
      <c r="B118" s="111"/>
      <c r="C118" s="111"/>
      <c r="D118" s="111">
        <f t="shared" ref="D118:O118" si="102">SUM(D22,D28,D31:D32,D66,D68:D69,D71,D73,D119:D123,D153,D159,D165,D174,D176,D188,D195,D198:D199,D206,D208,D210,D214:D216,D218:D220,D225,D231:D232,D234:D236,D244,D249)</f>
        <v>93.59</v>
      </c>
      <c r="E118" s="111">
        <f t="shared" si="102"/>
        <v>82.889999999999986</v>
      </c>
      <c r="F118" s="111">
        <f t="shared" si="102"/>
        <v>87.940000000000012</v>
      </c>
      <c r="G118" s="111">
        <f t="shared" si="102"/>
        <v>109.53999999999999</v>
      </c>
      <c r="H118" s="111">
        <f t="shared" si="102"/>
        <v>133.98999999999998</v>
      </c>
      <c r="I118" s="111">
        <f t="shared" si="102"/>
        <v>168.49</v>
      </c>
      <c r="J118" s="111">
        <f t="shared" si="102"/>
        <v>169.79000000000002</v>
      </c>
      <c r="K118" s="111">
        <f t="shared" si="102"/>
        <v>253.44</v>
      </c>
      <c r="L118" s="111">
        <f t="shared" si="102"/>
        <v>253.44</v>
      </c>
      <c r="M118" s="111">
        <f t="shared" si="102"/>
        <v>305.44</v>
      </c>
      <c r="N118" s="111">
        <f t="shared" si="102"/>
        <v>179.44</v>
      </c>
      <c r="O118" s="111">
        <f t="shared" si="102"/>
        <v>182.44</v>
      </c>
      <c r="P118" s="111">
        <v>42</v>
      </c>
      <c r="Q118" s="111">
        <f t="shared" ref="Q118:AF118" si="103">SUM(Q22,Q28,Q31:Q32,Q66,Q68:Q69,Q71,Q73,Q119:Q123,Q153,Q159,Q165,Q174,Q176,Q188,Q195,Q198:Q199,Q206,Q208,Q210,Q214:Q216,Q218:Q220,Q225,Q231:Q232,Q234:Q236,Q244,Q249)</f>
        <v>142.44</v>
      </c>
      <c r="R118" s="111">
        <f t="shared" si="103"/>
        <v>209.94</v>
      </c>
      <c r="S118" s="111">
        <f t="shared" si="103"/>
        <v>245.00800000000001</v>
      </c>
      <c r="T118" s="111">
        <f t="shared" ref="T118:U118" si="104">SUM(T22,T28,T31:T32,T66,T68:T69,T71,T73,T119:T123,T153,T159,T165,T174,T176,T188,T195,T198:T199,T206,T208,T210,T214:T216,T218:T220,T225,T231:T232,T234:T236,T244,T249)</f>
        <v>166.99</v>
      </c>
      <c r="U118" s="111">
        <f t="shared" si="104"/>
        <v>250.64</v>
      </c>
      <c r="V118" s="111">
        <f t="shared" ref="V118:X118" si="105">SUM(V22,V28,V31:V32,V66,V68:V69,V71,V73,V119:V123,V153,V159,V165,V174,V176,V188,V195,V198:V199,V206,V208,V210,V214:V216,V218:V220,V225,V231:V232,V234:V236,V244,V249)</f>
        <v>215.42000000000002</v>
      </c>
      <c r="W118" s="111">
        <f t="shared" si="105"/>
        <v>263.52</v>
      </c>
      <c r="X118" s="111">
        <f t="shared" si="105"/>
        <v>245.06</v>
      </c>
      <c r="Y118" s="111">
        <f t="shared" ref="Y118:Z118" si="106">SUM(Y22,Y28,Y31:Y32,Y66,Y68:Y69,Y71,Y73,Y119:Y123,Y153,Y159,Y165,Y174,Y176,Y188,Y195,Y198:Y199,Y206,Y208,Y210,Y214:Y216,Y218:Y220,Y225,Y231:Y232,Y234:Y236,Y244,Y249)</f>
        <v>255.9</v>
      </c>
      <c r="Z118" s="111">
        <f t="shared" si="106"/>
        <v>244.90000000000003</v>
      </c>
      <c r="AA118" s="111">
        <f t="shared" ref="AA118" si="107">SUM(AA22,AA28,AA31:AA32,AA66,AA68:AA69,AA71,AA73,AA119:AA123,AA153,AA159,AA165,AA174,AA176,AA188,AA195,AA198:AA199,AA206,AA208,AA210,AA214:AA216,AA218:AA220,AA225,AA231:AA232,AA234:AA236,AA244,AA249)</f>
        <v>229.14</v>
      </c>
      <c r="AB118" s="111">
        <f t="shared" si="103"/>
        <v>248.94</v>
      </c>
      <c r="AC118" s="111">
        <f t="shared" si="103"/>
        <v>167.34</v>
      </c>
      <c r="AD118" s="111"/>
      <c r="AE118" s="111">
        <f t="shared" si="103"/>
        <v>123.34</v>
      </c>
      <c r="AF118" s="111">
        <f t="shared" si="103"/>
        <v>78.740000000000009</v>
      </c>
      <c r="AG118" s="112"/>
      <c r="AH118" s="47">
        <f t="shared" si="33"/>
        <v>305.44</v>
      </c>
      <c r="AI118" s="48">
        <f t="shared" si="34"/>
        <v>42</v>
      </c>
    </row>
    <row r="119" spans="1:35" x14ac:dyDescent="0.25">
      <c r="A119" s="181" t="s">
        <v>119</v>
      </c>
      <c r="B119" s="113">
        <v>-1.8</v>
      </c>
      <c r="C119" s="113">
        <v>-4.3</v>
      </c>
      <c r="D119" s="113">
        <v>-10.5</v>
      </c>
      <c r="E119" s="113"/>
      <c r="F119" s="113"/>
      <c r="G119" s="113"/>
      <c r="H119" s="113"/>
      <c r="I119" s="113"/>
      <c r="J119" s="113"/>
      <c r="K119" s="113"/>
      <c r="L119" s="113"/>
      <c r="M119" s="113"/>
      <c r="N119" s="113">
        <v>-52</v>
      </c>
      <c r="O119" s="113">
        <v>-52</v>
      </c>
      <c r="P119" s="113">
        <v>-34</v>
      </c>
      <c r="Q119" s="113"/>
      <c r="R119" s="113"/>
      <c r="S119" s="113"/>
      <c r="T119" s="113"/>
      <c r="U119" s="113"/>
      <c r="V119" s="113">
        <v>-32.6</v>
      </c>
      <c r="W119" s="113">
        <v>-20.5</v>
      </c>
      <c r="X119" s="113">
        <v>-33.6</v>
      </c>
      <c r="Y119" s="113">
        <v>-31.5</v>
      </c>
      <c r="Z119" s="113">
        <v>-12</v>
      </c>
      <c r="AA119" s="113">
        <v>-9.8000000000000007</v>
      </c>
      <c r="AB119" s="113"/>
      <c r="AC119" s="113"/>
      <c r="AD119" s="113"/>
      <c r="AE119" s="113"/>
      <c r="AF119" s="113"/>
      <c r="AG119" s="114">
        <v>75</v>
      </c>
      <c r="AH119" s="47">
        <f t="shared" si="33"/>
        <v>-1.8</v>
      </c>
      <c r="AI119" s="48">
        <f t="shared" si="34"/>
        <v>-52</v>
      </c>
    </row>
    <row r="120" spans="1:35" x14ac:dyDescent="0.25">
      <c r="A120" s="182" t="s">
        <v>120</v>
      </c>
      <c r="B120" s="115"/>
      <c r="C120" s="115"/>
      <c r="D120" s="115"/>
      <c r="E120" s="115">
        <v>4.7</v>
      </c>
      <c r="F120" s="115">
        <v>6.1</v>
      </c>
      <c r="G120" s="115">
        <v>5.6</v>
      </c>
      <c r="H120" s="115">
        <v>22.7</v>
      </c>
      <c r="I120" s="115">
        <v>18.399999999999999</v>
      </c>
      <c r="J120" s="115">
        <v>19.399999999999999</v>
      </c>
      <c r="K120" s="115">
        <v>36.700000000000003</v>
      </c>
      <c r="L120" s="115">
        <v>36.700000000000003</v>
      </c>
      <c r="M120" s="115">
        <v>39</v>
      </c>
      <c r="N120" s="115">
        <v>34</v>
      </c>
      <c r="O120" s="115">
        <v>39</v>
      </c>
      <c r="P120" s="115">
        <v>54.5</v>
      </c>
      <c r="Q120" s="115">
        <v>27.5</v>
      </c>
      <c r="R120" s="115">
        <v>19</v>
      </c>
      <c r="S120" s="115">
        <v>8.5</v>
      </c>
      <c r="T120" s="115">
        <v>12.3</v>
      </c>
      <c r="U120" s="115">
        <v>26.7</v>
      </c>
      <c r="V120" s="115">
        <v>49.2</v>
      </c>
      <c r="W120" s="115">
        <v>52.8</v>
      </c>
      <c r="X120" s="115">
        <v>39.6</v>
      </c>
      <c r="Y120" s="115">
        <v>41.9</v>
      </c>
      <c r="Z120" s="115">
        <v>51.2</v>
      </c>
      <c r="AA120" s="115">
        <v>52.9</v>
      </c>
      <c r="AB120" s="115">
        <v>52.9</v>
      </c>
      <c r="AC120" s="115">
        <v>55</v>
      </c>
      <c r="AD120" s="115">
        <v>29</v>
      </c>
      <c r="AE120" s="115">
        <v>13</v>
      </c>
      <c r="AF120" s="115">
        <v>-5.6</v>
      </c>
      <c r="AG120" s="114">
        <v>240</v>
      </c>
      <c r="AH120" s="47">
        <f t="shared" si="33"/>
        <v>55</v>
      </c>
      <c r="AI120" s="48">
        <f t="shared" si="34"/>
        <v>-5.6</v>
      </c>
    </row>
    <row r="121" spans="1:35" x14ac:dyDescent="0.25">
      <c r="A121" s="182" t="s">
        <v>121</v>
      </c>
      <c r="B121" s="115">
        <f>-23.8-26.7</f>
        <v>-50.5</v>
      </c>
      <c r="C121" s="115">
        <f>-21.4-24</f>
        <v>-45.4</v>
      </c>
      <c r="D121" s="115">
        <f>-22.1-25.1</f>
        <v>-47.2</v>
      </c>
      <c r="E121" s="115">
        <f>-27.4-31</f>
        <v>-58.4</v>
      </c>
      <c r="F121" s="115">
        <f>-25.7-29.6</f>
        <v>-55.3</v>
      </c>
      <c r="G121" s="115">
        <f>-21.9-24.5</f>
        <v>-46.4</v>
      </c>
      <c r="H121" s="115">
        <f>-19.8-22.1</f>
        <v>-41.900000000000006</v>
      </c>
      <c r="I121" s="115">
        <f>-13.8-16</f>
        <v>-29.8</v>
      </c>
      <c r="J121" s="115">
        <f>-13.8-16</f>
        <v>-29.8</v>
      </c>
      <c r="K121" s="115">
        <v>-0.7</v>
      </c>
      <c r="L121" s="115">
        <v>-0.7</v>
      </c>
      <c r="M121" s="115">
        <v>4</v>
      </c>
      <c r="N121" s="115">
        <v>-12</v>
      </c>
      <c r="O121" s="115">
        <v>-15</v>
      </c>
      <c r="P121" s="115">
        <v>-16.899999999999999</v>
      </c>
      <c r="Q121" s="115">
        <v>-20</v>
      </c>
      <c r="R121" s="115">
        <v>-10</v>
      </c>
      <c r="S121" s="115">
        <v>-5.0999999999999996</v>
      </c>
      <c r="T121" s="115">
        <v>-76.099999999999994</v>
      </c>
      <c r="U121" s="115">
        <v>4</v>
      </c>
      <c r="V121" s="115">
        <v>13</v>
      </c>
      <c r="W121" s="115">
        <v>3</v>
      </c>
      <c r="X121" s="115">
        <v>-9</v>
      </c>
      <c r="Y121" s="115">
        <v>0</v>
      </c>
      <c r="Z121" s="115">
        <v>-3</v>
      </c>
      <c r="AA121" s="115">
        <v>-9</v>
      </c>
      <c r="AB121" s="115">
        <v>-9</v>
      </c>
      <c r="AC121" s="115">
        <v>-15</v>
      </c>
      <c r="AD121" s="115">
        <v>11</v>
      </c>
      <c r="AE121" s="115">
        <v>-17</v>
      </c>
      <c r="AF121" s="115">
        <v>-43</v>
      </c>
      <c r="AG121" s="114">
        <v>240</v>
      </c>
      <c r="AH121" s="47">
        <f t="shared" si="33"/>
        <v>13</v>
      </c>
      <c r="AI121" s="48">
        <f t="shared" si="34"/>
        <v>-76.099999999999994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33"/>
        <v>0</v>
      </c>
      <c r="AI122" s="48">
        <f t="shared" si="34"/>
        <v>0</v>
      </c>
    </row>
    <row r="123" spans="1:35" x14ac:dyDescent="0.25">
      <c r="A123" s="181" t="s">
        <v>267</v>
      </c>
      <c r="B123" s="117">
        <f>19.8*1.5</f>
        <v>29.700000000000003</v>
      </c>
      <c r="C123" s="117">
        <f>16.3*1.5</f>
        <v>24.450000000000003</v>
      </c>
      <c r="D123" s="117">
        <f>18.7*1.5</f>
        <v>28.049999999999997</v>
      </c>
      <c r="E123" s="117">
        <f>8.1*1.5</f>
        <v>12.149999999999999</v>
      </c>
      <c r="F123" s="117">
        <v>15</v>
      </c>
      <c r="G123" s="117">
        <f>18.6*1.5</f>
        <v>27.900000000000002</v>
      </c>
      <c r="H123" s="117">
        <f>20.5*1.5</f>
        <v>30.75</v>
      </c>
      <c r="I123" s="117">
        <f>38.5*1.5</f>
        <v>57.75</v>
      </c>
      <c r="J123" s="117">
        <f>38.5*1.5</f>
        <v>57.75</v>
      </c>
      <c r="K123" s="117">
        <f>95</f>
        <v>95</v>
      </c>
      <c r="L123" s="117">
        <f>95</f>
        <v>95</v>
      </c>
      <c r="M123" s="117">
        <v>140</v>
      </c>
      <c r="N123" s="117">
        <v>83</v>
      </c>
      <c r="O123" s="117">
        <v>82</v>
      </c>
      <c r="P123" s="117"/>
      <c r="Q123" s="117"/>
      <c r="R123" s="117">
        <v>66</v>
      </c>
      <c r="S123" s="117">
        <f>1.64*71.2</f>
        <v>116.768</v>
      </c>
      <c r="T123" s="117">
        <f>70.9*1.5</f>
        <v>106.35000000000001</v>
      </c>
      <c r="U123" s="117">
        <f>68.4*1.5</f>
        <v>102.60000000000001</v>
      </c>
      <c r="V123" s="117">
        <f>42.8*1.6</f>
        <v>68.48</v>
      </c>
      <c r="W123" s="117">
        <f>69.3*1.6</f>
        <v>110.88</v>
      </c>
      <c r="X123" s="117">
        <f>81.7*1.6</f>
        <v>130.72</v>
      </c>
      <c r="Y123" s="117">
        <f>80.1*1.6</f>
        <v>128.16</v>
      </c>
      <c r="Z123" s="117">
        <f>57.1*1.6</f>
        <v>91.360000000000014</v>
      </c>
      <c r="AA123" s="117">
        <f>51.8*1.5</f>
        <v>77.699999999999989</v>
      </c>
      <c r="AB123" s="117">
        <f t="shared" ref="AB123" si="108">51.8*1.5</f>
        <v>77.699999999999989</v>
      </c>
      <c r="AC123" s="117"/>
      <c r="AD123" s="117"/>
      <c r="AE123" s="117"/>
      <c r="AF123" s="117"/>
      <c r="AG123" s="118">
        <v>120</v>
      </c>
      <c r="AH123" s="47">
        <f t="shared" si="33"/>
        <v>140</v>
      </c>
      <c r="AI123" s="48">
        <f t="shared" si="34"/>
        <v>12.149999999999999</v>
      </c>
    </row>
    <row r="124" spans="1:35" x14ac:dyDescent="0.25">
      <c r="A124" s="182" t="s">
        <v>266</v>
      </c>
      <c r="B124" s="117">
        <v>49.7</v>
      </c>
      <c r="C124" s="117">
        <v>45.2</v>
      </c>
      <c r="D124" s="117">
        <v>48</v>
      </c>
      <c r="E124" s="117">
        <v>39</v>
      </c>
      <c r="F124" s="117">
        <v>40</v>
      </c>
      <c r="G124" s="117">
        <v>47.2</v>
      </c>
      <c r="H124" s="117">
        <v>48.3</v>
      </c>
      <c r="I124" s="117">
        <v>63.9</v>
      </c>
      <c r="J124" s="117">
        <v>63.9</v>
      </c>
      <c r="K124" s="117">
        <v>80.900000000000006</v>
      </c>
      <c r="L124" s="117">
        <v>80.900000000000006</v>
      </c>
      <c r="M124" s="117">
        <v>105</v>
      </c>
      <c r="N124" s="117">
        <v>98</v>
      </c>
      <c r="O124" s="117">
        <v>97</v>
      </c>
      <c r="P124" s="117">
        <v>74</v>
      </c>
      <c r="Q124" s="117">
        <v>81</v>
      </c>
      <c r="R124" s="117">
        <v>84</v>
      </c>
      <c r="S124" s="117">
        <v>88.5</v>
      </c>
      <c r="T124" s="117">
        <v>88.1</v>
      </c>
      <c r="U124" s="117">
        <v>86.1</v>
      </c>
      <c r="V124" s="117">
        <v>66.099999999999994</v>
      </c>
      <c r="W124" s="117">
        <v>88.4</v>
      </c>
      <c r="X124" s="117">
        <v>93.6</v>
      </c>
      <c r="Y124" s="117">
        <v>96.3</v>
      </c>
      <c r="Z124" s="117">
        <v>77.400000000000006</v>
      </c>
      <c r="AA124" s="117">
        <v>73.599999999999994</v>
      </c>
      <c r="AB124" s="117">
        <v>73.599999999999994</v>
      </c>
      <c r="AC124" s="117">
        <v>70</v>
      </c>
      <c r="AD124" s="117">
        <v>72</v>
      </c>
      <c r="AE124" s="117"/>
      <c r="AF124" s="117">
        <v>56</v>
      </c>
      <c r="AG124" s="118"/>
      <c r="AH124" s="47"/>
      <c r="AI124" s="48"/>
    </row>
    <row r="125" spans="1:35" x14ac:dyDescent="0.25">
      <c r="A125" s="182" t="s">
        <v>263</v>
      </c>
      <c r="B125" s="117">
        <v>24.2</v>
      </c>
      <c r="C125" s="117">
        <v>25.7</v>
      </c>
      <c r="D125" s="117">
        <v>34.4</v>
      </c>
      <c r="E125" s="117">
        <v>19.5</v>
      </c>
      <c r="F125" s="117">
        <v>17.600000000000001</v>
      </c>
      <c r="G125" s="117">
        <v>15.7</v>
      </c>
      <c r="H125" s="117">
        <v>-5.4</v>
      </c>
      <c r="I125" s="117">
        <v>5.9</v>
      </c>
      <c r="J125" s="117">
        <v>5.9</v>
      </c>
      <c r="K125" s="117">
        <v>-34.4</v>
      </c>
      <c r="L125" s="117">
        <v>-34.4</v>
      </c>
      <c r="M125" s="117">
        <v>-22.6</v>
      </c>
      <c r="N125" s="117">
        <v>-4</v>
      </c>
      <c r="O125" s="117">
        <v>3.9</v>
      </c>
      <c r="P125" s="117">
        <v>-32.6</v>
      </c>
      <c r="Q125" s="117">
        <v>-7</v>
      </c>
      <c r="R125" s="117">
        <v>-15</v>
      </c>
      <c r="S125" s="117">
        <v>24.1</v>
      </c>
      <c r="T125" s="117">
        <v>14.8</v>
      </c>
      <c r="U125" s="117">
        <v>1.5</v>
      </c>
      <c r="V125" s="117">
        <v>-38.799999999999997</v>
      </c>
      <c r="W125" s="117">
        <v>-50.8</v>
      </c>
      <c r="X125" s="117">
        <v>-44.9</v>
      </c>
      <c r="Y125" s="117">
        <v>-64.8</v>
      </c>
      <c r="Z125" s="117"/>
      <c r="AA125" s="117"/>
      <c r="AB125" s="117"/>
      <c r="AC125" s="117"/>
      <c r="AD125" s="117">
        <v>37</v>
      </c>
      <c r="AE125" s="117">
        <v>70</v>
      </c>
      <c r="AF125" s="117">
        <v>-27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40.6</v>
      </c>
      <c r="C126" s="117">
        <v>35.799999999999997</v>
      </c>
      <c r="D126" s="117">
        <v>39.799999999999997</v>
      </c>
      <c r="E126" s="117">
        <v>28.3</v>
      </c>
      <c r="F126" s="117">
        <v>28.6</v>
      </c>
      <c r="G126" s="117">
        <v>38.4</v>
      </c>
      <c r="H126" s="117">
        <v>35.700000000000003</v>
      </c>
      <c r="I126" s="117">
        <v>60.2</v>
      </c>
      <c r="J126" s="117">
        <v>60.2</v>
      </c>
      <c r="K126" s="117">
        <v>66.599999999999994</v>
      </c>
      <c r="L126" s="117">
        <v>66.599999999999994</v>
      </c>
      <c r="M126" s="117">
        <v>90.6</v>
      </c>
      <c r="N126" s="117">
        <v>83</v>
      </c>
      <c r="O126" s="117">
        <v>81</v>
      </c>
      <c r="P126" s="117">
        <v>64.3</v>
      </c>
      <c r="Q126" s="117">
        <v>82.3</v>
      </c>
      <c r="R126" s="117">
        <v>89</v>
      </c>
      <c r="S126" s="117">
        <v>92</v>
      </c>
      <c r="T126" s="117">
        <v>89.9</v>
      </c>
      <c r="U126" s="117">
        <v>87.7</v>
      </c>
      <c r="V126" s="117">
        <v>42.5</v>
      </c>
      <c r="W126" s="117">
        <v>58.9</v>
      </c>
      <c r="X126" s="117">
        <v>64.099999999999994</v>
      </c>
      <c r="Y126" s="117">
        <v>67.8</v>
      </c>
      <c r="Z126" s="117">
        <v>56.3</v>
      </c>
      <c r="AA126" s="117">
        <v>51.5</v>
      </c>
      <c r="AB126" s="117">
        <v>51.5</v>
      </c>
      <c r="AC126" s="117">
        <v>50</v>
      </c>
      <c r="AD126" s="117">
        <v>54</v>
      </c>
      <c r="AE126" s="117">
        <v>0.8</v>
      </c>
      <c r="AF126" s="117">
        <v>50</v>
      </c>
      <c r="AG126" s="114"/>
      <c r="AH126" s="47">
        <f t="shared" si="33"/>
        <v>92</v>
      </c>
      <c r="AI126" s="48">
        <f t="shared" si="34"/>
        <v>0.8</v>
      </c>
    </row>
    <row r="127" spans="1:35" x14ac:dyDescent="0.25">
      <c r="A127" s="181" t="s">
        <v>264</v>
      </c>
      <c r="B127" s="117">
        <v>25.1</v>
      </c>
      <c r="C127" s="117">
        <v>13</v>
      </c>
      <c r="D127" s="117">
        <v>16.399999999999999</v>
      </c>
      <c r="E127" s="117">
        <v>12.7</v>
      </c>
      <c r="F127" s="117">
        <v>14</v>
      </c>
      <c r="G127" s="117">
        <v>19.2</v>
      </c>
      <c r="H127" s="117">
        <v>8.4</v>
      </c>
      <c r="I127" s="117">
        <v>10.3</v>
      </c>
      <c r="J127" s="117">
        <v>10.3</v>
      </c>
      <c r="K127" s="117">
        <v>12.5</v>
      </c>
      <c r="L127" s="117">
        <v>12.5</v>
      </c>
      <c r="M127" s="117">
        <v>9.3000000000000007</v>
      </c>
      <c r="N127" s="117">
        <v>11</v>
      </c>
      <c r="O127" s="117">
        <v>12</v>
      </c>
      <c r="P127" s="117">
        <v>-3.7</v>
      </c>
      <c r="Q127" s="117">
        <v>14</v>
      </c>
      <c r="R127" s="117">
        <v>10</v>
      </c>
      <c r="S127" s="117">
        <v>10</v>
      </c>
      <c r="T127" s="117">
        <v>12</v>
      </c>
      <c r="U127" s="117">
        <v>15.7</v>
      </c>
      <c r="V127" s="117">
        <v>-2.7</v>
      </c>
      <c r="W127" s="117">
        <v>2.9</v>
      </c>
      <c r="X127" s="117">
        <v>12.3</v>
      </c>
      <c r="Y127" s="117">
        <v>9.3000000000000007</v>
      </c>
      <c r="Z127" s="117">
        <v>0</v>
      </c>
      <c r="AA127" s="117">
        <v>0</v>
      </c>
      <c r="AB127" s="117">
        <v>0</v>
      </c>
      <c r="AC127" s="117">
        <v>0</v>
      </c>
      <c r="AD127" s="117">
        <v>14</v>
      </c>
      <c r="AE127" s="117">
        <v>26</v>
      </c>
      <c r="AF127" s="106">
        <v>20</v>
      </c>
      <c r="AG127" s="114"/>
      <c r="AH127" s="47">
        <f t="shared" si="33"/>
        <v>26</v>
      </c>
      <c r="AI127" s="48">
        <f t="shared" si="34"/>
        <v>-3.7</v>
      </c>
    </row>
    <row r="128" spans="1:35" x14ac:dyDescent="0.25">
      <c r="A128" s="182" t="s">
        <v>126</v>
      </c>
      <c r="B128" s="106">
        <v>5.5</v>
      </c>
      <c r="C128" s="106">
        <v>6.8</v>
      </c>
      <c r="D128" s="106">
        <v>6.8</v>
      </c>
      <c r="E128" s="106">
        <v>7.4</v>
      </c>
      <c r="F128" s="106">
        <v>6.6</v>
      </c>
      <c r="G128" s="106">
        <v>1.6</v>
      </c>
      <c r="H128" s="106">
        <v>-2.8</v>
      </c>
      <c r="I128" s="106">
        <v>-8.8000000000000007</v>
      </c>
      <c r="J128" s="106">
        <v>-8.8000000000000007</v>
      </c>
      <c r="K128" s="106">
        <v>-22.6</v>
      </c>
      <c r="L128" s="106">
        <v>-22.6</v>
      </c>
      <c r="M128" s="106">
        <v>-15.8</v>
      </c>
      <c r="N128" s="106">
        <v>-10</v>
      </c>
      <c r="O128" s="106">
        <v>-14</v>
      </c>
      <c r="P128" s="106">
        <v>-5.5</v>
      </c>
      <c r="Q128" s="106">
        <v>-4</v>
      </c>
      <c r="R128" s="106">
        <v>-0.9</v>
      </c>
      <c r="S128" s="106">
        <v>-4.4000000000000004</v>
      </c>
      <c r="T128" s="106">
        <v>-11.3</v>
      </c>
      <c r="U128" s="106">
        <v>-8.8000000000000007</v>
      </c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 t="shared" si="33"/>
        <v>7.4</v>
      </c>
      <c r="AI128" s="48">
        <f t="shared" si="34"/>
        <v>-22.6</v>
      </c>
    </row>
    <row r="129" spans="1:37" x14ac:dyDescent="0.25">
      <c r="A129" s="182" t="s">
        <v>268</v>
      </c>
      <c r="B129" s="106">
        <v>33.1</v>
      </c>
      <c r="C129" s="106">
        <v>31.4</v>
      </c>
      <c r="D129" s="106">
        <v>29.1</v>
      </c>
      <c r="E129" s="106">
        <v>43.5</v>
      </c>
      <c r="F129" s="106">
        <v>40.6</v>
      </c>
      <c r="G129" s="106">
        <v>33</v>
      </c>
      <c r="H129" s="106">
        <v>38</v>
      </c>
      <c r="I129" s="106">
        <v>22.9</v>
      </c>
      <c r="J129" s="106">
        <v>22.9</v>
      </c>
      <c r="K129" s="106">
        <v>4.0999999999999996</v>
      </c>
      <c r="L129" s="106">
        <v>4.0999999999999996</v>
      </c>
      <c r="M129" s="106">
        <v>1.3</v>
      </c>
      <c r="N129" s="106">
        <v>15</v>
      </c>
      <c r="O129" s="106">
        <v>20</v>
      </c>
      <c r="P129" s="106">
        <v>30.3</v>
      </c>
      <c r="Q129" s="106">
        <v>18.899999999999999</v>
      </c>
      <c r="R129" s="106">
        <v>9</v>
      </c>
      <c r="S129" s="106">
        <v>1</v>
      </c>
      <c r="T129" s="106">
        <v>3.6</v>
      </c>
      <c r="U129" s="106">
        <v>10.199999999999999</v>
      </c>
      <c r="V129" s="106">
        <v>23.1</v>
      </c>
      <c r="W129" s="106">
        <v>15.9</v>
      </c>
      <c r="X129" s="106">
        <v>16.3</v>
      </c>
      <c r="Y129" s="106">
        <v>10.7</v>
      </c>
      <c r="Z129" s="106">
        <v>20.8</v>
      </c>
      <c r="AA129" s="106">
        <v>26.9</v>
      </c>
      <c r="AB129" s="106">
        <v>26.9</v>
      </c>
      <c r="AC129" s="106">
        <v>30</v>
      </c>
      <c r="AD129" s="106">
        <v>28</v>
      </c>
      <c r="AE129" s="106">
        <v>15</v>
      </c>
      <c r="AF129" s="106">
        <v>27</v>
      </c>
      <c r="AG129" s="114"/>
      <c r="AH129" s="47">
        <f t="shared" si="33"/>
        <v>43.5</v>
      </c>
      <c r="AI129" s="48">
        <f t="shared" si="34"/>
        <v>1</v>
      </c>
    </row>
    <row r="130" spans="1:37" ht="15.75" thickBot="1" x14ac:dyDescent="0.3">
      <c r="A130" s="182" t="s">
        <v>265</v>
      </c>
      <c r="B130" s="106">
        <v>74.8</v>
      </c>
      <c r="C130" s="106">
        <v>68.900000000000006</v>
      </c>
      <c r="D130" s="106">
        <v>61.6</v>
      </c>
      <c r="E130" s="106">
        <v>74.2</v>
      </c>
      <c r="F130" s="106">
        <v>69.7</v>
      </c>
      <c r="G130" s="106">
        <v>77.8</v>
      </c>
      <c r="H130" s="106">
        <v>83.8</v>
      </c>
      <c r="I130" s="106">
        <v>86.5</v>
      </c>
      <c r="J130" s="106">
        <v>86.5</v>
      </c>
      <c r="K130" s="106">
        <v>93.9</v>
      </c>
      <c r="L130" s="106">
        <v>93.9</v>
      </c>
      <c r="M130" s="106">
        <v>101.2</v>
      </c>
      <c r="N130" s="106">
        <v>103</v>
      </c>
      <c r="O130" s="106">
        <v>99</v>
      </c>
      <c r="P130" s="106">
        <v>92.6</v>
      </c>
      <c r="Q130" s="106">
        <v>89.3</v>
      </c>
      <c r="R130" s="106">
        <v>78</v>
      </c>
      <c r="S130" s="106">
        <v>64.36</v>
      </c>
      <c r="T130" s="106">
        <v>93.8</v>
      </c>
      <c r="U130" s="106">
        <v>91.8</v>
      </c>
      <c r="V130" s="106">
        <v>-76.3</v>
      </c>
      <c r="W130" s="106">
        <v>113.6</v>
      </c>
      <c r="X130" s="106">
        <v>110.9</v>
      </c>
      <c r="Y130" s="106">
        <v>103.5</v>
      </c>
      <c r="Z130" s="106">
        <v>95</v>
      </c>
      <c r="AA130" s="106">
        <v>95.5</v>
      </c>
      <c r="AB130" s="106">
        <v>95.5</v>
      </c>
      <c r="AC130" s="106">
        <v>89</v>
      </c>
      <c r="AD130" s="106">
        <v>88</v>
      </c>
      <c r="AE130" s="106">
        <v>82</v>
      </c>
      <c r="AF130" s="106">
        <v>72</v>
      </c>
      <c r="AG130" s="114"/>
      <c r="AH130" s="47">
        <f t="shared" si="33"/>
        <v>113.6</v>
      </c>
      <c r="AI130" s="48">
        <f t="shared" si="34"/>
        <v>-76.3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200"/>
      <c r="AF131" s="149"/>
      <c r="AG131" s="43"/>
      <c r="AH131" s="47"/>
      <c r="AI131" s="48"/>
    </row>
    <row r="132" spans="1:37" x14ac:dyDescent="0.25">
      <c r="A132" s="199" t="s">
        <v>243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244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245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ht="15.75" thickBot="1" x14ac:dyDescent="0.3">
      <c r="A135" s="199" t="s">
        <v>246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9"/>
      <c r="AG135" s="153"/>
      <c r="AH135" s="47"/>
      <c r="AI135" s="48"/>
    </row>
    <row r="136" spans="1:37" ht="15.75" thickBot="1" x14ac:dyDescent="0.3">
      <c r="A136" s="122" t="s">
        <v>129</v>
      </c>
      <c r="B136" s="123"/>
      <c r="C136" s="123"/>
      <c r="D136" s="123"/>
      <c r="E136" s="123"/>
      <c r="F136" s="176" t="s">
        <v>258</v>
      </c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83"/>
      <c r="AH136" s="47"/>
      <c r="AI136" s="48"/>
      <c r="AK136" s="50"/>
    </row>
    <row r="137" spans="1:37" x14ac:dyDescent="0.25">
      <c r="A137" s="125" t="s">
        <v>130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>
        <v>9.94</v>
      </c>
      <c r="AH137" s="47"/>
      <c r="AI137" s="48"/>
      <c r="AK137" s="50"/>
    </row>
    <row r="138" spans="1:37" x14ac:dyDescent="0.25">
      <c r="A138" s="103" t="s">
        <v>131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132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133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134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135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136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137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138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139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140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141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142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143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144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145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146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1">
        <v>9.9</v>
      </c>
      <c r="AH153" s="47"/>
      <c r="AI153" s="48"/>
      <c r="AK153" s="50"/>
    </row>
    <row r="154" spans="1:37" x14ac:dyDescent="0.25">
      <c r="A154" s="116" t="s">
        <v>147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9.6579999999999995</v>
      </c>
      <c r="AH154" s="47"/>
      <c r="AI154" s="48"/>
      <c r="AK154" s="50"/>
    </row>
    <row r="155" spans="1:37" x14ac:dyDescent="0.25">
      <c r="A155" s="116" t="s">
        <v>148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9.6</v>
      </c>
      <c r="AH155" s="47"/>
      <c r="AI155" s="48"/>
      <c r="AK155" s="50"/>
    </row>
    <row r="156" spans="1:37" x14ac:dyDescent="0.25">
      <c r="A156" s="116" t="s">
        <v>149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9.51</v>
      </c>
      <c r="AH156" s="47"/>
      <c r="AI156" s="48"/>
      <c r="AK156" s="50"/>
    </row>
    <row r="157" spans="1:37" x14ac:dyDescent="0.25">
      <c r="A157" s="116" t="s">
        <v>150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9.4</v>
      </c>
      <c r="AH157" s="47"/>
      <c r="AI157" s="48"/>
      <c r="AK157" s="50"/>
    </row>
    <row r="158" spans="1:37" x14ac:dyDescent="0.25">
      <c r="A158" s="116" t="s">
        <v>151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8.8000000000000007</v>
      </c>
      <c r="AH158" s="47"/>
      <c r="AI158" s="48"/>
      <c r="AK158" s="50"/>
    </row>
    <row r="159" spans="1:37" x14ac:dyDescent="0.25">
      <c r="A159" s="116" t="s">
        <v>152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8.5</v>
      </c>
      <c r="AH159" s="47"/>
      <c r="AI159" s="48"/>
      <c r="AK159" s="50"/>
    </row>
    <row r="160" spans="1:37" x14ac:dyDescent="0.25">
      <c r="A160" s="116" t="s">
        <v>153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8.5</v>
      </c>
      <c r="AH160" s="47"/>
      <c r="AI160" s="48"/>
      <c r="AK160" s="50"/>
    </row>
    <row r="161" spans="1:37" x14ac:dyDescent="0.25">
      <c r="A161" s="116" t="s">
        <v>154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8.4</v>
      </c>
      <c r="AH161" s="47"/>
      <c r="AI161" s="48"/>
      <c r="AK161" s="50"/>
    </row>
    <row r="162" spans="1:37" ht="13.5" customHeight="1" x14ac:dyDescent="0.25">
      <c r="A162" s="116" t="s">
        <v>155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</v>
      </c>
      <c r="AH162" s="47"/>
      <c r="AI162" s="48"/>
      <c r="AK162" s="50"/>
    </row>
    <row r="163" spans="1:37" x14ac:dyDescent="0.25">
      <c r="A163" s="116" t="s">
        <v>156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</v>
      </c>
      <c r="AH163" s="47"/>
      <c r="AI163" s="48"/>
      <c r="AK163" s="50"/>
    </row>
    <row r="164" spans="1:37" x14ac:dyDescent="0.25">
      <c r="A164" s="116" t="s">
        <v>157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158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7.8</v>
      </c>
      <c r="AH165" s="47"/>
      <c r="AI165" s="48"/>
      <c r="AK165" s="50"/>
    </row>
    <row r="166" spans="1:37" x14ac:dyDescent="0.25">
      <c r="A166" s="116" t="s">
        <v>159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7.6</v>
      </c>
      <c r="AH166" s="47"/>
      <c r="AI166" s="48"/>
      <c r="AK166" s="50"/>
    </row>
    <row r="167" spans="1:37" x14ac:dyDescent="0.25">
      <c r="A167" s="116" t="s">
        <v>160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7.5</v>
      </c>
      <c r="AH167" s="47"/>
      <c r="AI167" s="48"/>
      <c r="AK167" s="50"/>
    </row>
    <row r="168" spans="1:37" x14ac:dyDescent="0.25">
      <c r="A168" s="116" t="s">
        <v>161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7.5</v>
      </c>
      <c r="AH168" s="47"/>
      <c r="AI168" s="48"/>
      <c r="AK168" s="50"/>
    </row>
    <row r="169" spans="1:37" x14ac:dyDescent="0.25">
      <c r="A169" s="116" t="s">
        <v>162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</v>
      </c>
      <c r="AH169" s="47"/>
      <c r="AI169" s="48"/>
      <c r="AK169" s="50"/>
    </row>
    <row r="170" spans="1:37" x14ac:dyDescent="0.25">
      <c r="A170" s="116" t="s">
        <v>163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</v>
      </c>
      <c r="AH170" s="47"/>
      <c r="AI170" s="48"/>
      <c r="AK170" s="50"/>
    </row>
    <row r="171" spans="1:37" x14ac:dyDescent="0.25">
      <c r="A171" s="116" t="s">
        <v>164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165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166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6.6</v>
      </c>
      <c r="AH173" s="47"/>
      <c r="AI173" s="48"/>
      <c r="AK173" s="50"/>
    </row>
    <row r="174" spans="1:37" x14ac:dyDescent="0.25">
      <c r="A174" s="116" t="s">
        <v>167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6.6</v>
      </c>
      <c r="AH174" s="47"/>
      <c r="AI174" s="48"/>
      <c r="AK174" s="50"/>
    </row>
    <row r="175" spans="1:37" x14ac:dyDescent="0.25">
      <c r="A175" s="116" t="s">
        <v>168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6.4</v>
      </c>
      <c r="AH175" s="47"/>
      <c r="AI175" s="48"/>
      <c r="AK175" s="50"/>
    </row>
    <row r="176" spans="1:37" x14ac:dyDescent="0.25">
      <c r="A176" s="116" t="s">
        <v>169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</v>
      </c>
      <c r="AH176" s="47"/>
      <c r="AI176" s="48"/>
      <c r="AK176" s="50"/>
    </row>
    <row r="177" spans="1:37" x14ac:dyDescent="0.25">
      <c r="A177" s="116" t="s">
        <v>170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5.0999999999999996</v>
      </c>
      <c r="AH177" s="47"/>
      <c r="AI177" s="48"/>
      <c r="AK177" s="50"/>
    </row>
    <row r="178" spans="1:37" x14ac:dyDescent="0.25">
      <c r="A178" s="116" t="s">
        <v>171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03" t="s">
        <v>172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1">
        <v>5</v>
      </c>
      <c r="AH179" s="47"/>
      <c r="AI179" s="48"/>
      <c r="AK179" s="50"/>
    </row>
    <row r="180" spans="1:37" x14ac:dyDescent="0.25">
      <c r="A180" s="116" t="s">
        <v>173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16" t="s">
        <v>174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5</v>
      </c>
      <c r="AH181" s="47"/>
      <c r="AI181" s="48"/>
      <c r="AK181" s="50"/>
    </row>
    <row r="182" spans="1:37" x14ac:dyDescent="0.25">
      <c r="A182" s="116" t="s">
        <v>175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176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177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178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4.9930000000000003</v>
      </c>
      <c r="AH185" s="47"/>
      <c r="AI185" s="48"/>
      <c r="AK185" s="50"/>
    </row>
    <row r="186" spans="1:37" x14ac:dyDescent="0.25">
      <c r="A186" s="116" t="s">
        <v>179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4.9800000000000004</v>
      </c>
      <c r="AH186" s="47"/>
      <c r="AI186" s="48"/>
      <c r="AK186" s="50"/>
    </row>
    <row r="187" spans="1:37" x14ac:dyDescent="0.25">
      <c r="A187" s="116" t="s">
        <v>180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4.95</v>
      </c>
      <c r="AH187" s="47"/>
      <c r="AI187" s="48"/>
      <c r="AK187" s="50"/>
    </row>
    <row r="188" spans="1:37" x14ac:dyDescent="0.25">
      <c r="A188" s="116" t="s">
        <v>181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4.95</v>
      </c>
      <c r="AH188" s="47"/>
      <c r="AI188" s="48"/>
      <c r="AK188" s="50"/>
    </row>
    <row r="189" spans="1:37" x14ac:dyDescent="0.25">
      <c r="A189" s="116" t="s">
        <v>182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4.8</v>
      </c>
      <c r="AH189" s="47"/>
      <c r="AI189" s="48"/>
      <c r="AK189" s="50"/>
    </row>
    <row r="190" spans="1:37" x14ac:dyDescent="0.25">
      <c r="A190" s="116" t="s">
        <v>183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4.8</v>
      </c>
      <c r="AH190" s="47"/>
      <c r="AI190" s="48"/>
      <c r="AK190" s="50"/>
    </row>
    <row r="191" spans="1:37" x14ac:dyDescent="0.25">
      <c r="A191" s="116" t="s">
        <v>184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185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4.5</v>
      </c>
      <c r="AH192" s="47"/>
      <c r="AI192" s="48"/>
      <c r="AK192" s="50"/>
    </row>
    <row r="193" spans="1:37" x14ac:dyDescent="0.25">
      <c r="A193" s="116" t="s">
        <v>186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4.5</v>
      </c>
      <c r="AH193" s="47"/>
      <c r="AI193" s="48"/>
      <c r="AK193" s="50"/>
    </row>
    <row r="194" spans="1:37" x14ac:dyDescent="0.25">
      <c r="A194" s="116" t="s">
        <v>187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4.4550000000000001</v>
      </c>
      <c r="AH194" s="47"/>
      <c r="AI194" s="48"/>
      <c r="AK194" s="50"/>
    </row>
    <row r="195" spans="1:37" x14ac:dyDescent="0.25">
      <c r="A195" s="116" t="s">
        <v>188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4.41</v>
      </c>
      <c r="AH195" s="47"/>
      <c r="AI195" s="48"/>
      <c r="AK195" s="50"/>
    </row>
    <row r="196" spans="1:37" x14ac:dyDescent="0.25">
      <c r="A196" s="116" t="s">
        <v>189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4.4000000000000004</v>
      </c>
      <c r="AH196" s="47"/>
      <c r="AI196" s="48"/>
      <c r="AK196" s="50"/>
    </row>
    <row r="197" spans="1:37" x14ac:dyDescent="0.25">
      <c r="A197" s="116" t="s">
        <v>190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4.3600000000000003</v>
      </c>
      <c r="AH197" s="47"/>
      <c r="AI197" s="48"/>
      <c r="AK197" s="50"/>
    </row>
    <row r="198" spans="1:37" x14ac:dyDescent="0.25">
      <c r="A198" s="116" t="s">
        <v>191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4.2</v>
      </c>
      <c r="AH198" s="47"/>
      <c r="AI198" s="48"/>
      <c r="AK198" s="50"/>
    </row>
    <row r="199" spans="1:37" x14ac:dyDescent="0.25">
      <c r="A199" s="116" t="s">
        <v>192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193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194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195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196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197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198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199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200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3.75</v>
      </c>
      <c r="AH207" s="47"/>
      <c r="AI207" s="48"/>
      <c r="AK207" s="50"/>
    </row>
    <row r="208" spans="1:37" x14ac:dyDescent="0.25">
      <c r="A208" s="116" t="s">
        <v>201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3.52</v>
      </c>
      <c r="AH208" s="47"/>
      <c r="AI208" s="48"/>
      <c r="AK208" s="50"/>
    </row>
    <row r="209" spans="1:37" x14ac:dyDescent="0.25">
      <c r="A209" s="116" t="s">
        <v>202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3.33</v>
      </c>
      <c r="AH209" s="47"/>
      <c r="AI209" s="48"/>
      <c r="AK209" s="50"/>
    </row>
    <row r="210" spans="1:37" x14ac:dyDescent="0.25">
      <c r="A210" s="116" t="s">
        <v>203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3.2</v>
      </c>
      <c r="AH210" s="47"/>
      <c r="AI210" s="48"/>
      <c r="AK210" s="50"/>
    </row>
    <row r="211" spans="1:37" x14ac:dyDescent="0.25">
      <c r="A211" s="116" t="s">
        <v>204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205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206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207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208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209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210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211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212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2.83</v>
      </c>
      <c r="AH219" s="47"/>
      <c r="AI219" s="48"/>
      <c r="AK219" s="50"/>
    </row>
    <row r="220" spans="1:37" x14ac:dyDescent="0.25">
      <c r="A220" s="116" t="s">
        <v>213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2.5</v>
      </c>
      <c r="AH220" s="47"/>
      <c r="AI220" s="48"/>
      <c r="AK220" s="50"/>
    </row>
    <row r="221" spans="1:37" x14ac:dyDescent="0.25">
      <c r="A221" s="116" t="s">
        <v>214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2.5</v>
      </c>
      <c r="AH221" s="47"/>
      <c r="AI221" s="48"/>
      <c r="AK221" s="50"/>
    </row>
    <row r="222" spans="1:37" x14ac:dyDescent="0.25">
      <c r="A222" s="116" t="s">
        <v>215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2.4</v>
      </c>
      <c r="AH222" s="47"/>
      <c r="AI222" s="48"/>
      <c r="AK222" s="50"/>
    </row>
    <row r="223" spans="1:37" x14ac:dyDescent="0.25">
      <c r="A223" s="116" t="s">
        <v>216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2.4</v>
      </c>
      <c r="AH223" s="47"/>
      <c r="AI223" s="48"/>
      <c r="AK223" s="50"/>
    </row>
    <row r="224" spans="1:37" x14ac:dyDescent="0.25">
      <c r="A224" s="116" t="s">
        <v>217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2.2000000000000002</v>
      </c>
      <c r="AH224" s="47"/>
      <c r="AI224" s="48"/>
      <c r="AK224" s="50"/>
    </row>
    <row r="225" spans="1:37" x14ac:dyDescent="0.25">
      <c r="A225" s="116" t="s">
        <v>218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</v>
      </c>
      <c r="AH225" s="47"/>
      <c r="AI225" s="48"/>
      <c r="AK225" s="50"/>
    </row>
    <row r="226" spans="1:37" x14ac:dyDescent="0.25">
      <c r="A226" s="116" t="s">
        <v>219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</v>
      </c>
      <c r="AH226" s="47"/>
      <c r="AI226" s="48"/>
      <c r="AK226" s="50"/>
    </row>
    <row r="227" spans="1:37" x14ac:dyDescent="0.25">
      <c r="A227" s="116" t="s">
        <v>220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221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1.8</v>
      </c>
      <c r="AH228" s="47"/>
      <c r="AI228" s="48"/>
      <c r="AK228" s="50"/>
    </row>
    <row r="229" spans="1:37" x14ac:dyDescent="0.25">
      <c r="A229" s="116" t="s">
        <v>222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1.8</v>
      </c>
      <c r="AH229" s="47"/>
      <c r="AI229" s="48"/>
      <c r="AK229" s="50"/>
    </row>
    <row r="230" spans="1:37" x14ac:dyDescent="0.25">
      <c r="A230" s="116" t="s">
        <v>223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1.65</v>
      </c>
      <c r="AH230" s="47"/>
      <c r="AI230" s="48"/>
      <c r="AK230" s="50"/>
    </row>
    <row r="231" spans="1:37" x14ac:dyDescent="0.25">
      <c r="A231" s="116" t="s">
        <v>224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1.5</v>
      </c>
      <c r="AH231" s="47"/>
      <c r="AI231" s="48"/>
      <c r="AK231" s="50"/>
    </row>
    <row r="232" spans="1:37" x14ac:dyDescent="0.25">
      <c r="A232" s="116" t="s">
        <v>225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0.998</v>
      </c>
      <c r="AH232" s="47"/>
      <c r="AI232" s="48"/>
      <c r="AK232" s="50"/>
    </row>
    <row r="233" spans="1:37" x14ac:dyDescent="0.25">
      <c r="A233" s="116" t="s">
        <v>226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0.997</v>
      </c>
      <c r="AH233" s="47"/>
      <c r="AI233" s="48"/>
      <c r="AK233" s="50"/>
    </row>
    <row r="234" spans="1:37" x14ac:dyDescent="0.25">
      <c r="A234" s="116" t="s">
        <v>227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0.997</v>
      </c>
      <c r="AH234" s="47"/>
      <c r="AI234" s="48"/>
      <c r="AK234" s="50"/>
    </row>
    <row r="235" spans="1:37" x14ac:dyDescent="0.25">
      <c r="A235" s="116" t="s">
        <v>228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0.996</v>
      </c>
      <c r="AH235" s="47"/>
      <c r="AI235" s="48"/>
      <c r="AK235" s="50"/>
    </row>
    <row r="236" spans="1:37" x14ac:dyDescent="0.25">
      <c r="A236" s="116" t="s">
        <v>229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0.996</v>
      </c>
      <c r="AH236" s="47"/>
      <c r="AI236" s="48"/>
      <c r="AK236" s="50"/>
    </row>
    <row r="237" spans="1:37" x14ac:dyDescent="0.25">
      <c r="A237" s="116" t="s">
        <v>230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231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0.995</v>
      </c>
      <c r="AH238" s="47"/>
      <c r="AI238" s="48"/>
      <c r="AK238" s="50"/>
    </row>
    <row r="239" spans="1:37" x14ac:dyDescent="0.25">
      <c r="A239" s="116" t="s">
        <v>232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0.99299999999999999</v>
      </c>
      <c r="AH239" s="47"/>
      <c r="AI239" s="48"/>
      <c r="AK239" s="50"/>
    </row>
    <row r="240" spans="1:37" x14ac:dyDescent="0.25">
      <c r="A240" s="116" t="s">
        <v>233</v>
      </c>
      <c r="B240" s="129"/>
      <c r="C240" s="127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</v>
      </c>
      <c r="AH240" s="47"/>
      <c r="AI240" s="48"/>
      <c r="AK240" s="50"/>
    </row>
    <row r="241" spans="1:37" ht="15.75" thickBot="1" x14ac:dyDescent="0.3">
      <c r="A241" s="116" t="s">
        <v>234</v>
      </c>
      <c r="B241" s="133"/>
      <c r="C241" s="134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2">
        <v>0.97899999999999998</v>
      </c>
      <c r="AH241" s="47"/>
      <c r="AI241" s="48"/>
      <c r="AK241" s="50"/>
    </row>
    <row r="242" spans="1:37" ht="15.75" thickBot="1" x14ac:dyDescent="0.3">
      <c r="A242" s="135" t="s">
        <v>235</v>
      </c>
      <c r="B242" s="136">
        <f t="shared" ref="B242:AG242" si="109">SUM(B137:B241)</f>
        <v>0</v>
      </c>
      <c r="C242" s="137">
        <f t="shared" si="109"/>
        <v>0</v>
      </c>
      <c r="D242" s="137">
        <f t="shared" si="109"/>
        <v>0</v>
      </c>
      <c r="E242" s="137">
        <f t="shared" si="109"/>
        <v>0</v>
      </c>
      <c r="F242" s="137">
        <f t="shared" si="109"/>
        <v>0</v>
      </c>
      <c r="G242" s="137">
        <f t="shared" si="109"/>
        <v>0</v>
      </c>
      <c r="H242" s="137">
        <f t="shared" si="109"/>
        <v>0</v>
      </c>
      <c r="I242" s="137">
        <f t="shared" si="109"/>
        <v>0</v>
      </c>
      <c r="J242" s="137">
        <f t="shared" si="109"/>
        <v>0</v>
      </c>
      <c r="K242" s="137">
        <f t="shared" si="109"/>
        <v>0</v>
      </c>
      <c r="L242" s="137">
        <f t="shared" si="109"/>
        <v>0</v>
      </c>
      <c r="M242" s="137">
        <f t="shared" si="109"/>
        <v>0</v>
      </c>
      <c r="N242" s="137">
        <f t="shared" si="109"/>
        <v>0</v>
      </c>
      <c r="O242" s="137">
        <f t="shared" si="109"/>
        <v>0</v>
      </c>
      <c r="P242" s="137">
        <f t="shared" si="109"/>
        <v>0</v>
      </c>
      <c r="Q242" s="137">
        <f t="shared" si="109"/>
        <v>0</v>
      </c>
      <c r="R242" s="137">
        <f t="shared" si="109"/>
        <v>0</v>
      </c>
      <c r="S242" s="137">
        <f t="shared" si="109"/>
        <v>0</v>
      </c>
      <c r="T242" s="137">
        <f t="shared" si="109"/>
        <v>0</v>
      </c>
      <c r="U242" s="137">
        <f t="shared" si="109"/>
        <v>0</v>
      </c>
      <c r="V242" s="137">
        <f t="shared" si="109"/>
        <v>0</v>
      </c>
      <c r="W242" s="137">
        <f t="shared" si="109"/>
        <v>0</v>
      </c>
      <c r="X242" s="137">
        <f t="shared" si="109"/>
        <v>0</v>
      </c>
      <c r="Y242" s="137">
        <f t="shared" si="109"/>
        <v>0</v>
      </c>
      <c r="Z242" s="137">
        <f t="shared" si="109"/>
        <v>0</v>
      </c>
      <c r="AA242" s="137">
        <f t="shared" si="109"/>
        <v>0</v>
      </c>
      <c r="AB242" s="137">
        <f t="shared" si="109"/>
        <v>0</v>
      </c>
      <c r="AC242" s="137">
        <f t="shared" si="109"/>
        <v>0</v>
      </c>
      <c r="AD242" s="137">
        <f t="shared" si="109"/>
        <v>0</v>
      </c>
      <c r="AE242" s="137">
        <f t="shared" si="109"/>
        <v>0</v>
      </c>
      <c r="AF242" s="138">
        <f t="shared" si="109"/>
        <v>0</v>
      </c>
      <c r="AG242" s="139">
        <f t="shared" si="109"/>
        <v>412.72299999999984</v>
      </c>
      <c r="AH242" s="47"/>
      <c r="AI242" s="48"/>
      <c r="AK242" s="50"/>
    </row>
    <row r="243" spans="1:37" ht="15.75" thickBot="1" x14ac:dyDescent="0.3">
      <c r="A243" s="26" t="s">
        <v>75</v>
      </c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19"/>
      <c r="AH243" s="47"/>
      <c r="AI243" s="48"/>
      <c r="AK243" s="50"/>
    </row>
    <row r="244" spans="1:37" x14ac:dyDescent="0.25">
      <c r="A244" s="100" t="s">
        <v>236</v>
      </c>
      <c r="B244" s="141">
        <f t="shared" ref="B244:B249" si="110">AF244</f>
        <v>0.3</v>
      </c>
      <c r="C244" s="141">
        <v>0.3</v>
      </c>
      <c r="D244" s="141">
        <f t="shared" ref="D244:S249" si="111">C244</f>
        <v>0.3</v>
      </c>
      <c r="E244" s="141">
        <f t="shared" si="111"/>
        <v>0.3</v>
      </c>
      <c r="F244" s="141">
        <f t="shared" si="111"/>
        <v>0.3</v>
      </c>
      <c r="G244" s="141">
        <f t="shared" si="111"/>
        <v>0.3</v>
      </c>
      <c r="H244" s="141">
        <f t="shared" si="111"/>
        <v>0.3</v>
      </c>
      <c r="I244" s="141">
        <f t="shared" si="111"/>
        <v>0.3</v>
      </c>
      <c r="J244" s="141">
        <f t="shared" si="111"/>
        <v>0.3</v>
      </c>
      <c r="K244" s="141">
        <f t="shared" si="111"/>
        <v>0.3</v>
      </c>
      <c r="L244" s="141">
        <f t="shared" si="111"/>
        <v>0.3</v>
      </c>
      <c r="M244" s="141">
        <f t="shared" si="111"/>
        <v>0.3</v>
      </c>
      <c r="N244" s="141">
        <f t="shared" si="111"/>
        <v>0.3</v>
      </c>
      <c r="O244" s="141">
        <f t="shared" si="111"/>
        <v>0.3</v>
      </c>
      <c r="P244" s="141">
        <f t="shared" si="111"/>
        <v>0.3</v>
      </c>
      <c r="Q244" s="141">
        <f t="shared" si="111"/>
        <v>0.3</v>
      </c>
      <c r="R244" s="141">
        <f t="shared" si="111"/>
        <v>0.3</v>
      </c>
      <c r="S244" s="141">
        <f t="shared" si="111"/>
        <v>0.3</v>
      </c>
      <c r="T244" s="141">
        <f t="shared" ref="T244:AF249" si="112">S244</f>
        <v>0.3</v>
      </c>
      <c r="U244" s="141">
        <f t="shared" si="112"/>
        <v>0.3</v>
      </c>
      <c r="V244" s="141">
        <f t="shared" si="112"/>
        <v>0.3</v>
      </c>
      <c r="W244" s="141">
        <f t="shared" si="112"/>
        <v>0.3</v>
      </c>
      <c r="X244" s="141">
        <f t="shared" si="112"/>
        <v>0.3</v>
      </c>
      <c r="Y244" s="141">
        <f t="shared" si="112"/>
        <v>0.3</v>
      </c>
      <c r="Z244" s="141">
        <f t="shared" si="112"/>
        <v>0.3</v>
      </c>
      <c r="AA244" s="141">
        <f t="shared" si="112"/>
        <v>0.3</v>
      </c>
      <c r="AB244" s="141">
        <f t="shared" si="112"/>
        <v>0.3</v>
      </c>
      <c r="AC244" s="141">
        <f t="shared" si="112"/>
        <v>0.3</v>
      </c>
      <c r="AD244" s="141">
        <f t="shared" si="112"/>
        <v>0.3</v>
      </c>
      <c r="AE244" s="141">
        <f t="shared" si="112"/>
        <v>0.3</v>
      </c>
      <c r="AF244" s="141">
        <f t="shared" si="112"/>
        <v>0.3</v>
      </c>
      <c r="AG244" s="142">
        <v>2.4</v>
      </c>
      <c r="AH244" s="47"/>
      <c r="AI244" s="48"/>
      <c r="AK244" s="50"/>
    </row>
    <row r="245" spans="1:37" x14ac:dyDescent="0.25">
      <c r="A245" s="103" t="s">
        <v>237</v>
      </c>
      <c r="B245" s="129">
        <f t="shared" si="110"/>
        <v>0.4</v>
      </c>
      <c r="C245" s="129">
        <v>0.4</v>
      </c>
      <c r="D245" s="129">
        <f t="shared" si="111"/>
        <v>0.4</v>
      </c>
      <c r="E245" s="129">
        <f t="shared" si="111"/>
        <v>0.4</v>
      </c>
      <c r="F245" s="129">
        <f t="shared" si="111"/>
        <v>0.4</v>
      </c>
      <c r="G245" s="129">
        <f t="shared" si="111"/>
        <v>0.4</v>
      </c>
      <c r="H245" s="129">
        <f t="shared" si="111"/>
        <v>0.4</v>
      </c>
      <c r="I245" s="129">
        <f t="shared" si="111"/>
        <v>0.4</v>
      </c>
      <c r="J245" s="129">
        <f t="shared" si="111"/>
        <v>0.4</v>
      </c>
      <c r="K245" s="129">
        <f t="shared" si="111"/>
        <v>0.4</v>
      </c>
      <c r="L245" s="129">
        <f t="shared" si="111"/>
        <v>0.4</v>
      </c>
      <c r="M245" s="129">
        <f t="shared" si="111"/>
        <v>0.4</v>
      </c>
      <c r="N245" s="129">
        <f t="shared" si="111"/>
        <v>0.4</v>
      </c>
      <c r="O245" s="129">
        <f t="shared" si="111"/>
        <v>0.4</v>
      </c>
      <c r="P245" s="129">
        <f t="shared" si="111"/>
        <v>0.4</v>
      </c>
      <c r="Q245" s="129">
        <f t="shared" si="111"/>
        <v>0.4</v>
      </c>
      <c r="R245" s="129">
        <f t="shared" si="111"/>
        <v>0.4</v>
      </c>
      <c r="S245" s="129">
        <f t="shared" si="111"/>
        <v>0.4</v>
      </c>
      <c r="T245" s="129">
        <f t="shared" si="112"/>
        <v>0.4</v>
      </c>
      <c r="U245" s="129">
        <f t="shared" si="112"/>
        <v>0.4</v>
      </c>
      <c r="V245" s="129">
        <f t="shared" si="112"/>
        <v>0.4</v>
      </c>
      <c r="W245" s="129">
        <f t="shared" si="112"/>
        <v>0.4</v>
      </c>
      <c r="X245" s="129">
        <f t="shared" si="112"/>
        <v>0.4</v>
      </c>
      <c r="Y245" s="129">
        <f t="shared" si="112"/>
        <v>0.4</v>
      </c>
      <c r="Z245" s="129">
        <f t="shared" si="112"/>
        <v>0.4</v>
      </c>
      <c r="AA245" s="129">
        <f t="shared" si="112"/>
        <v>0.4</v>
      </c>
      <c r="AB245" s="129">
        <f t="shared" si="112"/>
        <v>0.4</v>
      </c>
      <c r="AC245" s="129">
        <f t="shared" si="112"/>
        <v>0.4</v>
      </c>
      <c r="AD245" s="129">
        <f t="shared" si="112"/>
        <v>0.4</v>
      </c>
      <c r="AE245" s="129">
        <f t="shared" si="112"/>
        <v>0.4</v>
      </c>
      <c r="AF245" s="129">
        <f t="shared" si="112"/>
        <v>0.4</v>
      </c>
      <c r="AG245" s="143">
        <v>2</v>
      </c>
      <c r="AH245" s="47"/>
      <c r="AI245" s="48"/>
      <c r="AK245" s="50"/>
    </row>
    <row r="246" spans="1:37" x14ac:dyDescent="0.25">
      <c r="A246" s="103" t="s">
        <v>238</v>
      </c>
      <c r="B246" s="129">
        <f t="shared" si="110"/>
        <v>1.5</v>
      </c>
      <c r="C246" s="129">
        <v>1.5</v>
      </c>
      <c r="D246" s="129">
        <f t="shared" si="111"/>
        <v>1.5</v>
      </c>
      <c r="E246" s="129">
        <f t="shared" si="111"/>
        <v>1.5</v>
      </c>
      <c r="F246" s="129">
        <f t="shared" si="111"/>
        <v>1.5</v>
      </c>
      <c r="G246" s="129">
        <f t="shared" si="111"/>
        <v>1.5</v>
      </c>
      <c r="H246" s="129">
        <f t="shared" si="111"/>
        <v>1.5</v>
      </c>
      <c r="I246" s="129">
        <f t="shared" si="111"/>
        <v>1.5</v>
      </c>
      <c r="J246" s="129">
        <f t="shared" si="111"/>
        <v>1.5</v>
      </c>
      <c r="K246" s="129">
        <f t="shared" si="111"/>
        <v>1.5</v>
      </c>
      <c r="L246" s="129">
        <f t="shared" si="111"/>
        <v>1.5</v>
      </c>
      <c r="M246" s="129">
        <f t="shared" si="111"/>
        <v>1.5</v>
      </c>
      <c r="N246" s="129">
        <f t="shared" si="111"/>
        <v>1.5</v>
      </c>
      <c r="O246" s="129">
        <f t="shared" si="111"/>
        <v>1.5</v>
      </c>
      <c r="P246" s="129">
        <f t="shared" si="111"/>
        <v>1.5</v>
      </c>
      <c r="Q246" s="129">
        <f t="shared" si="111"/>
        <v>1.5</v>
      </c>
      <c r="R246" s="129">
        <f t="shared" si="111"/>
        <v>1.5</v>
      </c>
      <c r="S246" s="129">
        <f t="shared" si="111"/>
        <v>1.5</v>
      </c>
      <c r="T246" s="129">
        <f t="shared" si="112"/>
        <v>1.5</v>
      </c>
      <c r="U246" s="129">
        <f t="shared" si="112"/>
        <v>1.5</v>
      </c>
      <c r="V246" s="129">
        <f t="shared" si="112"/>
        <v>1.5</v>
      </c>
      <c r="W246" s="129">
        <f t="shared" si="112"/>
        <v>1.5</v>
      </c>
      <c r="X246" s="129">
        <f t="shared" si="112"/>
        <v>1.5</v>
      </c>
      <c r="Y246" s="129">
        <f t="shared" si="112"/>
        <v>1.5</v>
      </c>
      <c r="Z246" s="129">
        <f t="shared" si="112"/>
        <v>1.5</v>
      </c>
      <c r="AA246" s="129">
        <f t="shared" si="112"/>
        <v>1.5</v>
      </c>
      <c r="AB246" s="129">
        <f t="shared" si="112"/>
        <v>1.5</v>
      </c>
      <c r="AC246" s="129">
        <f t="shared" si="112"/>
        <v>1.5</v>
      </c>
      <c r="AD246" s="129">
        <f t="shared" si="112"/>
        <v>1.5</v>
      </c>
      <c r="AE246" s="129">
        <f t="shared" si="112"/>
        <v>1.5</v>
      </c>
      <c r="AF246" s="129">
        <f t="shared" si="112"/>
        <v>1.5</v>
      </c>
      <c r="AG246" s="143">
        <v>1.5</v>
      </c>
      <c r="AH246" s="47"/>
      <c r="AI246" s="48"/>
      <c r="AK246" s="50"/>
    </row>
    <row r="247" spans="1:37" x14ac:dyDescent="0.25">
      <c r="A247" s="103" t="s">
        <v>239</v>
      </c>
      <c r="B247" s="129">
        <f t="shared" si="110"/>
        <v>0.3</v>
      </c>
      <c r="C247" s="129">
        <v>0.3</v>
      </c>
      <c r="D247" s="129">
        <f t="shared" si="111"/>
        <v>0.3</v>
      </c>
      <c r="E247" s="129">
        <f t="shared" si="111"/>
        <v>0.3</v>
      </c>
      <c r="F247" s="129">
        <f t="shared" si="111"/>
        <v>0.3</v>
      </c>
      <c r="G247" s="129">
        <f t="shared" si="111"/>
        <v>0.3</v>
      </c>
      <c r="H247" s="129">
        <f t="shared" si="111"/>
        <v>0.3</v>
      </c>
      <c r="I247" s="129">
        <f t="shared" si="111"/>
        <v>0.3</v>
      </c>
      <c r="J247" s="129">
        <f t="shared" si="111"/>
        <v>0.3</v>
      </c>
      <c r="K247" s="129">
        <f t="shared" si="111"/>
        <v>0.3</v>
      </c>
      <c r="L247" s="129">
        <f t="shared" si="111"/>
        <v>0.3</v>
      </c>
      <c r="M247" s="129">
        <f t="shared" si="111"/>
        <v>0.3</v>
      </c>
      <c r="N247" s="129">
        <f t="shared" si="111"/>
        <v>0.3</v>
      </c>
      <c r="O247" s="129">
        <f t="shared" si="111"/>
        <v>0.3</v>
      </c>
      <c r="P247" s="129">
        <f t="shared" si="111"/>
        <v>0.3</v>
      </c>
      <c r="Q247" s="129">
        <f t="shared" si="111"/>
        <v>0.3</v>
      </c>
      <c r="R247" s="129">
        <f t="shared" si="111"/>
        <v>0.3</v>
      </c>
      <c r="S247" s="129">
        <f t="shared" si="111"/>
        <v>0.3</v>
      </c>
      <c r="T247" s="129">
        <f t="shared" si="112"/>
        <v>0.3</v>
      </c>
      <c r="U247" s="129">
        <f t="shared" si="112"/>
        <v>0.3</v>
      </c>
      <c r="V247" s="129">
        <f t="shared" si="112"/>
        <v>0.3</v>
      </c>
      <c r="W247" s="129">
        <f t="shared" si="112"/>
        <v>0.3</v>
      </c>
      <c r="X247" s="129">
        <f t="shared" si="112"/>
        <v>0.3</v>
      </c>
      <c r="Y247" s="129">
        <f t="shared" si="112"/>
        <v>0.3</v>
      </c>
      <c r="Z247" s="129">
        <f t="shared" si="112"/>
        <v>0.3</v>
      </c>
      <c r="AA247" s="129">
        <f t="shared" si="112"/>
        <v>0.3</v>
      </c>
      <c r="AB247" s="129">
        <f t="shared" si="112"/>
        <v>0.3</v>
      </c>
      <c r="AC247" s="129">
        <f t="shared" si="112"/>
        <v>0.3</v>
      </c>
      <c r="AD247" s="129">
        <f t="shared" si="112"/>
        <v>0.3</v>
      </c>
      <c r="AE247" s="129">
        <f t="shared" si="112"/>
        <v>0.3</v>
      </c>
      <c r="AF247" s="129">
        <f t="shared" si="112"/>
        <v>0.3</v>
      </c>
      <c r="AG247" s="143">
        <v>1</v>
      </c>
      <c r="AH247" s="47"/>
      <c r="AI247" s="48"/>
      <c r="AK247" s="50"/>
    </row>
    <row r="248" spans="1:37" x14ac:dyDescent="0.25">
      <c r="A248" s="103" t="s">
        <v>240</v>
      </c>
      <c r="B248" s="129">
        <f t="shared" si="110"/>
        <v>0.4</v>
      </c>
      <c r="C248" s="129">
        <v>0.4</v>
      </c>
      <c r="D248" s="129">
        <f t="shared" si="111"/>
        <v>0.4</v>
      </c>
      <c r="E248" s="129">
        <f t="shared" si="111"/>
        <v>0.4</v>
      </c>
      <c r="F248" s="129">
        <f t="shared" si="111"/>
        <v>0.4</v>
      </c>
      <c r="G248" s="129">
        <f t="shared" si="111"/>
        <v>0.4</v>
      </c>
      <c r="H248" s="129">
        <f t="shared" si="111"/>
        <v>0.4</v>
      </c>
      <c r="I248" s="129">
        <f t="shared" si="111"/>
        <v>0.4</v>
      </c>
      <c r="J248" s="129">
        <f t="shared" si="111"/>
        <v>0.4</v>
      </c>
      <c r="K248" s="129">
        <f t="shared" si="111"/>
        <v>0.4</v>
      </c>
      <c r="L248" s="129">
        <f t="shared" si="111"/>
        <v>0.4</v>
      </c>
      <c r="M248" s="129">
        <f t="shared" si="111"/>
        <v>0.4</v>
      </c>
      <c r="N248" s="129">
        <f t="shared" si="111"/>
        <v>0.4</v>
      </c>
      <c r="O248" s="129">
        <f t="shared" si="111"/>
        <v>0.4</v>
      </c>
      <c r="P248" s="129">
        <f t="shared" si="111"/>
        <v>0.4</v>
      </c>
      <c r="Q248" s="129">
        <f t="shared" si="111"/>
        <v>0.4</v>
      </c>
      <c r="R248" s="129">
        <f t="shared" si="111"/>
        <v>0.4</v>
      </c>
      <c r="S248" s="129">
        <f t="shared" si="111"/>
        <v>0.4</v>
      </c>
      <c r="T248" s="129">
        <f t="shared" si="112"/>
        <v>0.4</v>
      </c>
      <c r="U248" s="129">
        <f t="shared" si="112"/>
        <v>0.4</v>
      </c>
      <c r="V248" s="129">
        <f t="shared" si="112"/>
        <v>0.4</v>
      </c>
      <c r="W248" s="129">
        <f t="shared" si="112"/>
        <v>0.4</v>
      </c>
      <c r="X248" s="129">
        <f t="shared" si="112"/>
        <v>0.4</v>
      </c>
      <c r="Y248" s="129">
        <f t="shared" si="112"/>
        <v>0.4</v>
      </c>
      <c r="Z248" s="129">
        <f t="shared" si="112"/>
        <v>0.4</v>
      </c>
      <c r="AA248" s="129">
        <f t="shared" si="112"/>
        <v>0.4</v>
      </c>
      <c r="AB248" s="129">
        <f t="shared" si="112"/>
        <v>0.4</v>
      </c>
      <c r="AC248" s="129">
        <f t="shared" si="112"/>
        <v>0.4</v>
      </c>
      <c r="AD248" s="129">
        <f t="shared" si="112"/>
        <v>0.4</v>
      </c>
      <c r="AE248" s="129">
        <f t="shared" si="112"/>
        <v>0.4</v>
      </c>
      <c r="AF248" s="129">
        <f t="shared" si="112"/>
        <v>0.4</v>
      </c>
      <c r="AG248" s="143">
        <v>1</v>
      </c>
      <c r="AH248" s="47"/>
      <c r="AI248" s="48"/>
      <c r="AK248" s="50"/>
    </row>
    <row r="249" spans="1:37" ht="15.75" thickBot="1" x14ac:dyDescent="0.3">
      <c r="A249" s="116" t="s">
        <v>241</v>
      </c>
      <c r="B249" s="133">
        <f t="shared" si="110"/>
        <v>0.64</v>
      </c>
      <c r="C249" s="133">
        <v>0.64</v>
      </c>
      <c r="D249" s="133">
        <f t="shared" si="111"/>
        <v>0.64</v>
      </c>
      <c r="E249" s="133">
        <f t="shared" si="111"/>
        <v>0.64</v>
      </c>
      <c r="F249" s="133">
        <f t="shared" si="111"/>
        <v>0.64</v>
      </c>
      <c r="G249" s="133">
        <f t="shared" si="111"/>
        <v>0.64</v>
      </c>
      <c r="H249" s="133">
        <f t="shared" si="111"/>
        <v>0.64</v>
      </c>
      <c r="I249" s="133">
        <f t="shared" si="111"/>
        <v>0.64</v>
      </c>
      <c r="J249" s="133">
        <f t="shared" si="111"/>
        <v>0.64</v>
      </c>
      <c r="K249" s="133">
        <f t="shared" si="111"/>
        <v>0.64</v>
      </c>
      <c r="L249" s="133">
        <f t="shared" si="111"/>
        <v>0.64</v>
      </c>
      <c r="M249" s="133">
        <f t="shared" si="111"/>
        <v>0.64</v>
      </c>
      <c r="N249" s="133">
        <f t="shared" si="111"/>
        <v>0.64</v>
      </c>
      <c r="O249" s="133">
        <f t="shared" si="111"/>
        <v>0.64</v>
      </c>
      <c r="P249" s="133">
        <f t="shared" si="111"/>
        <v>0.64</v>
      </c>
      <c r="Q249" s="133">
        <f t="shared" si="111"/>
        <v>0.64</v>
      </c>
      <c r="R249" s="133">
        <f t="shared" si="111"/>
        <v>0.64</v>
      </c>
      <c r="S249" s="133">
        <f t="shared" si="111"/>
        <v>0.64</v>
      </c>
      <c r="T249" s="133">
        <f t="shared" si="112"/>
        <v>0.64</v>
      </c>
      <c r="U249" s="133">
        <f t="shared" si="112"/>
        <v>0.64</v>
      </c>
      <c r="V249" s="133">
        <f t="shared" si="112"/>
        <v>0.64</v>
      </c>
      <c r="W249" s="133">
        <f t="shared" si="112"/>
        <v>0.64</v>
      </c>
      <c r="X249" s="133">
        <f t="shared" si="112"/>
        <v>0.64</v>
      </c>
      <c r="Y249" s="133">
        <f t="shared" si="112"/>
        <v>0.64</v>
      </c>
      <c r="Z249" s="133">
        <f t="shared" si="112"/>
        <v>0.64</v>
      </c>
      <c r="AA249" s="133">
        <f t="shared" si="112"/>
        <v>0.64</v>
      </c>
      <c r="AB249" s="133">
        <f t="shared" si="112"/>
        <v>0.64</v>
      </c>
      <c r="AC249" s="133">
        <f t="shared" si="112"/>
        <v>0.64</v>
      </c>
      <c r="AD249" s="133">
        <f t="shared" si="112"/>
        <v>0.64</v>
      </c>
      <c r="AE249" s="133">
        <f t="shared" si="112"/>
        <v>0.64</v>
      </c>
      <c r="AF249" s="133">
        <f t="shared" si="112"/>
        <v>0.64</v>
      </c>
      <c r="AG249" s="144">
        <v>0.66</v>
      </c>
      <c r="AH249" s="47"/>
      <c r="AI249" s="48"/>
    </row>
    <row r="250" spans="1:37" ht="15.75" thickBot="1" x14ac:dyDescent="0.3">
      <c r="A250" s="145" t="s">
        <v>75</v>
      </c>
      <c r="B250" s="137">
        <f t="shared" ref="B250:AG250" si="113">SUM(B244:B249)</f>
        <v>3.54</v>
      </c>
      <c r="C250" s="137">
        <f t="shared" si="113"/>
        <v>3.54</v>
      </c>
      <c r="D250" s="137">
        <f t="shared" si="113"/>
        <v>3.54</v>
      </c>
      <c r="E250" s="137">
        <f t="shared" si="113"/>
        <v>3.54</v>
      </c>
      <c r="F250" s="137">
        <f t="shared" si="113"/>
        <v>3.54</v>
      </c>
      <c r="G250" s="137">
        <f t="shared" si="113"/>
        <v>3.54</v>
      </c>
      <c r="H250" s="137">
        <f t="shared" si="113"/>
        <v>3.54</v>
      </c>
      <c r="I250" s="137">
        <f t="shared" si="113"/>
        <v>3.54</v>
      </c>
      <c r="J250" s="137">
        <f t="shared" si="113"/>
        <v>3.54</v>
      </c>
      <c r="K250" s="137">
        <f t="shared" si="113"/>
        <v>3.54</v>
      </c>
      <c r="L250" s="137">
        <f t="shared" si="113"/>
        <v>3.54</v>
      </c>
      <c r="M250" s="137">
        <f t="shared" si="113"/>
        <v>3.54</v>
      </c>
      <c r="N250" s="137">
        <f t="shared" si="113"/>
        <v>3.54</v>
      </c>
      <c r="O250" s="137">
        <f t="shared" si="113"/>
        <v>3.54</v>
      </c>
      <c r="P250" s="137">
        <f t="shared" si="113"/>
        <v>3.54</v>
      </c>
      <c r="Q250" s="137">
        <f t="shared" si="113"/>
        <v>3.54</v>
      </c>
      <c r="R250" s="137">
        <f t="shared" si="113"/>
        <v>3.54</v>
      </c>
      <c r="S250" s="137">
        <f t="shared" si="113"/>
        <v>3.54</v>
      </c>
      <c r="T250" s="137">
        <f t="shared" si="113"/>
        <v>3.54</v>
      </c>
      <c r="U250" s="137">
        <f t="shared" si="113"/>
        <v>3.54</v>
      </c>
      <c r="V250" s="137">
        <f t="shared" si="113"/>
        <v>3.54</v>
      </c>
      <c r="W250" s="137">
        <f t="shared" si="113"/>
        <v>3.54</v>
      </c>
      <c r="X250" s="137">
        <f t="shared" si="113"/>
        <v>3.54</v>
      </c>
      <c r="Y250" s="137">
        <f t="shared" si="113"/>
        <v>3.54</v>
      </c>
      <c r="Z250" s="137">
        <f t="shared" si="113"/>
        <v>3.54</v>
      </c>
      <c r="AA250" s="137">
        <f t="shared" si="113"/>
        <v>3.54</v>
      </c>
      <c r="AB250" s="137">
        <f t="shared" si="113"/>
        <v>3.54</v>
      </c>
      <c r="AC250" s="137">
        <f t="shared" si="113"/>
        <v>3.54</v>
      </c>
      <c r="AD250" s="137">
        <f t="shared" si="113"/>
        <v>3.54</v>
      </c>
      <c r="AE250" s="137">
        <f t="shared" si="113"/>
        <v>3.54</v>
      </c>
      <c r="AF250" s="137">
        <f t="shared" si="113"/>
        <v>3.54</v>
      </c>
      <c r="AG250" s="146">
        <f t="shared" si="113"/>
        <v>8.56</v>
      </c>
      <c r="AH250" s="47"/>
      <c r="AI250" s="48"/>
    </row>
    <row r="251" spans="1:37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140"/>
      <c r="AH251" s="43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1679.74</v>
      </c>
      <c r="C254" s="162">
        <f>INDEX(G9:N9,1,MATCH(MAX(G99:N99),G99:N99,0))</f>
        <v>0.33333333333333331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17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2080/09/17)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2080/09/17)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114">B99</f>
        <v>1025.94</v>
      </c>
      <c r="U259" s="171">
        <f t="shared" si="114"/>
        <v>960.54</v>
      </c>
      <c r="V259" s="171">
        <f t="shared" si="114"/>
        <v>955.54000000000008</v>
      </c>
      <c r="W259" s="171">
        <f t="shared" si="114"/>
        <v>962.84000000000015</v>
      </c>
      <c r="X259" s="171">
        <f t="shared" si="114"/>
        <v>965.93999999999994</v>
      </c>
      <c r="Y259" s="171">
        <f t="shared" si="114"/>
        <v>1051.6400000000001</v>
      </c>
      <c r="Z259" s="171">
        <f t="shared" si="114"/>
        <v>1122.24</v>
      </c>
      <c r="AA259" s="171">
        <f t="shared" si="114"/>
        <v>1235.3400000000001</v>
      </c>
      <c r="AB259" s="171">
        <f t="shared" si="114"/>
        <v>1361.74</v>
      </c>
      <c r="AC259" s="171">
        <f t="shared" si="114"/>
        <v>1504.8400000000001</v>
      </c>
      <c r="AD259" s="171">
        <f t="shared" si="114"/>
        <v>1622.94</v>
      </c>
      <c r="AE259" s="171">
        <f t="shared" si="114"/>
        <v>1679.74</v>
      </c>
      <c r="AF259" s="171">
        <f t="shared" si="114"/>
        <v>1638.1399999999999</v>
      </c>
      <c r="AG259" s="171">
        <f t="shared" si="114"/>
        <v>1549.3400000000001</v>
      </c>
      <c r="AH259" s="171">
        <f t="shared" si="114"/>
        <v>1457.3400000000001</v>
      </c>
      <c r="AI259" s="171">
        <f t="shared" si="114"/>
        <v>1407.0400000000002</v>
      </c>
      <c r="AJ259" s="171">
        <f t="shared" si="114"/>
        <v>1314.3400000000001</v>
      </c>
      <c r="AK259" s="171">
        <f t="shared" si="114"/>
        <v>1287.0400000000002</v>
      </c>
      <c r="AL259" s="171">
        <f t="shared" si="114"/>
        <v>1317.0400000000002</v>
      </c>
      <c r="AM259" s="171">
        <f t="shared" si="114"/>
        <v>1341.54</v>
      </c>
      <c r="AN259" s="171">
        <f t="shared" si="114"/>
        <v>1320.2400000000002</v>
      </c>
      <c r="AO259" s="171">
        <f t="shared" si="114"/>
        <v>1546.0400000000002</v>
      </c>
      <c r="AP259" s="171">
        <f t="shared" si="114"/>
        <v>1679.14</v>
      </c>
      <c r="AQ259" s="171">
        <f t="shared" si="114"/>
        <v>1627.74</v>
      </c>
      <c r="AR259" s="171">
        <f t="shared" si="114"/>
        <v>1538.74</v>
      </c>
      <c r="AS259" s="171">
        <f t="shared" si="114"/>
        <v>1347.14</v>
      </c>
      <c r="AT259" s="171">
        <f t="shared" si="114"/>
        <v>1422.5400000000002</v>
      </c>
      <c r="AU259" s="171">
        <f t="shared" si="114"/>
        <v>1368.3400000000001</v>
      </c>
      <c r="AV259" s="171">
        <f t="shared" si="114"/>
        <v>1344.24</v>
      </c>
      <c r="AW259" s="171">
        <f t="shared" si="114"/>
        <v>1196.2400000000002</v>
      </c>
      <c r="AX259" s="171">
        <f t="shared" si="114"/>
        <v>1031.2400000000002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115">C249</f>
        <v>0.64</v>
      </c>
      <c r="C280" s="174">
        <f t="shared" si="115"/>
        <v>0.64</v>
      </c>
      <c r="D280" s="174">
        <f t="shared" si="115"/>
        <v>0.64</v>
      </c>
      <c r="E280" s="174">
        <f t="shared" si="115"/>
        <v>0.64</v>
      </c>
      <c r="F280" s="174">
        <f t="shared" si="115"/>
        <v>0.64</v>
      </c>
      <c r="G280" s="174">
        <f t="shared" si="115"/>
        <v>0.64</v>
      </c>
      <c r="H280" s="174">
        <f t="shared" si="115"/>
        <v>0.64</v>
      </c>
      <c r="I280" s="174">
        <f t="shared" si="115"/>
        <v>0.64</v>
      </c>
      <c r="J280" s="174">
        <f t="shared" si="115"/>
        <v>0.64</v>
      </c>
      <c r="K280" s="174">
        <f t="shared" si="115"/>
        <v>0.64</v>
      </c>
      <c r="L280" s="174">
        <f t="shared" si="115"/>
        <v>0.64</v>
      </c>
      <c r="M280" s="174">
        <f t="shared" si="115"/>
        <v>0.64</v>
      </c>
      <c r="N280" s="174">
        <f t="shared" si="115"/>
        <v>0.64</v>
      </c>
      <c r="O280" s="174">
        <f t="shared" si="115"/>
        <v>0.64</v>
      </c>
      <c r="P280" s="174">
        <f t="shared" si="115"/>
        <v>0.64</v>
      </c>
      <c r="Q280" s="174">
        <f t="shared" si="115"/>
        <v>0.64</v>
      </c>
      <c r="R280" s="174">
        <f t="shared" si="115"/>
        <v>0.64</v>
      </c>
      <c r="S280" s="174">
        <f t="shared" si="115"/>
        <v>0.64</v>
      </c>
      <c r="T280" s="174">
        <f t="shared" si="115"/>
        <v>0.64</v>
      </c>
      <c r="U280" s="174">
        <f t="shared" si="115"/>
        <v>0.64</v>
      </c>
      <c r="V280" s="174">
        <f t="shared" si="115"/>
        <v>0.64</v>
      </c>
      <c r="W280" s="174">
        <f t="shared" si="115"/>
        <v>0.64</v>
      </c>
      <c r="X280" s="174">
        <f t="shared" si="115"/>
        <v>0.64</v>
      </c>
      <c r="Y280" s="174">
        <f t="shared" si="115"/>
        <v>0.64</v>
      </c>
      <c r="Z280" s="174">
        <f t="shared" si="115"/>
        <v>0.64</v>
      </c>
      <c r="AA280" s="174">
        <f t="shared" si="115"/>
        <v>0.64</v>
      </c>
      <c r="AB280" s="174">
        <f t="shared" si="115"/>
        <v>0.64</v>
      </c>
      <c r="AC280" s="174">
        <f t="shared" si="115"/>
        <v>0.64</v>
      </c>
      <c r="AD280" s="174">
        <f t="shared" si="115"/>
        <v>0.64</v>
      </c>
      <c r="AE280" s="174">
        <f t="shared" si="115"/>
        <v>0.64</v>
      </c>
      <c r="AF280" s="174">
        <f>B249</f>
        <v>0.64</v>
      </c>
      <c r="AG280" s="43"/>
      <c r="AH280" s="43"/>
    </row>
    <row r="281" spans="1:34" x14ac:dyDescent="0.25">
      <c r="A281" s="175" t="str">
        <f>A132</f>
        <v>KGA</v>
      </c>
      <c r="B281" s="175" t="str">
        <f t="shared" ref="B281:AF281" si="116">IF(B132&lt;100,"",B132-520)</f>
        <v/>
      </c>
      <c r="C281" s="175" t="str">
        <f t="shared" si="116"/>
        <v/>
      </c>
      <c r="D281" s="175" t="str">
        <f t="shared" si="116"/>
        <v/>
      </c>
      <c r="E281" s="175" t="str">
        <f t="shared" si="116"/>
        <v/>
      </c>
      <c r="F281" s="175" t="str">
        <f t="shared" si="116"/>
        <v/>
      </c>
      <c r="G281" s="175" t="str">
        <f t="shared" si="116"/>
        <v/>
      </c>
      <c r="H281" s="175" t="str">
        <f t="shared" si="116"/>
        <v/>
      </c>
      <c r="I281" s="175" t="str">
        <f t="shared" si="116"/>
        <v/>
      </c>
      <c r="J281" s="175" t="str">
        <f t="shared" si="116"/>
        <v/>
      </c>
      <c r="K281" s="175" t="str">
        <f t="shared" si="116"/>
        <v/>
      </c>
      <c r="L281" s="175" t="str">
        <f t="shared" si="116"/>
        <v/>
      </c>
      <c r="M281" s="175" t="str">
        <f t="shared" si="116"/>
        <v/>
      </c>
      <c r="N281" s="175" t="str">
        <f t="shared" si="116"/>
        <v/>
      </c>
      <c r="O281" s="175" t="str">
        <f t="shared" si="116"/>
        <v/>
      </c>
      <c r="P281" s="175" t="str">
        <f t="shared" si="116"/>
        <v/>
      </c>
      <c r="Q281" s="175" t="str">
        <f t="shared" si="116"/>
        <v/>
      </c>
      <c r="R281" s="175" t="str">
        <f t="shared" si="116"/>
        <v/>
      </c>
      <c r="S281" s="175" t="str">
        <f t="shared" si="116"/>
        <v/>
      </c>
      <c r="T281" s="175" t="str">
        <f t="shared" si="116"/>
        <v/>
      </c>
      <c r="U281" s="175" t="str">
        <f t="shared" si="116"/>
        <v/>
      </c>
      <c r="V281" s="175" t="str">
        <f t="shared" si="116"/>
        <v/>
      </c>
      <c r="W281" s="175" t="str">
        <f t="shared" si="116"/>
        <v/>
      </c>
      <c r="X281" s="175" t="str">
        <f t="shared" si="116"/>
        <v/>
      </c>
      <c r="Y281" s="175" t="str">
        <f t="shared" si="116"/>
        <v/>
      </c>
      <c r="Z281" s="175" t="str">
        <f t="shared" si="116"/>
        <v/>
      </c>
      <c r="AA281" s="175" t="str">
        <f t="shared" si="116"/>
        <v/>
      </c>
      <c r="AB281" s="175" t="str">
        <f t="shared" si="116"/>
        <v/>
      </c>
      <c r="AC281" s="175" t="str">
        <f t="shared" si="116"/>
        <v/>
      </c>
      <c r="AD281" s="175" t="str">
        <f t="shared" si="116"/>
        <v/>
      </c>
      <c r="AE281" s="175" t="str">
        <f t="shared" si="116"/>
        <v/>
      </c>
      <c r="AF281" s="175" t="str">
        <f t="shared" si="116"/>
        <v/>
      </c>
      <c r="AG281" s="43"/>
      <c r="AH281" s="43"/>
    </row>
    <row r="282" spans="1:34" x14ac:dyDescent="0.25">
      <c r="A282" s="175" t="str">
        <f>A133</f>
        <v>MMRS</v>
      </c>
      <c r="B282" s="175" t="str">
        <f t="shared" ref="B282:AF282" si="117">IF(B133&lt;100,"",B133-620)</f>
        <v/>
      </c>
      <c r="C282" s="175" t="str">
        <f t="shared" si="117"/>
        <v/>
      </c>
      <c r="D282" s="175" t="str">
        <f t="shared" si="117"/>
        <v/>
      </c>
      <c r="E282" s="175" t="str">
        <f t="shared" si="117"/>
        <v/>
      </c>
      <c r="F282" s="175" t="str">
        <f t="shared" si="117"/>
        <v/>
      </c>
      <c r="G282" s="175" t="str">
        <f t="shared" si="117"/>
        <v/>
      </c>
      <c r="H282" s="175" t="str">
        <f t="shared" si="117"/>
        <v/>
      </c>
      <c r="I282" s="175" t="str">
        <f t="shared" si="117"/>
        <v/>
      </c>
      <c r="J282" s="175" t="str">
        <f t="shared" si="117"/>
        <v/>
      </c>
      <c r="K282" s="175" t="str">
        <f t="shared" si="117"/>
        <v/>
      </c>
      <c r="L282" s="175" t="str">
        <f t="shared" si="117"/>
        <v/>
      </c>
      <c r="M282" s="175" t="str">
        <f t="shared" si="117"/>
        <v/>
      </c>
      <c r="N282" s="175" t="str">
        <f t="shared" si="117"/>
        <v/>
      </c>
      <c r="O282" s="175" t="str">
        <f t="shared" si="117"/>
        <v/>
      </c>
      <c r="P282" s="175" t="str">
        <f t="shared" si="117"/>
        <v/>
      </c>
      <c r="Q282" s="175" t="str">
        <f t="shared" si="117"/>
        <v/>
      </c>
      <c r="R282" s="175" t="str">
        <f t="shared" si="117"/>
        <v/>
      </c>
      <c r="S282" s="175" t="str">
        <f t="shared" si="117"/>
        <v/>
      </c>
      <c r="T282" s="175" t="str">
        <f t="shared" si="117"/>
        <v/>
      </c>
      <c r="U282" s="175" t="str">
        <f t="shared" si="117"/>
        <v/>
      </c>
      <c r="V282" s="175" t="str">
        <f t="shared" si="117"/>
        <v/>
      </c>
      <c r="W282" s="175" t="str">
        <f t="shared" si="117"/>
        <v/>
      </c>
      <c r="X282" s="175" t="str">
        <f t="shared" si="117"/>
        <v/>
      </c>
      <c r="Y282" s="175" t="str">
        <f t="shared" si="117"/>
        <v/>
      </c>
      <c r="Z282" s="175" t="str">
        <f t="shared" si="117"/>
        <v/>
      </c>
      <c r="AA282" s="175" t="str">
        <f t="shared" si="117"/>
        <v/>
      </c>
      <c r="AB282" s="175" t="str">
        <f t="shared" si="117"/>
        <v/>
      </c>
      <c r="AC282" s="175" t="str">
        <f t="shared" si="117"/>
        <v/>
      </c>
      <c r="AD282" s="175" t="str">
        <f t="shared" si="117"/>
        <v/>
      </c>
      <c r="AE282" s="175" t="str">
        <f t="shared" si="117"/>
        <v/>
      </c>
      <c r="AF282" s="175" t="str">
        <f t="shared" si="117"/>
        <v/>
      </c>
      <c r="AG282" s="43"/>
      <c r="AH282" s="43"/>
    </row>
    <row r="283" spans="1:34" x14ac:dyDescent="0.25">
      <c r="A283" s="175" t="str">
        <f>A134</f>
        <v>MRS</v>
      </c>
      <c r="B283" s="175" t="str">
        <f t="shared" ref="B283:AF283" si="118">IF(B134&lt;100,"",B134-330)</f>
        <v/>
      </c>
      <c r="C283" s="175" t="str">
        <f t="shared" si="118"/>
        <v/>
      </c>
      <c r="D283" s="175" t="str">
        <f t="shared" si="118"/>
        <v/>
      </c>
      <c r="E283" s="175" t="str">
        <f t="shared" si="118"/>
        <v/>
      </c>
      <c r="F283" s="175" t="str">
        <f t="shared" si="118"/>
        <v/>
      </c>
      <c r="G283" s="175" t="str">
        <f t="shared" si="118"/>
        <v/>
      </c>
      <c r="H283" s="175" t="str">
        <f t="shared" si="118"/>
        <v/>
      </c>
      <c r="I283" s="175" t="str">
        <f t="shared" si="118"/>
        <v/>
      </c>
      <c r="J283" s="175" t="str">
        <f t="shared" si="118"/>
        <v/>
      </c>
      <c r="K283" s="175" t="str">
        <f t="shared" si="118"/>
        <v/>
      </c>
      <c r="L283" s="175" t="str">
        <f t="shared" si="118"/>
        <v/>
      </c>
      <c r="M283" s="175" t="str">
        <f t="shared" si="118"/>
        <v/>
      </c>
      <c r="N283" s="175" t="str">
        <f t="shared" si="118"/>
        <v/>
      </c>
      <c r="O283" s="175" t="str">
        <f t="shared" si="118"/>
        <v/>
      </c>
      <c r="P283" s="175" t="str">
        <f t="shared" si="118"/>
        <v/>
      </c>
      <c r="Q283" s="175" t="str">
        <f t="shared" si="118"/>
        <v/>
      </c>
      <c r="R283" s="175" t="str">
        <f t="shared" si="118"/>
        <v/>
      </c>
      <c r="S283" s="175" t="str">
        <f t="shared" si="118"/>
        <v/>
      </c>
      <c r="T283" s="175" t="str">
        <f t="shared" si="118"/>
        <v/>
      </c>
      <c r="U283" s="175" t="str">
        <f t="shared" si="118"/>
        <v/>
      </c>
      <c r="V283" s="175" t="str">
        <f t="shared" si="118"/>
        <v/>
      </c>
      <c r="W283" s="175" t="str">
        <f t="shared" si="118"/>
        <v/>
      </c>
      <c r="X283" s="175" t="str">
        <f t="shared" si="118"/>
        <v/>
      </c>
      <c r="Y283" s="175" t="str">
        <f t="shared" si="118"/>
        <v/>
      </c>
      <c r="Z283" s="175" t="str">
        <f t="shared" si="118"/>
        <v/>
      </c>
      <c r="AA283" s="175" t="str">
        <f t="shared" si="118"/>
        <v/>
      </c>
      <c r="AB283" s="175" t="str">
        <f t="shared" si="118"/>
        <v/>
      </c>
      <c r="AC283" s="175" t="str">
        <f t="shared" si="118"/>
        <v/>
      </c>
      <c r="AD283" s="175" t="str">
        <f t="shared" si="118"/>
        <v/>
      </c>
      <c r="AE283" s="175" t="str">
        <f t="shared" si="118"/>
        <v/>
      </c>
      <c r="AF283" s="175" t="str">
        <f t="shared" si="118"/>
        <v/>
      </c>
      <c r="AG283" s="43"/>
      <c r="AH283" s="43"/>
    </row>
    <row r="284" spans="1:34" x14ac:dyDescent="0.25">
      <c r="A284" s="175" t="str">
        <f>A135</f>
        <v>KL 1</v>
      </c>
      <c r="B284" s="175" t="str">
        <f t="shared" ref="B284:AF284" si="119">IF(B135&lt;100,"",B135-1500)</f>
        <v/>
      </c>
      <c r="C284" s="175" t="str">
        <f t="shared" si="119"/>
        <v/>
      </c>
      <c r="D284" s="175" t="str">
        <f t="shared" si="119"/>
        <v/>
      </c>
      <c r="E284" s="175" t="str">
        <f t="shared" si="119"/>
        <v/>
      </c>
      <c r="F284" s="175" t="str">
        <f t="shared" si="119"/>
        <v/>
      </c>
      <c r="G284" s="175" t="str">
        <f t="shared" si="119"/>
        <v/>
      </c>
      <c r="H284" s="175" t="str">
        <f t="shared" si="119"/>
        <v/>
      </c>
      <c r="I284" s="175" t="str">
        <f t="shared" si="119"/>
        <v/>
      </c>
      <c r="J284" s="175" t="str">
        <f t="shared" si="119"/>
        <v/>
      </c>
      <c r="K284" s="175" t="str">
        <f t="shared" si="119"/>
        <v/>
      </c>
      <c r="L284" s="175" t="str">
        <f t="shared" si="119"/>
        <v/>
      </c>
      <c r="M284" s="175" t="str">
        <f t="shared" si="119"/>
        <v/>
      </c>
      <c r="N284" s="175" t="str">
        <f t="shared" si="119"/>
        <v/>
      </c>
      <c r="O284" s="175" t="str">
        <f t="shared" si="119"/>
        <v/>
      </c>
      <c r="P284" s="175" t="str">
        <f t="shared" si="119"/>
        <v/>
      </c>
      <c r="Q284" s="175" t="str">
        <f t="shared" si="119"/>
        <v/>
      </c>
      <c r="R284" s="175" t="str">
        <f t="shared" si="119"/>
        <v/>
      </c>
      <c r="S284" s="175" t="str">
        <f t="shared" si="119"/>
        <v/>
      </c>
      <c r="T284" s="175" t="str">
        <f t="shared" si="119"/>
        <v/>
      </c>
      <c r="U284" s="175" t="str">
        <f t="shared" si="119"/>
        <v/>
      </c>
      <c r="V284" s="175" t="str">
        <f t="shared" si="119"/>
        <v/>
      </c>
      <c r="W284" s="175" t="str">
        <f t="shared" si="119"/>
        <v/>
      </c>
      <c r="X284" s="175" t="str">
        <f t="shared" si="119"/>
        <v/>
      </c>
      <c r="Y284" s="175" t="str">
        <f t="shared" si="119"/>
        <v/>
      </c>
      <c r="Z284" s="175" t="str">
        <f t="shared" si="119"/>
        <v/>
      </c>
      <c r="AA284" s="175" t="str">
        <f t="shared" si="119"/>
        <v/>
      </c>
      <c r="AB284" s="175" t="str">
        <f t="shared" si="119"/>
        <v/>
      </c>
      <c r="AC284" s="175" t="str">
        <f t="shared" si="119"/>
        <v/>
      </c>
      <c r="AD284" s="175" t="str">
        <f t="shared" si="119"/>
        <v/>
      </c>
      <c r="AE284" s="175" t="str">
        <f t="shared" si="119"/>
        <v/>
      </c>
      <c r="AF284" s="175" t="str">
        <f t="shared" si="119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 A132:A251">
    <cfRule type="expression" dxfId="1817" priority="114">
      <formula>$AH11=0</formula>
    </cfRule>
  </conditionalFormatting>
  <conditionalFormatting sqref="B8 M8 S8 AB8">
    <cfRule type="expression" dxfId="1816" priority="176">
      <formula>C$9&lt;8/24</formula>
    </cfRule>
    <cfRule type="expression" dxfId="1815" priority="174">
      <formula>AND(C$9&gt;=14/24,C$9&lt;20/24)</formula>
    </cfRule>
    <cfRule type="expression" dxfId="1814" priority="175">
      <formula>AND(C$9&gt;=8/24,C$9&lt;14/24)</formula>
    </cfRule>
  </conditionalFormatting>
  <conditionalFormatting sqref="B62:D74 E68:J74 K69:R74 S73:W74">
    <cfRule type="expression" dxfId="1813" priority="49">
      <formula>B$9&gt;=20/24</formula>
    </cfRule>
    <cfRule type="expression" dxfId="1812" priority="50">
      <formula>AND(B$9&gt;=14/24,B$9&lt;20/24)</formula>
    </cfRule>
    <cfRule type="expression" dxfId="1811" priority="51">
      <formula>AND(B$9&gt;=8/24,B$9&lt;14/24)</formula>
    </cfRule>
    <cfRule type="expression" dxfId="1810" priority="52">
      <formula>B$9&lt;8/24</formula>
    </cfRule>
  </conditionalFormatting>
  <conditionalFormatting sqref="B11:O52 P31:P32 Q31:W33 C33:P33 P35:W52">
    <cfRule type="expression" dxfId="1809" priority="24">
      <formula>B$9&gt;=20/24</formula>
    </cfRule>
    <cfRule type="expression" dxfId="1808" priority="25">
      <formula>AND(B$9&gt;=14/24,B$9&lt;20/24)</formula>
    </cfRule>
    <cfRule type="expression" dxfId="1807" priority="26">
      <formula>AND(B$9&gt;=8/24,B$9&lt;14/24)</formula>
    </cfRule>
    <cfRule type="expression" dxfId="1806" priority="27">
      <formula>B$9&lt;8/24</formula>
    </cfRule>
  </conditionalFormatting>
  <conditionalFormatting sqref="B70:R74 S73:W74">
    <cfRule type="expression" dxfId="1805" priority="15">
      <formula>B$9&gt;=20/24</formula>
    </cfRule>
    <cfRule type="expression" dxfId="1804" priority="18">
      <formula>B$9&lt;8/24</formula>
    </cfRule>
    <cfRule type="expression" dxfId="1803" priority="16">
      <formula>AND(B$9&gt;=14/24,B$9&lt;20/24)</formula>
    </cfRule>
    <cfRule type="expression" dxfId="1802" priority="17">
      <formula>AND(B$9&gt;=8/24,B$9&lt;14/24)</formula>
    </cfRule>
  </conditionalFormatting>
  <conditionalFormatting sqref="B51:W54">
    <cfRule type="expression" dxfId="1801" priority="9">
      <formula>B51&gt;$AG51</formula>
    </cfRule>
  </conditionalFormatting>
  <conditionalFormatting sqref="B53:W54">
    <cfRule type="expression" dxfId="1800" priority="8">
      <formula>B$9&lt;8/24</formula>
    </cfRule>
  </conditionalFormatting>
  <conditionalFormatting sqref="B55:W55">
    <cfRule type="expression" dxfId="1799" priority="33">
      <formula>B55&gt;$AG55</formula>
    </cfRule>
  </conditionalFormatting>
  <conditionalFormatting sqref="B55:W57">
    <cfRule type="expression" dxfId="1798" priority="32">
      <formula>B$9&lt;8/24</formula>
    </cfRule>
  </conditionalFormatting>
  <conditionalFormatting sqref="B9:AF10 P11:W34 X11:AF52">
    <cfRule type="expression" dxfId="1797" priority="86">
      <formula>AND(B$9&gt;=14/24,B$9&lt;20/24)</formula>
    </cfRule>
    <cfRule type="expression" dxfId="1796" priority="87">
      <formula>AND(B$9&gt;=8/24,B$9&lt;14/24)</formula>
    </cfRule>
  </conditionalFormatting>
  <conditionalFormatting sqref="B9:AF10 P11:W34 X11:AF57">
    <cfRule type="expression" dxfId="1795" priority="88">
      <formula>B$9&lt;8/24</formula>
    </cfRule>
  </conditionalFormatting>
  <conditionalFormatting sqref="B11:AF50">
    <cfRule type="expression" dxfId="1794" priority="23">
      <formula>B11&gt;$AG11</formula>
    </cfRule>
  </conditionalFormatting>
  <conditionalFormatting sqref="B53:AF54">
    <cfRule type="expression" dxfId="1793" priority="5">
      <formula>B$9&gt;=20/24</formula>
    </cfRule>
    <cfRule type="expression" dxfId="1792" priority="6">
      <formula>AND(B$9&gt;=14/24,B$9&lt;20/24)</formula>
    </cfRule>
    <cfRule type="expression" dxfId="1791" priority="7">
      <formula>AND(B$9&gt;=8/24,B$9&lt;14/24)</formula>
    </cfRule>
  </conditionalFormatting>
  <conditionalFormatting sqref="B55:AF57">
    <cfRule type="expression" dxfId="1790" priority="30">
      <formula>AND(B$9&gt;=14/24,B$9&lt;20/24)</formula>
    </cfRule>
    <cfRule type="expression" dxfId="1789" priority="31">
      <formula>AND(B$9&gt;=8/24,B$9&lt;14/24)</formula>
    </cfRule>
    <cfRule type="expression" dxfId="1788" priority="29">
      <formula>B$9&gt;=20/24</formula>
    </cfRule>
  </conditionalFormatting>
  <conditionalFormatting sqref="B56:AF61">
    <cfRule type="expression" dxfId="1787" priority="28">
      <formula>B56&gt;$AG56</formula>
    </cfRule>
  </conditionalFormatting>
  <conditionalFormatting sqref="B59:AF61">
    <cfRule type="expression" dxfId="1786" priority="39">
      <formula>B$9&gt;=20/24</formula>
    </cfRule>
    <cfRule type="expression" dxfId="1785" priority="40">
      <formula>AND(B$9&gt;=14/24,B$9&lt;20/24)</formula>
    </cfRule>
    <cfRule type="expression" dxfId="1784" priority="41">
      <formula>AND(B$9&gt;=8/24,B$9&lt;14/24)</formula>
    </cfRule>
    <cfRule type="expression" dxfId="1783" priority="42">
      <formula>B$9&lt;8/24</formula>
    </cfRule>
  </conditionalFormatting>
  <conditionalFormatting sqref="B63:AF74">
    <cfRule type="expression" dxfId="1782" priority="14">
      <formula>B63&gt;$AG63</formula>
    </cfRule>
  </conditionalFormatting>
  <conditionalFormatting sqref="B77:AF79">
    <cfRule type="expression" dxfId="1781" priority="43">
      <formula>B77&gt;$AG77</formula>
    </cfRule>
    <cfRule type="expression" dxfId="1780" priority="44">
      <formula>B$9&gt;=20/24</formula>
    </cfRule>
    <cfRule type="expression" dxfId="1779" priority="45">
      <formula>AND(B$9&gt;=14/24,B$9&lt;20/24)</formula>
    </cfRule>
    <cfRule type="expression" dxfId="1778" priority="46">
      <formula>AND(B$9&gt;=8/24,B$9&lt;14/24)</formula>
    </cfRule>
    <cfRule type="expression" dxfId="1777" priority="47">
      <formula>B$9&lt;8/24</formula>
    </cfRule>
  </conditionalFormatting>
  <conditionalFormatting sqref="B81:AF99">
    <cfRule type="expression" dxfId="1776" priority="10">
      <formula>B$9&gt;=20/24</formula>
    </cfRule>
    <cfRule type="expression" dxfId="1775" priority="11">
      <formula>AND(B$9&gt;=14/24,B$9&lt;20/24)</formula>
    </cfRule>
    <cfRule type="expression" dxfId="1774" priority="12">
      <formula>AND(B$9&gt;=8/24,B$9&lt;14/24)</formula>
    </cfRule>
    <cfRule type="expression" dxfId="1773" priority="13">
      <formula>B$9&lt;8/24</formula>
    </cfRule>
  </conditionalFormatting>
  <conditionalFormatting sqref="B101:AF117">
    <cfRule type="expression" dxfId="1772" priority="2">
      <formula>AND(B$9&gt;=14/24,B$9&lt;20/24)</formula>
    </cfRule>
    <cfRule type="expression" dxfId="1771" priority="3">
      <formula>AND(B$9&gt;=8/24,B$9&lt;14/24)</formula>
    </cfRule>
    <cfRule type="expression" dxfId="1770" priority="4">
      <formula>B$9&lt;8/24</formula>
    </cfRule>
    <cfRule type="expression" dxfId="1769" priority="1">
      <formula>B$9&gt;=20/24</formula>
    </cfRule>
  </conditionalFormatting>
  <conditionalFormatting sqref="B119:AF135">
    <cfRule type="expression" dxfId="1768" priority="22">
      <formula>B$9&lt;8/24</formula>
    </cfRule>
    <cfRule type="expression" dxfId="1767" priority="19">
      <formula>B$9&gt;=20/24</formula>
    </cfRule>
    <cfRule type="expression" dxfId="1766" priority="20">
      <formula>AND(B$9&gt;=14/24,B$9&lt;20/24)</formula>
    </cfRule>
    <cfRule type="expression" dxfId="1765" priority="21">
      <formula>AND(B$9&gt;=8/24,B$9&lt;14/24)</formula>
    </cfRule>
  </conditionalFormatting>
  <conditionalFormatting sqref="B242:AF242 B244:B250 D244:AF250 U258:AF258">
    <cfRule type="expression" dxfId="1764" priority="167">
      <formula>B$9&gt;=20/24</formula>
    </cfRule>
    <cfRule type="expression" dxfId="1763" priority="168">
      <formula>AND(B$9&gt;=14/24,B$9&lt;20/24)</formula>
    </cfRule>
    <cfRule type="expression" dxfId="1762" priority="169">
      <formula>AND(B$9&gt;=8/24,B$9&lt;14/24)</formula>
    </cfRule>
    <cfRule type="expression" dxfId="1761" priority="170">
      <formula>B$9&lt;8/24</formula>
    </cfRule>
  </conditionalFormatting>
  <conditionalFormatting sqref="B62:AG62">
    <cfRule type="expression" dxfId="1760" priority="48">
      <formula>B62&gt;$AG62</formula>
    </cfRule>
  </conditionalFormatting>
  <conditionalFormatting sqref="B75:AG76 B80:AG80">
    <cfRule type="expression" dxfId="1759" priority="34">
      <formula>B75&gt;$AG75</formula>
    </cfRule>
  </conditionalFormatting>
  <conditionalFormatting sqref="B80:AG80">
    <cfRule type="expression" dxfId="1758" priority="37">
      <formula>AND(B$9&gt;=8/24,B$9&lt;14/24)</formula>
    </cfRule>
    <cfRule type="expression" dxfId="1757" priority="38">
      <formula>B$9&lt;8/24</formula>
    </cfRule>
    <cfRule type="expression" dxfId="1756" priority="36">
      <formula>AND(B$9&gt;=14/24,B$9&lt;20/24)</formula>
    </cfRule>
    <cfRule type="expression" dxfId="1755" priority="35">
      <formula>B$9&gt;=20/24</formula>
    </cfRule>
  </conditionalFormatting>
  <conditionalFormatting sqref="E63:I74 J64:J74 K69:R74 S73:W74">
    <cfRule type="expression" dxfId="1754" priority="76">
      <formula>E$9&gt;=20/24</formula>
    </cfRule>
    <cfRule type="expression" dxfId="1753" priority="79">
      <formula>E$9&lt;8/24</formula>
    </cfRule>
    <cfRule type="expression" dxfId="1752" priority="78">
      <formula>AND(E$9&gt;=8/24,E$9&lt;14/24)</formula>
    </cfRule>
    <cfRule type="expression" dxfId="1751" priority="77">
      <formula>AND(E$9&gt;=14/24,E$9&lt;20/24)</formula>
    </cfRule>
  </conditionalFormatting>
  <conditionalFormatting sqref="E56:W56">
    <cfRule type="expression" dxfId="1750" priority="93">
      <formula>E$9&lt;8/24</formula>
    </cfRule>
  </conditionalFormatting>
  <conditionalFormatting sqref="E62:AG62">
    <cfRule type="expression" dxfId="1749" priority="110">
      <formula>E$9&gt;=20/24</formula>
    </cfRule>
    <cfRule type="expression" dxfId="1748" priority="111">
      <formula>AND(E$9&gt;=14/24,E$9&lt;20/24)</formula>
    </cfRule>
    <cfRule type="expression" dxfId="1747" priority="112">
      <formula>AND(E$9&gt;=8/24,E$9&lt;14/24)</formula>
    </cfRule>
    <cfRule type="expression" dxfId="1746" priority="113">
      <formula>E$9&lt;8/24</formula>
    </cfRule>
  </conditionalFormatting>
  <conditionalFormatting sqref="F63:O65">
    <cfRule type="expression" dxfId="1745" priority="151">
      <formula>F$9&lt;8/24</formula>
    </cfRule>
    <cfRule type="expression" dxfId="1744" priority="148">
      <formula>F$9&gt;=20/24</formula>
    </cfRule>
    <cfRule type="expression" dxfId="1743" priority="149">
      <formula>AND(F$9&gt;=14/24,F$9&lt;20/24)</formula>
    </cfRule>
    <cfRule type="expression" dxfId="1742" priority="150">
      <formula>AND(F$9&gt;=8/24,F$9&lt;14/24)</formula>
    </cfRule>
  </conditionalFormatting>
  <conditionalFormatting sqref="F68:R68">
    <cfRule type="expression" dxfId="1741" priority="128">
      <formula>F$9&lt;8/24</formula>
    </cfRule>
    <cfRule type="expression" dxfId="1740" priority="127">
      <formula>AND(F$9&gt;=8/24,F$9&lt;14/24)</formula>
    </cfRule>
    <cfRule type="expression" dxfId="1739" priority="126">
      <formula>AND(F$9&gt;=14/24,F$9&lt;20/24)</formula>
    </cfRule>
    <cfRule type="expression" dxfId="1738" priority="125">
      <formula>F$9&gt;=20/24</formula>
    </cfRule>
  </conditionalFormatting>
  <conditionalFormatting sqref="F69:AF74">
    <cfRule type="expression" dxfId="1737" priority="115">
      <formula>F$9&gt;=20/24</formula>
    </cfRule>
    <cfRule type="expression" dxfId="1736" priority="118">
      <formula>F$9&lt;8/24</formula>
    </cfRule>
    <cfRule type="expression" dxfId="1735" priority="117">
      <formula>AND(F$9&gt;=8/24,F$9&lt;14/24)</formula>
    </cfRule>
    <cfRule type="expression" dxfId="1734" priority="116">
      <formula>AND(F$9&gt;=14/24,F$9&lt;20/24)</formula>
    </cfRule>
  </conditionalFormatting>
  <conditionalFormatting sqref="M63:R67">
    <cfRule type="expression" dxfId="1733" priority="152">
      <formula>M$9&gt;=20/24</formula>
    </cfRule>
    <cfRule type="expression" dxfId="1732" priority="153">
      <formula>AND(M$9&gt;=14/24,M$9&lt;20/24)</formula>
    </cfRule>
    <cfRule type="expression" dxfId="1731" priority="154">
      <formula>AND(M$9&gt;=8/24,M$9&lt;14/24)</formula>
    </cfRule>
    <cfRule type="expression" dxfId="1730" priority="155">
      <formula>M$9&lt;8/24</formula>
    </cfRule>
  </conditionalFormatting>
  <conditionalFormatting sqref="O3:P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729" priority="173">
      <formula>C$9&gt;=20/24</formula>
    </cfRule>
  </conditionalFormatting>
  <conditionalFormatting sqref="S8">
    <cfRule type="expression" dxfId="1728" priority="161">
      <formula>AND(U$9&gt;=14/24,U$9&lt;20/24)</formula>
    </cfRule>
    <cfRule type="expression" dxfId="1727" priority="162">
      <formula>AND(U$9&gt;=8/24,U$9&lt;14/24)</formula>
    </cfRule>
    <cfRule type="expression" dxfId="1726" priority="163">
      <formula>U$9&lt;8/24</formula>
    </cfRule>
    <cfRule type="expression" dxfId="1725" priority="160">
      <formula>U$9&gt;=20/24</formula>
    </cfRule>
  </conditionalFormatting>
  <conditionalFormatting sqref="S63:AF68">
    <cfRule type="expression" dxfId="1724" priority="122">
      <formula>S$9&lt;8/24</formula>
    </cfRule>
    <cfRule type="expression" dxfId="1723" priority="119">
      <formula>S$9&gt;=20/24</formula>
    </cfRule>
    <cfRule type="expression" dxfId="1722" priority="120">
      <formula>AND(S$9&gt;=14/24,S$9&lt;20/24)</formula>
    </cfRule>
    <cfRule type="expression" dxfId="1721" priority="121">
      <formula>AND(S$9&gt;=8/24,S$9&lt;14/24)</formula>
    </cfRule>
  </conditionalFormatting>
  <conditionalFormatting sqref="T258">
    <cfRule type="expression" dxfId="1720" priority="188">
      <formula>AX$9&lt;8/24</formula>
    </cfRule>
    <cfRule type="expression" dxfId="1719" priority="185">
      <formula>AX$9&gt;=20/24</formula>
    </cfRule>
    <cfRule type="expression" dxfId="1718" priority="186">
      <formula>AND(AX$9&gt;=14/24,AX$9&lt;20/24)</formula>
    </cfRule>
    <cfRule type="expression" dxfId="1717" priority="187">
      <formula>AND(AX$9&gt;=8/24,AX$9&lt;14/24)</formula>
    </cfRule>
  </conditionalFormatting>
  <conditionalFormatting sqref="V3 AB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X11:AF52 P11:W34 B9:AF10">
    <cfRule type="expression" dxfId="1716" priority="85">
      <formula>B$9&gt;=20/24</formula>
    </cfRule>
  </conditionalFormatting>
  <conditionalFormatting sqref="X51:AF52">
    <cfRule type="expression" dxfId="1715" priority="84">
      <formula>X51&gt;$AG51</formula>
    </cfRule>
  </conditionalFormatting>
  <conditionalFormatting sqref="X53:AF55">
    <cfRule type="expression" dxfId="1714" priority="124">
      <formula>X53&gt;$AG53</formula>
    </cfRule>
  </conditionalFormatting>
  <conditionalFormatting sqref="AB8">
    <cfRule type="expression" dxfId="1713" priority="156">
      <formula>AD$9&gt;=20/24</formula>
    </cfRule>
    <cfRule type="expression" dxfId="1712" priority="158">
      <formula>AND(AD$9&gt;=8/24,AD$9&lt;14/24)</formula>
    </cfRule>
    <cfRule type="expression" dxfId="1711" priority="159">
      <formula>AD$9&lt;8/24</formula>
    </cfRule>
    <cfRule type="expression" dxfId="1710" priority="157">
      <formula>AND(AD$9&gt;=14/24,AD$9&lt;20/24)</formula>
    </cfRule>
  </conditionalFormatting>
  <conditionalFormatting sqref="AG58">
    <cfRule type="expression" dxfId="1709" priority="143">
      <formula>AG58&gt;$AG58</formula>
    </cfRule>
  </conditionalFormatting>
  <conditionalFormatting sqref="AG97">
    <cfRule type="expression" dxfId="1708" priority="147">
      <formula>AG$9&lt;8/24</formula>
    </cfRule>
    <cfRule type="expression" dxfId="1707" priority="146">
      <formula>AND(AG$9&gt;=8/24,AG$9&lt;14/24)</formula>
    </cfRule>
    <cfRule type="expression" dxfId="1706" priority="145">
      <formula>AND(AG$9&gt;=14/24,AG$9&lt;20/24)</formula>
    </cfRule>
    <cfRule type="expression" dxfId="1705" priority="144">
      <formula>AG$9&gt;=20/24</formula>
    </cfRule>
  </conditionalFormatting>
  <conditionalFormatting sqref="AG258">
    <cfRule type="expression" dxfId="1704" priority="180">
      <formula>B$9&lt;8/24</formula>
    </cfRule>
    <cfRule type="expression" dxfId="1703" priority="179">
      <formula>AND(B$9&gt;=8/24,B$9&lt;14/24)</formula>
    </cfRule>
    <cfRule type="expression" dxfId="1702" priority="178">
      <formula>AND(B$9&gt;=14/24,B$9&lt;20/24)</formula>
    </cfRule>
    <cfRule type="expression" dxfId="1701" priority="177">
      <formula>B$9&gt;=20/24</formula>
    </cfRule>
  </conditionalFormatting>
  <conditionalFormatting sqref="AH258:AX258">
    <cfRule type="expression" dxfId="1700" priority="182">
      <formula>AND(AG$9&gt;=14/24,AG$9&lt;20/24)</formula>
    </cfRule>
    <cfRule type="expression" dxfId="1699" priority="183">
      <formula>AND(AG$9&gt;=8/24,AG$9&lt;14/24)</formula>
    </cfRule>
    <cfRule type="expression" dxfId="1698" priority="181">
      <formula>AG$9&gt;=20/24</formula>
    </cfRule>
    <cfRule type="expression" dxfId="1697" priority="184">
      <formula>AG$9&lt;8/24</formula>
    </cfRule>
  </conditionalFormatting>
  <conditionalFormatting sqref="AL4:AL6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696" priority="190">
      <formula>AJ$9&gt;=20/24</formula>
    </cfRule>
    <cfRule type="expression" dxfId="1695" priority="191">
      <formula>AND(AJ$9&gt;=14/24,AJ$9&lt;20/24)</formula>
    </cfRule>
    <cfRule type="expression" dxfId="1694" priority="192">
      <formula>AND(AJ$9&gt;=8/24,AJ$9&lt;14/24)</formula>
    </cfRule>
    <cfRule type="expression" dxfId="1693" priority="193">
      <formula>AJ$9&lt;8/24</formula>
    </cfRule>
  </conditionalFormatting>
  <conditionalFormatting sqref="AL88:AN88 AL94:AN94">
    <cfRule type="expression" dxfId="1692" priority="137">
      <formula>AND(AL$9&gt;=14/24,AL$9&lt;20/24)</formula>
    </cfRule>
    <cfRule type="expression" dxfId="1691" priority="136">
      <formula>AL$9&gt;=20/24</formula>
    </cfRule>
    <cfRule type="expression" dxfId="1690" priority="139">
      <formula>AL$9&lt;8/24</formula>
    </cfRule>
    <cfRule type="expression" dxfId="1689" priority="138">
      <formula>AND(AL$9&gt;=8/24,AL$9&lt;14/24)</formula>
    </cfRule>
  </conditionalFormatting>
  <conditionalFormatting sqref="AN89:AN92">
    <cfRule type="expression" dxfId="1688" priority="135">
      <formula>AN$9&lt;8/24</formula>
    </cfRule>
    <cfRule type="expression" dxfId="1687" priority="134">
      <formula>AND(AN$9&gt;=8/24,AN$9&lt;14/24)</formula>
    </cfRule>
    <cfRule type="expression" dxfId="1686" priority="133">
      <formula>AND(AN$9&gt;=14/24,AN$9&lt;20/24)</formula>
    </cfRule>
    <cfRule type="expression" dxfId="1685" priority="13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EFC6-ADE6-427A-AD60-053482DDAE24}">
  <sheetPr codeName="Sheet19"/>
  <dimension ref="A1:CJ291"/>
  <sheetViews>
    <sheetView zoomScale="106" workbookViewId="0">
      <pane xSplit="1" ySplit="10" topLeftCell="B53" activePane="bottomRight" state="frozen"/>
      <selection activeCell="P118" sqref="P118"/>
      <selection pane="topRight" activeCell="P118" sqref="P118"/>
      <selection pane="bottomLeft" activeCell="P118" sqref="P118"/>
      <selection pane="bottomRight" activeCell="AE63" sqref="AE6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2080/09/18</v>
      </c>
      <c r="C4" s="246"/>
      <c r="D4" s="246"/>
      <c r="E4" s="247" t="str">
        <f ca="1">"2080/"&amp;"09/"&amp;INT(MID(CELL("filename",G6),FIND("]",CELL("filename",G6))+1,200))</f>
        <v>2080/09/18</v>
      </c>
      <c r="F4" s="247"/>
      <c r="G4" s="247"/>
      <c r="H4" s="247" t="str">
        <f ca="1">TEXT(E4,"dddd")</f>
        <v>Wednesday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209</v>
      </c>
      <c r="C5" s="30">
        <f t="shared" si="0"/>
        <v>189</v>
      </c>
      <c r="D5" s="30">
        <f t="shared" si="0"/>
        <v>182.8</v>
      </c>
      <c r="E5" s="30">
        <f t="shared" si="0"/>
        <v>206.5</v>
      </c>
      <c r="F5" s="30">
        <f t="shared" si="0"/>
        <v>197.7</v>
      </c>
      <c r="G5" s="30">
        <f t="shared" si="0"/>
        <v>245</v>
      </c>
      <c r="H5" s="30">
        <f t="shared" si="0"/>
        <v>297</v>
      </c>
      <c r="I5" s="30">
        <f t="shared" si="0"/>
        <v>308</v>
      </c>
      <c r="J5" s="30">
        <f t="shared" si="0"/>
        <v>335</v>
      </c>
      <c r="K5" s="30">
        <f t="shared" si="0"/>
        <v>211.2</v>
      </c>
      <c r="L5" s="30">
        <f t="shared" si="0"/>
        <v>136.9</v>
      </c>
      <c r="M5" s="30">
        <f t="shared" si="0"/>
        <v>21</v>
      </c>
      <c r="N5" s="30">
        <f t="shared" si="0"/>
        <v>34</v>
      </c>
      <c r="O5" s="30">
        <f t="shared" si="0"/>
        <v>361</v>
      </c>
      <c r="P5" s="30">
        <f t="shared" si="0"/>
        <v>374</v>
      </c>
      <c r="Q5" s="30">
        <f t="shared" si="0"/>
        <v>389.4</v>
      </c>
      <c r="R5" s="30">
        <f t="shared" si="0"/>
        <v>386.7</v>
      </c>
      <c r="S5" s="30">
        <f t="shared" si="0"/>
        <v>374.4</v>
      </c>
      <c r="T5" s="30">
        <f t="shared" si="0"/>
        <v>395.7</v>
      </c>
      <c r="U5" s="30">
        <f t="shared" si="0"/>
        <v>68.7</v>
      </c>
      <c r="V5" s="30">
        <f t="shared" si="0"/>
        <v>70.7</v>
      </c>
      <c r="W5" s="30">
        <f t="shared" si="0"/>
        <v>139.4</v>
      </c>
      <c r="X5" s="30">
        <f t="shared" si="0"/>
        <v>108.2</v>
      </c>
      <c r="Y5" s="30">
        <f t="shared" si="0"/>
        <v>108.8</v>
      </c>
      <c r="Z5" s="30">
        <f t="shared" si="0"/>
        <v>257.2</v>
      </c>
      <c r="AA5" s="30">
        <f t="shared" si="0"/>
        <v>275.89999999999998</v>
      </c>
      <c r="AB5" s="30">
        <f t="shared" si="0"/>
        <v>292</v>
      </c>
      <c r="AC5" s="30">
        <f t="shared" si="0"/>
        <v>291</v>
      </c>
      <c r="AD5" s="30">
        <f t="shared" si="0"/>
        <v>266</v>
      </c>
      <c r="AE5" s="30">
        <f t="shared" si="0"/>
        <v>250</v>
      </c>
      <c r="AF5" s="30">
        <f>B92</f>
        <v>216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1735MW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Load=963</v>
      </c>
      <c r="B7" s="35">
        <f>B100</f>
        <v>990.44</v>
      </c>
      <c r="C7" s="35">
        <f t="shared" ref="C7:AF7" si="1">C100</f>
        <v>983.44</v>
      </c>
      <c r="D7" s="35">
        <f t="shared" si="1"/>
        <v>963.44</v>
      </c>
      <c r="E7" s="35">
        <f t="shared" si="1"/>
        <v>967.24</v>
      </c>
      <c r="F7" s="35">
        <f t="shared" si="1"/>
        <v>990.84000000000015</v>
      </c>
      <c r="G7" s="35">
        <f t="shared" si="1"/>
        <v>1057.1400000000001</v>
      </c>
      <c r="H7" s="35">
        <f t="shared" si="1"/>
        <v>1165.94</v>
      </c>
      <c r="I7" s="35">
        <f t="shared" si="1"/>
        <v>1229.3400000000001</v>
      </c>
      <c r="J7" s="35">
        <f t="shared" si="1"/>
        <v>1353.5400000000002</v>
      </c>
      <c r="K7" s="35">
        <f t="shared" si="1"/>
        <v>1505.64</v>
      </c>
      <c r="L7" s="35">
        <f t="shared" si="1"/>
        <v>1735.24</v>
      </c>
      <c r="M7" s="35">
        <f t="shared" si="1"/>
        <v>1679.7400000000002</v>
      </c>
      <c r="N7" s="35">
        <f t="shared" si="1"/>
        <v>1628.54</v>
      </c>
      <c r="O7" s="35">
        <f t="shared" si="1"/>
        <v>1556.9399999999998</v>
      </c>
      <c r="P7" s="35">
        <f t="shared" si="1"/>
        <v>1472.04</v>
      </c>
      <c r="Q7" s="35">
        <f t="shared" si="1"/>
        <v>1385.04</v>
      </c>
      <c r="R7" s="35">
        <f t="shared" si="1"/>
        <v>1341.04</v>
      </c>
      <c r="S7" s="35">
        <f t="shared" si="1"/>
        <v>1341.04</v>
      </c>
      <c r="T7" s="35">
        <f t="shared" si="1"/>
        <v>1322.44</v>
      </c>
      <c r="U7" s="35">
        <f t="shared" si="1"/>
        <v>1366.14</v>
      </c>
      <c r="V7" s="35">
        <f t="shared" si="1"/>
        <v>1139.4400000000003</v>
      </c>
      <c r="W7" s="35">
        <f t="shared" si="1"/>
        <v>1546.54</v>
      </c>
      <c r="X7" s="35">
        <f t="shared" si="1"/>
        <v>1790.14</v>
      </c>
      <c r="Y7" s="35">
        <f t="shared" si="1"/>
        <v>1787.94</v>
      </c>
      <c r="Z7" s="35">
        <f t="shared" si="1"/>
        <v>1692.4399999999998</v>
      </c>
      <c r="AA7" s="35">
        <f t="shared" si="1"/>
        <v>1634.0400000000002</v>
      </c>
      <c r="AB7" s="35">
        <f t="shared" si="1"/>
        <v>1522.54</v>
      </c>
      <c r="AC7" s="35">
        <f t="shared" si="1"/>
        <v>1414.64</v>
      </c>
      <c r="AD7" s="35">
        <f t="shared" si="1"/>
        <v>1364.7400000000002</v>
      </c>
      <c r="AE7" s="35">
        <f t="shared" si="1"/>
        <v>1101.6400000000001</v>
      </c>
      <c r="AF7" s="35">
        <f t="shared" si="1"/>
        <v>1047.54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37.4</v>
      </c>
      <c r="C11" s="45">
        <v>37.4</v>
      </c>
      <c r="D11" s="45">
        <v>37.4</v>
      </c>
      <c r="E11" s="45">
        <v>37.4</v>
      </c>
      <c r="F11" s="45">
        <v>37.4</v>
      </c>
      <c r="G11" s="45">
        <v>37.4</v>
      </c>
      <c r="H11" s="45">
        <v>37.4</v>
      </c>
      <c r="I11" s="45">
        <v>37.4</v>
      </c>
      <c r="J11" s="45">
        <v>37.4</v>
      </c>
      <c r="K11" s="45">
        <v>37.4</v>
      </c>
      <c r="L11" s="45">
        <v>37.4</v>
      </c>
      <c r="M11" s="45">
        <v>36.700000000000003</v>
      </c>
      <c r="N11" s="45">
        <v>36.700000000000003</v>
      </c>
      <c r="O11" s="45">
        <v>36.700000000000003</v>
      </c>
      <c r="P11" s="45">
        <v>36.700000000000003</v>
      </c>
      <c r="Q11" s="45">
        <v>35</v>
      </c>
      <c r="R11" s="45">
        <v>31.7</v>
      </c>
      <c r="S11" s="45">
        <v>31.7</v>
      </c>
      <c r="T11" s="45">
        <v>31.7</v>
      </c>
      <c r="U11" s="45">
        <v>31.7</v>
      </c>
      <c r="V11" s="45">
        <v>31.7</v>
      </c>
      <c r="W11" s="45">
        <v>31.7</v>
      </c>
      <c r="X11" s="45">
        <v>31.7</v>
      </c>
      <c r="Y11" s="45">
        <v>31.7</v>
      </c>
      <c r="Z11" s="45">
        <v>31.7</v>
      </c>
      <c r="AA11" s="45">
        <v>31.7</v>
      </c>
      <c r="AB11" s="45">
        <v>40.700000000000003</v>
      </c>
      <c r="AC11" s="45">
        <v>40.700000000000003</v>
      </c>
      <c r="AD11" s="45">
        <v>40.700000000000003</v>
      </c>
      <c r="AE11" s="45">
        <v>40.700000000000003</v>
      </c>
      <c r="AF11" s="45">
        <v>40.700000000000003</v>
      </c>
      <c r="AG11" s="46">
        <v>86</v>
      </c>
      <c r="AH11" s="47">
        <f t="shared" ref="AH11:AH84" si="2">MAX(B11:AF11)</f>
        <v>40.700000000000003</v>
      </c>
      <c r="AI11" s="48">
        <f t="shared" ref="AI11:AI84" si="3">MIN(B11:AF11)</f>
        <v>31.7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13.8</v>
      </c>
      <c r="C12" s="45">
        <v>13.8</v>
      </c>
      <c r="D12" s="45">
        <v>13.8</v>
      </c>
      <c r="E12" s="45">
        <v>13.8</v>
      </c>
      <c r="F12" s="45">
        <v>13.8</v>
      </c>
      <c r="G12" s="45">
        <v>13.8</v>
      </c>
      <c r="H12" s="45">
        <v>13.8</v>
      </c>
      <c r="I12" s="45">
        <v>13.8</v>
      </c>
      <c r="J12" s="45">
        <v>13.8</v>
      </c>
      <c r="K12" s="45">
        <v>13.8</v>
      </c>
      <c r="L12" s="45">
        <v>13.8</v>
      </c>
      <c r="M12" s="45">
        <v>13.8</v>
      </c>
      <c r="N12" s="45">
        <v>13.8</v>
      </c>
      <c r="O12" s="45">
        <v>13.8</v>
      </c>
      <c r="P12" s="45">
        <v>13.8</v>
      </c>
      <c r="Q12" s="45">
        <v>13.8</v>
      </c>
      <c r="R12" s="45">
        <v>13.8</v>
      </c>
      <c r="S12" s="45">
        <v>13.8</v>
      </c>
      <c r="T12" s="45">
        <v>13.8</v>
      </c>
      <c r="U12" s="45">
        <v>13.8</v>
      </c>
      <c r="V12" s="45">
        <v>13.8</v>
      </c>
      <c r="W12" s="45">
        <v>13.8</v>
      </c>
      <c r="X12" s="45">
        <v>13.8</v>
      </c>
      <c r="Y12" s="45">
        <v>13.8</v>
      </c>
      <c r="Z12" s="45">
        <v>13.8</v>
      </c>
      <c r="AA12" s="45">
        <v>13.8</v>
      </c>
      <c r="AB12" s="45">
        <v>13.8</v>
      </c>
      <c r="AC12" s="45">
        <v>13.8</v>
      </c>
      <c r="AD12" s="45">
        <v>13.8</v>
      </c>
      <c r="AE12" s="45">
        <v>13.8</v>
      </c>
      <c r="AF12" s="45">
        <v>13.8</v>
      </c>
      <c r="AG12" s="49">
        <v>54</v>
      </c>
      <c r="AH12" s="47">
        <f t="shared" si="2"/>
        <v>13.8</v>
      </c>
      <c r="AI12" s="48">
        <f t="shared" si="3"/>
        <v>13.8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17</v>
      </c>
      <c r="C13" s="45">
        <v>17</v>
      </c>
      <c r="D13" s="45">
        <v>17</v>
      </c>
      <c r="E13" s="45">
        <v>17</v>
      </c>
      <c r="F13" s="45">
        <v>17</v>
      </c>
      <c r="G13" s="45">
        <v>17</v>
      </c>
      <c r="H13" s="45">
        <v>17</v>
      </c>
      <c r="I13" s="45">
        <v>17</v>
      </c>
      <c r="J13" s="45">
        <v>17</v>
      </c>
      <c r="K13" s="45">
        <v>17</v>
      </c>
      <c r="L13" s="45">
        <v>17</v>
      </c>
      <c r="M13" s="45">
        <v>17</v>
      </c>
      <c r="N13" s="45">
        <v>17</v>
      </c>
      <c r="O13" s="45">
        <v>17</v>
      </c>
      <c r="P13" s="45">
        <v>17</v>
      </c>
      <c r="Q13" s="45">
        <v>17</v>
      </c>
      <c r="R13" s="45">
        <v>17</v>
      </c>
      <c r="S13" s="45">
        <v>17</v>
      </c>
      <c r="T13" s="45">
        <v>17</v>
      </c>
      <c r="U13" s="45">
        <v>17</v>
      </c>
      <c r="V13" s="45">
        <v>17</v>
      </c>
      <c r="W13" s="45">
        <v>17</v>
      </c>
      <c r="X13" s="45">
        <v>17</v>
      </c>
      <c r="Y13" s="45">
        <v>17</v>
      </c>
      <c r="Z13" s="45">
        <v>17</v>
      </c>
      <c r="AA13" s="45">
        <v>17</v>
      </c>
      <c r="AB13" s="45">
        <v>17</v>
      </c>
      <c r="AC13" s="45">
        <v>17</v>
      </c>
      <c r="AD13" s="45">
        <v>17</v>
      </c>
      <c r="AE13" s="45">
        <v>17</v>
      </c>
      <c r="AF13" s="45">
        <v>17</v>
      </c>
      <c r="AG13" s="49">
        <v>54</v>
      </c>
      <c r="AH13" s="47">
        <f t="shared" si="2"/>
        <v>17</v>
      </c>
      <c r="AI13" s="48">
        <f t="shared" si="3"/>
        <v>17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19</v>
      </c>
      <c r="C14" s="45">
        <v>19</v>
      </c>
      <c r="D14" s="45">
        <v>19</v>
      </c>
      <c r="E14" s="45">
        <v>19</v>
      </c>
      <c r="F14" s="45">
        <v>19</v>
      </c>
      <c r="G14" s="45">
        <v>18.5</v>
      </c>
      <c r="H14" s="45">
        <v>18.5</v>
      </c>
      <c r="I14" s="45">
        <v>18.5</v>
      </c>
      <c r="J14" s="45">
        <v>18.5</v>
      </c>
      <c r="K14" s="45">
        <v>18.5</v>
      </c>
      <c r="L14" s="45">
        <v>18.5</v>
      </c>
      <c r="M14" s="45">
        <v>18.5</v>
      </c>
      <c r="N14" s="45">
        <v>18.5</v>
      </c>
      <c r="O14" s="45">
        <v>18.5</v>
      </c>
      <c r="P14" s="45">
        <v>18.5</v>
      </c>
      <c r="Q14" s="45">
        <v>18.5</v>
      </c>
      <c r="R14" s="45">
        <v>18.5</v>
      </c>
      <c r="S14" s="45">
        <v>18.5</v>
      </c>
      <c r="T14" s="45">
        <v>18.5</v>
      </c>
      <c r="U14" s="45">
        <v>18.5</v>
      </c>
      <c r="V14" s="45">
        <v>18.5</v>
      </c>
      <c r="W14" s="45">
        <v>18.5</v>
      </c>
      <c r="X14" s="45">
        <v>18.5</v>
      </c>
      <c r="Y14" s="45">
        <v>18.5</v>
      </c>
      <c r="Z14" s="45">
        <v>18.5</v>
      </c>
      <c r="AA14" s="45">
        <v>18.5</v>
      </c>
      <c r="AB14" s="45">
        <v>18.5</v>
      </c>
      <c r="AC14" s="45">
        <v>18.5</v>
      </c>
      <c r="AD14" s="45">
        <v>18.5</v>
      </c>
      <c r="AE14" s="45">
        <v>18.5</v>
      </c>
      <c r="AF14" s="45">
        <v>18.5</v>
      </c>
      <c r="AG14" s="46">
        <v>52.4</v>
      </c>
      <c r="AH14" s="47">
        <f t="shared" si="2"/>
        <v>19</v>
      </c>
      <c r="AI14" s="48">
        <f t="shared" si="3"/>
        <v>18.5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40.5</v>
      </c>
      <c r="C15" s="45">
        <v>40.5</v>
      </c>
      <c r="D15" s="45">
        <v>40.5</v>
      </c>
      <c r="E15" s="45">
        <v>40.5</v>
      </c>
      <c r="F15" s="45">
        <v>40.5</v>
      </c>
      <c r="G15" s="45">
        <v>40.5</v>
      </c>
      <c r="H15" s="45">
        <v>40.5</v>
      </c>
      <c r="I15" s="45">
        <v>40.5</v>
      </c>
      <c r="J15" s="45">
        <v>40.5</v>
      </c>
      <c r="K15" s="45">
        <v>40.5</v>
      </c>
      <c r="L15" s="45">
        <v>40.5</v>
      </c>
      <c r="M15" s="45">
        <v>40.5</v>
      </c>
      <c r="N15" s="45">
        <v>40.5</v>
      </c>
      <c r="O15" s="45">
        <v>40.5</v>
      </c>
      <c r="P15" s="45">
        <v>40.5</v>
      </c>
      <c r="Q15" s="45">
        <v>40.5</v>
      </c>
      <c r="R15" s="45">
        <v>40.5</v>
      </c>
      <c r="S15" s="45">
        <v>40.5</v>
      </c>
      <c r="T15" s="45">
        <v>40.5</v>
      </c>
      <c r="U15" s="45">
        <v>40.5</v>
      </c>
      <c r="V15" s="45">
        <v>40.5</v>
      </c>
      <c r="W15" s="45">
        <v>40.5</v>
      </c>
      <c r="X15" s="51">
        <v>40.5</v>
      </c>
      <c r="Y15" s="51">
        <v>40.5</v>
      </c>
      <c r="Z15" s="51">
        <v>40.5</v>
      </c>
      <c r="AA15" s="51">
        <v>40.5</v>
      </c>
      <c r="AB15" s="51">
        <v>40.5</v>
      </c>
      <c r="AC15" s="51">
        <v>40.5</v>
      </c>
      <c r="AD15" s="51">
        <v>40.5</v>
      </c>
      <c r="AE15" s="51">
        <v>40.5</v>
      </c>
      <c r="AF15" s="51">
        <v>40.5</v>
      </c>
      <c r="AG15" s="49">
        <v>50</v>
      </c>
      <c r="AH15" s="47">
        <f t="shared" si="2"/>
        <v>40.5</v>
      </c>
      <c r="AI15" s="48">
        <f t="shared" si="3"/>
        <v>40.5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20.6</v>
      </c>
      <c r="C16" s="45">
        <v>20.6</v>
      </c>
      <c r="D16" s="45">
        <v>20.6</v>
      </c>
      <c r="E16" s="45">
        <v>20.6</v>
      </c>
      <c r="F16" s="45">
        <v>20.6</v>
      </c>
      <c r="G16" s="45">
        <v>20.6</v>
      </c>
      <c r="H16" s="45">
        <v>20.6</v>
      </c>
      <c r="I16" s="45">
        <v>20.6</v>
      </c>
      <c r="J16" s="45">
        <v>20.6</v>
      </c>
      <c r="K16" s="45">
        <v>20.6</v>
      </c>
      <c r="L16" s="45">
        <v>20.6</v>
      </c>
      <c r="M16" s="45">
        <v>20.6</v>
      </c>
      <c r="N16" s="45">
        <v>20.6</v>
      </c>
      <c r="O16" s="45">
        <v>20.6</v>
      </c>
      <c r="P16" s="45">
        <v>20.6</v>
      </c>
      <c r="Q16" s="45">
        <v>20.6</v>
      </c>
      <c r="R16" s="45">
        <v>20.6</v>
      </c>
      <c r="S16" s="45">
        <v>20.6</v>
      </c>
      <c r="T16" s="45">
        <v>20.6</v>
      </c>
      <c r="U16" s="45">
        <v>20.6</v>
      </c>
      <c r="V16" s="45">
        <v>20.6</v>
      </c>
      <c r="W16" s="45">
        <v>20.6</v>
      </c>
      <c r="X16" s="45">
        <v>20.6</v>
      </c>
      <c r="Y16" s="45">
        <v>20.6</v>
      </c>
      <c r="Z16" s="45">
        <v>20.6</v>
      </c>
      <c r="AA16" s="45">
        <v>20.6</v>
      </c>
      <c r="AB16" s="45">
        <v>20.6</v>
      </c>
      <c r="AC16" s="45">
        <v>20.6</v>
      </c>
      <c r="AD16" s="45">
        <v>20.6</v>
      </c>
      <c r="AE16" s="45">
        <v>20.6</v>
      </c>
      <c r="AF16" s="45">
        <v>20.6</v>
      </c>
      <c r="AG16" s="49">
        <v>45</v>
      </c>
      <c r="AH16" s="47">
        <f t="shared" si="2"/>
        <v>20.6</v>
      </c>
      <c r="AI16" s="48">
        <f t="shared" si="3"/>
        <v>20.6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10.5</v>
      </c>
      <c r="C18" s="45">
        <v>10.5</v>
      </c>
      <c r="D18" s="45">
        <v>10.5</v>
      </c>
      <c r="E18" s="45">
        <v>10.5</v>
      </c>
      <c r="F18" s="45">
        <v>10.5</v>
      </c>
      <c r="G18" s="45">
        <v>10.5</v>
      </c>
      <c r="H18" s="45">
        <v>10.5</v>
      </c>
      <c r="I18" s="45">
        <v>10.5</v>
      </c>
      <c r="J18" s="45">
        <v>10.5</v>
      </c>
      <c r="K18" s="45">
        <v>10.5</v>
      </c>
      <c r="L18" s="45">
        <v>10.5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10</v>
      </c>
      <c r="T18" s="45">
        <v>10</v>
      </c>
      <c r="U18" s="45">
        <v>10</v>
      </c>
      <c r="V18" s="45">
        <v>10</v>
      </c>
      <c r="W18" s="45">
        <v>10</v>
      </c>
      <c r="X18" s="45">
        <v>10</v>
      </c>
      <c r="Y18" s="45">
        <v>10</v>
      </c>
      <c r="Z18" s="45">
        <v>10</v>
      </c>
      <c r="AA18" s="45">
        <v>10</v>
      </c>
      <c r="AB18" s="45">
        <v>10</v>
      </c>
      <c r="AC18" s="45">
        <v>10</v>
      </c>
      <c r="AD18" s="45">
        <v>10</v>
      </c>
      <c r="AE18" s="45">
        <v>10</v>
      </c>
      <c r="AF18" s="45">
        <v>10</v>
      </c>
      <c r="AG18" s="49">
        <v>42</v>
      </c>
      <c r="AH18" s="47">
        <f t="shared" si="2"/>
        <v>10.5</v>
      </c>
      <c r="AI18" s="48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12.5</v>
      </c>
      <c r="C20" s="45">
        <v>12.5</v>
      </c>
      <c r="D20" s="45">
        <v>12.5</v>
      </c>
      <c r="E20" s="45">
        <v>12.5</v>
      </c>
      <c r="F20" s="45">
        <v>12.5</v>
      </c>
      <c r="G20" s="45">
        <v>12.5</v>
      </c>
      <c r="H20" s="45">
        <v>12.5</v>
      </c>
      <c r="I20" s="45">
        <v>12.5</v>
      </c>
      <c r="J20" s="45">
        <v>12.5</v>
      </c>
      <c r="K20" s="45">
        <v>12.5</v>
      </c>
      <c r="L20" s="45">
        <v>12.5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12.5</v>
      </c>
      <c r="T20" s="45">
        <v>12.5</v>
      </c>
      <c r="U20" s="45">
        <v>12.5</v>
      </c>
      <c r="V20" s="45">
        <v>12.5</v>
      </c>
      <c r="W20" s="45">
        <v>12.5</v>
      </c>
      <c r="X20" s="45">
        <v>12.5</v>
      </c>
      <c r="Y20" s="45">
        <v>12.5</v>
      </c>
      <c r="Z20" s="45">
        <v>12.5</v>
      </c>
      <c r="AA20" s="45">
        <v>12.5</v>
      </c>
      <c r="AB20" s="45">
        <v>12.5</v>
      </c>
      <c r="AC20" s="45">
        <v>12.5</v>
      </c>
      <c r="AD20" s="45">
        <v>12.5</v>
      </c>
      <c r="AE20" s="45">
        <v>12.5</v>
      </c>
      <c r="AF20" s="45">
        <v>12.5</v>
      </c>
      <c r="AG20" s="49">
        <v>38.46</v>
      </c>
      <c r="AH20" s="47">
        <f t="shared" si="2"/>
        <v>12.5</v>
      </c>
      <c r="AI20" s="48">
        <f t="shared" si="3"/>
        <v>12.5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11.7</v>
      </c>
      <c r="C22" s="45">
        <v>11.7</v>
      </c>
      <c r="D22" s="45">
        <v>11.7</v>
      </c>
      <c r="E22" s="45">
        <v>11.7</v>
      </c>
      <c r="F22" s="45">
        <v>11.7</v>
      </c>
      <c r="G22" s="45">
        <v>11.7</v>
      </c>
      <c r="H22" s="45">
        <v>11.7</v>
      </c>
      <c r="I22" s="45">
        <v>11.7</v>
      </c>
      <c r="J22" s="45">
        <v>11.7</v>
      </c>
      <c r="K22" s="45">
        <v>11.7</v>
      </c>
      <c r="L22" s="45">
        <v>11.7</v>
      </c>
      <c r="M22" s="45">
        <v>11.7</v>
      </c>
      <c r="N22" s="45">
        <v>11.7</v>
      </c>
      <c r="O22" s="45">
        <v>11.7</v>
      </c>
      <c r="P22" s="45">
        <v>11.7</v>
      </c>
      <c r="Q22" s="45">
        <v>11.7</v>
      </c>
      <c r="R22" s="45">
        <v>11.7</v>
      </c>
      <c r="S22" s="45">
        <v>11.7</v>
      </c>
      <c r="T22" s="45">
        <v>11.7</v>
      </c>
      <c r="U22" s="45">
        <v>11.7</v>
      </c>
      <c r="V22" s="45">
        <v>11.7</v>
      </c>
      <c r="W22" s="45">
        <v>11.7</v>
      </c>
      <c r="X22" s="45">
        <v>11.7</v>
      </c>
      <c r="Y22" s="45">
        <v>11.7</v>
      </c>
      <c r="Z22" s="45">
        <v>11.7</v>
      </c>
      <c r="AA22" s="45">
        <v>11.7</v>
      </c>
      <c r="AB22" s="45">
        <v>11.7</v>
      </c>
      <c r="AC22" s="45">
        <v>11.7</v>
      </c>
      <c r="AD22" s="45">
        <v>11.7</v>
      </c>
      <c r="AE22" s="45">
        <v>11.7</v>
      </c>
      <c r="AF22" s="45">
        <v>11.7</v>
      </c>
      <c r="AG22" s="52">
        <v>30</v>
      </c>
      <c r="AH22" s="47">
        <f t="shared" si="2"/>
        <v>11.7</v>
      </c>
      <c r="AI22" s="48">
        <f t="shared" si="3"/>
        <v>11.7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13.5</v>
      </c>
      <c r="C23" s="45">
        <v>13.5</v>
      </c>
      <c r="D23" s="45">
        <v>13.5</v>
      </c>
      <c r="E23" s="45">
        <v>13.5</v>
      </c>
      <c r="F23" s="45">
        <v>13.5</v>
      </c>
      <c r="G23" s="45">
        <v>13.5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13.5</v>
      </c>
      <c r="W23" s="45">
        <v>13.5</v>
      </c>
      <c r="X23" s="45">
        <v>13.5</v>
      </c>
      <c r="Y23" s="45">
        <v>13.5</v>
      </c>
      <c r="Z23" s="45">
        <v>13.5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49">
        <v>24.2</v>
      </c>
      <c r="AH23" s="47">
        <f t="shared" si="2"/>
        <v>13.5</v>
      </c>
      <c r="AI23" s="48">
        <f t="shared" si="3"/>
        <v>13.5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12</v>
      </c>
      <c r="C24" s="45">
        <v>12</v>
      </c>
      <c r="D24" s="45">
        <v>12</v>
      </c>
      <c r="E24" s="45">
        <v>12</v>
      </c>
      <c r="F24" s="45">
        <v>12</v>
      </c>
      <c r="G24" s="45">
        <v>11.6</v>
      </c>
      <c r="H24" s="45">
        <v>11.6</v>
      </c>
      <c r="I24" s="45">
        <v>11.6</v>
      </c>
      <c r="J24" s="45">
        <v>11.6</v>
      </c>
      <c r="K24" s="45">
        <v>11.6</v>
      </c>
      <c r="L24" s="45">
        <v>11.6</v>
      </c>
      <c r="M24" s="45">
        <v>11.6</v>
      </c>
      <c r="N24" s="45">
        <v>11.6</v>
      </c>
      <c r="O24" s="45">
        <v>11.6</v>
      </c>
      <c r="P24" s="45">
        <v>11.6</v>
      </c>
      <c r="Q24" s="45">
        <v>11.6</v>
      </c>
      <c r="R24" s="45">
        <v>11.6</v>
      </c>
      <c r="S24" s="45">
        <v>11.6</v>
      </c>
      <c r="T24" s="45">
        <v>11.6</v>
      </c>
      <c r="U24" s="45">
        <v>11.6</v>
      </c>
      <c r="V24" s="45">
        <v>11.6</v>
      </c>
      <c r="W24" s="45">
        <v>11.6</v>
      </c>
      <c r="X24" s="45">
        <v>11.6</v>
      </c>
      <c r="Y24" s="45">
        <v>11.6</v>
      </c>
      <c r="Z24" s="45">
        <v>11.6</v>
      </c>
      <c r="AA24" s="45">
        <v>11.6</v>
      </c>
      <c r="AB24" s="45">
        <v>11.6</v>
      </c>
      <c r="AC24" s="45">
        <v>11.6</v>
      </c>
      <c r="AD24" s="45">
        <v>11.6</v>
      </c>
      <c r="AE24" s="45">
        <v>11.6</v>
      </c>
      <c r="AF24" s="45">
        <v>11.6</v>
      </c>
      <c r="AG24" s="49">
        <v>28</v>
      </c>
      <c r="AH24" s="47">
        <f t="shared" si="2"/>
        <v>12</v>
      </c>
      <c r="AI24" s="48">
        <f t="shared" si="3"/>
        <v>11.6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9</v>
      </c>
      <c r="E25" s="45">
        <v>9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9</v>
      </c>
      <c r="N25" s="45">
        <v>9</v>
      </c>
      <c r="O25" s="45">
        <v>9</v>
      </c>
      <c r="P25" s="45">
        <v>9</v>
      </c>
      <c r="Q25" s="45">
        <v>9</v>
      </c>
      <c r="R25" s="45">
        <v>9</v>
      </c>
      <c r="S25" s="45">
        <v>9</v>
      </c>
      <c r="T25" s="45">
        <v>9</v>
      </c>
      <c r="U25" s="45">
        <v>9</v>
      </c>
      <c r="V25" s="45">
        <v>9</v>
      </c>
      <c r="W25" s="45">
        <v>9</v>
      </c>
      <c r="X25" s="45">
        <v>9</v>
      </c>
      <c r="Y25" s="45">
        <v>9</v>
      </c>
      <c r="Z25" s="45">
        <v>9</v>
      </c>
      <c r="AA25" s="45">
        <v>9</v>
      </c>
      <c r="AB25" s="45">
        <v>9</v>
      </c>
      <c r="AC25" s="45">
        <v>9</v>
      </c>
      <c r="AD25" s="45">
        <v>9</v>
      </c>
      <c r="AE25" s="45">
        <v>9</v>
      </c>
      <c r="AF25" s="45">
        <v>9</v>
      </c>
      <c r="AG25" s="52">
        <v>30</v>
      </c>
      <c r="AH25" s="47">
        <f t="shared" si="2"/>
        <v>9</v>
      </c>
      <c r="AI25" s="48">
        <f t="shared" si="3"/>
        <v>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11.7</v>
      </c>
      <c r="H26" s="45">
        <v>11.7</v>
      </c>
      <c r="I26" s="45">
        <v>11.7</v>
      </c>
      <c r="J26" s="45">
        <v>11.7</v>
      </c>
      <c r="K26" s="45">
        <v>11.7</v>
      </c>
      <c r="L26" s="45">
        <v>11.7</v>
      </c>
      <c r="M26" s="45">
        <v>11.7</v>
      </c>
      <c r="N26" s="45">
        <v>11.7</v>
      </c>
      <c r="O26" s="45">
        <v>11.7</v>
      </c>
      <c r="P26" s="45">
        <v>11.7</v>
      </c>
      <c r="Q26" s="45">
        <v>11.7</v>
      </c>
      <c r="R26" s="45">
        <v>11.7</v>
      </c>
      <c r="S26" s="45">
        <v>11.7</v>
      </c>
      <c r="T26" s="45">
        <v>11.7</v>
      </c>
      <c r="U26" s="45">
        <v>11.7</v>
      </c>
      <c r="V26" s="45">
        <v>11.7</v>
      </c>
      <c r="W26" s="45">
        <v>11.7</v>
      </c>
      <c r="X26" s="45">
        <v>11.7</v>
      </c>
      <c r="Y26" s="45">
        <v>11.7</v>
      </c>
      <c r="Z26" s="45">
        <v>11.7</v>
      </c>
      <c r="AA26" s="45">
        <v>11.7</v>
      </c>
      <c r="AB26" s="45">
        <v>11.7</v>
      </c>
      <c r="AC26" s="45">
        <v>11.7</v>
      </c>
      <c r="AD26" s="45">
        <v>11.7</v>
      </c>
      <c r="AE26" s="45">
        <v>11.7</v>
      </c>
      <c r="AF26" s="45">
        <v>11.7</v>
      </c>
      <c r="AG26" s="49">
        <v>25</v>
      </c>
      <c r="AH26" s="47">
        <f t="shared" si="2"/>
        <v>11.7</v>
      </c>
      <c r="AI26" s="48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10.8</v>
      </c>
      <c r="C29" s="45">
        <v>10.8</v>
      </c>
      <c r="D29" s="45">
        <v>10.8</v>
      </c>
      <c r="E29" s="45">
        <v>10.8</v>
      </c>
      <c r="F29" s="45">
        <v>10.8</v>
      </c>
      <c r="G29" s="45">
        <v>10.8</v>
      </c>
      <c r="H29" s="45">
        <v>10.8</v>
      </c>
      <c r="I29" s="45">
        <v>10.8</v>
      </c>
      <c r="J29" s="45">
        <v>10.8</v>
      </c>
      <c r="K29" s="45">
        <v>10.8</v>
      </c>
      <c r="L29" s="45">
        <v>10.8</v>
      </c>
      <c r="M29" s="45">
        <v>10.8</v>
      </c>
      <c r="N29" s="45">
        <v>10.8</v>
      </c>
      <c r="O29" s="45">
        <v>10.8</v>
      </c>
      <c r="P29" s="45">
        <v>10.8</v>
      </c>
      <c r="Q29" s="45">
        <v>10.8</v>
      </c>
      <c r="R29" s="45">
        <v>10.8</v>
      </c>
      <c r="S29" s="45">
        <v>10.8</v>
      </c>
      <c r="T29" s="45">
        <v>10.8</v>
      </c>
      <c r="U29" s="45">
        <v>10.8</v>
      </c>
      <c r="V29" s="45">
        <v>10.8</v>
      </c>
      <c r="W29" s="45">
        <v>10.8</v>
      </c>
      <c r="X29" s="45">
        <v>10.8</v>
      </c>
      <c r="Y29" s="45">
        <v>10.8</v>
      </c>
      <c r="Z29" s="45">
        <v>10.8</v>
      </c>
      <c r="AA29" s="45">
        <v>10.8</v>
      </c>
      <c r="AB29" s="45">
        <v>10.8</v>
      </c>
      <c r="AC29" s="45">
        <v>10.8</v>
      </c>
      <c r="AD29" s="45">
        <v>10.8</v>
      </c>
      <c r="AE29" s="45">
        <v>10.8</v>
      </c>
      <c r="AF29" s="45">
        <v>10.8</v>
      </c>
      <c r="AG29" s="49">
        <v>25</v>
      </c>
      <c r="AH29" s="47">
        <f t="shared" si="2"/>
        <v>10.8</v>
      </c>
      <c r="AI29" s="48">
        <f t="shared" si="3"/>
        <v>10.8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</v>
      </c>
      <c r="C30" s="45">
        <v>10</v>
      </c>
      <c r="D30" s="45">
        <v>10</v>
      </c>
      <c r="E30" s="45">
        <v>10</v>
      </c>
      <c r="F30" s="45">
        <v>10</v>
      </c>
      <c r="G30" s="45">
        <v>10</v>
      </c>
      <c r="H30" s="45">
        <v>10</v>
      </c>
      <c r="I30" s="45">
        <v>10</v>
      </c>
      <c r="J30" s="45">
        <v>10</v>
      </c>
      <c r="K30" s="45">
        <v>10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10</v>
      </c>
      <c r="R30" s="45">
        <v>10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10</v>
      </c>
      <c r="AE30" s="45">
        <v>10</v>
      </c>
      <c r="AF30" s="45">
        <v>10</v>
      </c>
      <c r="AG30" s="49">
        <v>23.5</v>
      </c>
      <c r="AH30" s="47">
        <f t="shared" si="2"/>
        <v>10</v>
      </c>
      <c r="AI30" s="48">
        <f t="shared" si="3"/>
        <v>10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6.26</v>
      </c>
      <c r="C33" s="45">
        <v>6.26</v>
      </c>
      <c r="D33" s="45">
        <v>6.26</v>
      </c>
      <c r="E33" s="45">
        <v>6.26</v>
      </c>
      <c r="F33" s="45">
        <v>6.26</v>
      </c>
      <c r="G33" s="45">
        <v>6.26</v>
      </c>
      <c r="H33" s="45">
        <v>6.26</v>
      </c>
      <c r="I33" s="45">
        <v>6.26</v>
      </c>
      <c r="J33" s="45">
        <v>6.26</v>
      </c>
      <c r="K33" s="45">
        <v>6.26</v>
      </c>
      <c r="L33" s="45">
        <v>6.26</v>
      </c>
      <c r="M33" s="45">
        <v>6.26</v>
      </c>
      <c r="N33" s="45">
        <v>6.26</v>
      </c>
      <c r="O33" s="45">
        <v>6.26</v>
      </c>
      <c r="P33" s="45">
        <v>6.26</v>
      </c>
      <c r="Q33" s="45">
        <v>6.26</v>
      </c>
      <c r="R33" s="45">
        <v>6.26</v>
      </c>
      <c r="S33" s="45">
        <v>6.26</v>
      </c>
      <c r="T33" s="45">
        <v>6.26</v>
      </c>
      <c r="U33" s="45">
        <v>6.26</v>
      </c>
      <c r="V33" s="45">
        <v>6.26</v>
      </c>
      <c r="W33" s="45">
        <v>6.26</v>
      </c>
      <c r="X33" s="45">
        <v>6.26</v>
      </c>
      <c r="Y33" s="45">
        <v>6.26</v>
      </c>
      <c r="Z33" s="45">
        <v>6.26</v>
      </c>
      <c r="AA33" s="45">
        <v>6.26</v>
      </c>
      <c r="AB33" s="45">
        <v>6.26</v>
      </c>
      <c r="AC33" s="45">
        <v>6.26</v>
      </c>
      <c r="AD33" s="45">
        <v>6.26</v>
      </c>
      <c r="AE33" s="45">
        <v>6.26</v>
      </c>
      <c r="AF33" s="45">
        <v>6.26</v>
      </c>
      <c r="AG33" s="49">
        <v>22</v>
      </c>
      <c r="AH33" s="47">
        <f t="shared" si="2"/>
        <v>6.26</v>
      </c>
      <c r="AI33" s="48">
        <f t="shared" si="3"/>
        <v>6.26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22</v>
      </c>
      <c r="AH34" s="47">
        <f t="shared" si="2"/>
        <v>10</v>
      </c>
      <c r="AI34" s="48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v>28</v>
      </c>
      <c r="C57" s="57">
        <v>28</v>
      </c>
      <c r="D57" s="57">
        <v>28</v>
      </c>
      <c r="E57" s="57">
        <v>28</v>
      </c>
      <c r="F57" s="57">
        <v>28</v>
      </c>
      <c r="G57" s="57">
        <v>28</v>
      </c>
      <c r="H57" s="57">
        <v>28</v>
      </c>
      <c r="I57" s="57">
        <v>28</v>
      </c>
      <c r="J57" s="57">
        <v>28</v>
      </c>
      <c r="K57" s="57">
        <v>28</v>
      </c>
      <c r="L57" s="57">
        <v>28</v>
      </c>
      <c r="M57" s="57">
        <v>28</v>
      </c>
      <c r="N57" s="57">
        <v>28</v>
      </c>
      <c r="O57" s="57">
        <f>25.2+8.4</f>
        <v>33.6</v>
      </c>
      <c r="P57" s="57">
        <f>25.2+8.7</f>
        <v>33.9</v>
      </c>
      <c r="Q57" s="51">
        <f>24.8+8.7</f>
        <v>33.5</v>
      </c>
      <c r="R57" s="51">
        <f t="shared" ref="R57:AB57" si="4">25+8.9</f>
        <v>33.9</v>
      </c>
      <c r="S57" s="51">
        <f t="shared" si="4"/>
        <v>33.9</v>
      </c>
      <c r="T57" s="51">
        <f t="shared" si="4"/>
        <v>33.9</v>
      </c>
      <c r="U57" s="51">
        <f t="shared" si="4"/>
        <v>33.9</v>
      </c>
      <c r="V57" s="51">
        <f t="shared" si="4"/>
        <v>33.9</v>
      </c>
      <c r="W57" s="51">
        <f t="shared" si="4"/>
        <v>33.9</v>
      </c>
      <c r="X57" s="57">
        <f t="shared" si="4"/>
        <v>33.9</v>
      </c>
      <c r="Y57" s="57">
        <f t="shared" si="4"/>
        <v>33.9</v>
      </c>
      <c r="Z57" s="57">
        <f t="shared" si="4"/>
        <v>33.9</v>
      </c>
      <c r="AA57" s="57">
        <f t="shared" si="4"/>
        <v>33.9</v>
      </c>
      <c r="AB57" s="57">
        <f t="shared" si="4"/>
        <v>33.9</v>
      </c>
      <c r="AC57" s="57">
        <f t="shared" ref="AC57:AF57" si="5">25+8.9</f>
        <v>33.9</v>
      </c>
      <c r="AD57" s="57">
        <f t="shared" si="5"/>
        <v>33.9</v>
      </c>
      <c r="AE57" s="57">
        <f t="shared" si="5"/>
        <v>33.9</v>
      </c>
      <c r="AF57" s="57">
        <f t="shared" si="5"/>
        <v>33.9</v>
      </c>
      <c r="AG57" s="55">
        <v>240</v>
      </c>
      <c r="AH57" s="47">
        <f t="shared" si="2"/>
        <v>33.9</v>
      </c>
      <c r="AI57" s="48">
        <f t="shared" si="3"/>
        <v>28</v>
      </c>
      <c r="AK57" s="50"/>
    </row>
    <row r="58" spans="1:88" ht="15.75" thickBot="1" x14ac:dyDescent="0.3">
      <c r="A58" s="59" t="s">
        <v>58</v>
      </c>
      <c r="B58" s="60">
        <f t="shared" ref="B58:AF58" si="6">SUM(B11:B56)</f>
        <v>623.40000000000009</v>
      </c>
      <c r="C58" s="60">
        <f t="shared" si="6"/>
        <v>623.40000000000009</v>
      </c>
      <c r="D58" s="60">
        <f t="shared" si="6"/>
        <v>623.40000000000009</v>
      </c>
      <c r="E58" s="60">
        <f t="shared" si="6"/>
        <v>623.40000000000009</v>
      </c>
      <c r="F58" s="60">
        <f t="shared" si="6"/>
        <v>623.40000000000009</v>
      </c>
      <c r="G58" s="60">
        <f t="shared" si="6"/>
        <v>626.6</v>
      </c>
      <c r="H58" s="60">
        <f t="shared" si="6"/>
        <v>626.6</v>
      </c>
      <c r="I58" s="60">
        <f t="shared" si="6"/>
        <v>626.6</v>
      </c>
      <c r="J58" s="60">
        <f t="shared" si="6"/>
        <v>626.6</v>
      </c>
      <c r="K58" s="60">
        <f t="shared" si="6"/>
        <v>626.6</v>
      </c>
      <c r="L58" s="60">
        <f t="shared" si="6"/>
        <v>626.6</v>
      </c>
      <c r="M58" s="60">
        <f t="shared" si="6"/>
        <v>625.4</v>
      </c>
      <c r="N58" s="60">
        <f t="shared" si="6"/>
        <v>625.4</v>
      </c>
      <c r="O58" s="60">
        <f t="shared" si="6"/>
        <v>625.4</v>
      </c>
      <c r="P58" s="60">
        <f t="shared" si="6"/>
        <v>625.4</v>
      </c>
      <c r="Q58" s="60">
        <f t="shared" si="6"/>
        <v>623.70000000000005</v>
      </c>
      <c r="R58" s="60">
        <f t="shared" si="6"/>
        <v>620.4</v>
      </c>
      <c r="S58" s="60">
        <f t="shared" ref="S58:T58" si="7">SUM(S11:S56)</f>
        <v>620.4</v>
      </c>
      <c r="T58" s="60">
        <f t="shared" si="7"/>
        <v>620.4</v>
      </c>
      <c r="U58" s="60">
        <f t="shared" ref="U58:V58" si="8">SUM(U11:U56)</f>
        <v>620.4</v>
      </c>
      <c r="V58" s="60">
        <f t="shared" si="8"/>
        <v>620.4</v>
      </c>
      <c r="W58" s="60">
        <f t="shared" ref="W58:X58" si="9">SUM(W11:W56)</f>
        <v>620.4</v>
      </c>
      <c r="X58" s="60">
        <f t="shared" si="9"/>
        <v>620.4</v>
      </c>
      <c r="Y58" s="60">
        <f t="shared" ref="Y58:Z58" si="10">SUM(Y11:Y56)</f>
        <v>620.4</v>
      </c>
      <c r="Z58" s="60">
        <f t="shared" si="10"/>
        <v>620.4</v>
      </c>
      <c r="AA58" s="60">
        <f t="shared" ref="AA58" si="11">SUM(AA11:AA56)</f>
        <v>620.4</v>
      </c>
      <c r="AB58" s="60">
        <f t="shared" si="6"/>
        <v>629.40000000000009</v>
      </c>
      <c r="AC58" s="60">
        <f t="shared" si="6"/>
        <v>629.40000000000009</v>
      </c>
      <c r="AD58" s="60">
        <f t="shared" si="6"/>
        <v>629.40000000000009</v>
      </c>
      <c r="AE58" s="60">
        <f t="shared" si="6"/>
        <v>629.40000000000009</v>
      </c>
      <c r="AF58" s="60">
        <f t="shared" si="6"/>
        <v>629.40000000000009</v>
      </c>
      <c r="AG58" s="61">
        <f>SUM(AG14:AG56)</f>
        <v>1042.4000000000001</v>
      </c>
      <c r="AH58" s="47">
        <f t="shared" si="2"/>
        <v>629.40000000000009</v>
      </c>
      <c r="AI58" s="48">
        <f t="shared" si="3"/>
        <v>620.4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45</v>
      </c>
      <c r="K59" s="45">
        <v>76</v>
      </c>
      <c r="L59" s="45">
        <v>380</v>
      </c>
      <c r="M59" s="45">
        <v>400</v>
      </c>
      <c r="N59" s="63">
        <v>456</v>
      </c>
      <c r="O59" s="63">
        <v>390</v>
      </c>
      <c r="P59" s="63">
        <v>20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310</v>
      </c>
      <c r="X59" s="45">
        <v>360</v>
      </c>
      <c r="Y59" s="45">
        <v>390</v>
      </c>
      <c r="Z59" s="45">
        <v>300</v>
      </c>
      <c r="AA59" s="45">
        <v>120</v>
      </c>
      <c r="AB59" s="45">
        <v>80</v>
      </c>
      <c r="AC59" s="45">
        <v>60</v>
      </c>
      <c r="AD59" s="45">
        <v>20</v>
      </c>
      <c r="AE59" s="45">
        <v>0</v>
      </c>
      <c r="AF59" s="45">
        <v>0</v>
      </c>
      <c r="AG59" s="52">
        <v>456</v>
      </c>
      <c r="AH59" s="47">
        <f t="shared" si="2"/>
        <v>456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37</v>
      </c>
      <c r="C60" s="65">
        <v>37</v>
      </c>
      <c r="D60" s="65">
        <v>37</v>
      </c>
      <c r="E60" s="65">
        <v>37</v>
      </c>
      <c r="F60" s="65">
        <v>37</v>
      </c>
      <c r="G60" s="65">
        <v>37</v>
      </c>
      <c r="H60" s="65">
        <v>37</v>
      </c>
      <c r="I60" s="65">
        <v>37</v>
      </c>
      <c r="J60" s="65">
        <v>37</v>
      </c>
      <c r="K60" s="65">
        <v>37</v>
      </c>
      <c r="L60" s="65">
        <v>37</v>
      </c>
      <c r="M60" s="65">
        <v>37</v>
      </c>
      <c r="N60" s="65">
        <v>37</v>
      </c>
      <c r="O60" s="65">
        <v>37</v>
      </c>
      <c r="P60" s="65">
        <v>37</v>
      </c>
      <c r="Q60" s="65">
        <v>37</v>
      </c>
      <c r="R60" s="65">
        <v>37</v>
      </c>
      <c r="S60" s="65">
        <v>37</v>
      </c>
      <c r="T60" s="65">
        <v>37</v>
      </c>
      <c r="U60" s="65">
        <v>37</v>
      </c>
      <c r="V60" s="65">
        <v>37</v>
      </c>
      <c r="W60" s="65">
        <v>37</v>
      </c>
      <c r="X60" s="65">
        <v>37</v>
      </c>
      <c r="Y60" s="65">
        <v>37</v>
      </c>
      <c r="Z60" s="65">
        <v>37</v>
      </c>
      <c r="AA60" s="65">
        <v>37</v>
      </c>
      <c r="AB60" s="65">
        <v>37</v>
      </c>
      <c r="AC60" s="65">
        <v>37</v>
      </c>
      <c r="AD60" s="65">
        <v>37</v>
      </c>
      <c r="AE60" s="65">
        <v>37</v>
      </c>
      <c r="AF60" s="65">
        <v>37</v>
      </c>
      <c r="AG60" s="55">
        <v>60</v>
      </c>
      <c r="AH60" s="47">
        <f t="shared" si="2"/>
        <v>37</v>
      </c>
      <c r="AI60" s="48">
        <f t="shared" si="3"/>
        <v>37</v>
      </c>
      <c r="AK60" s="50"/>
    </row>
    <row r="61" spans="1:88" ht="15.75" thickBot="1" x14ac:dyDescent="0.3">
      <c r="A61" s="66" t="s">
        <v>61</v>
      </c>
      <c r="B61" s="67">
        <v>13</v>
      </c>
      <c r="C61" s="67">
        <v>13</v>
      </c>
      <c r="D61" s="67">
        <v>13</v>
      </c>
      <c r="E61" s="67">
        <v>13</v>
      </c>
      <c r="F61" s="67">
        <v>13</v>
      </c>
      <c r="G61" s="67">
        <v>13</v>
      </c>
      <c r="H61" s="67">
        <v>13</v>
      </c>
      <c r="I61" s="67">
        <v>13</v>
      </c>
      <c r="J61" s="67">
        <v>13</v>
      </c>
      <c r="K61" s="67">
        <v>16</v>
      </c>
      <c r="L61" s="67">
        <v>16</v>
      </c>
      <c r="M61" s="67">
        <v>16</v>
      </c>
      <c r="N61" s="67">
        <v>12.2</v>
      </c>
      <c r="O61" s="67">
        <v>12.2</v>
      </c>
      <c r="P61" s="67">
        <v>12.2</v>
      </c>
      <c r="Q61" s="67">
        <v>12.2</v>
      </c>
      <c r="R61" s="67">
        <v>12.2</v>
      </c>
      <c r="S61" s="67">
        <v>12.2</v>
      </c>
      <c r="T61" s="67">
        <v>12.2</v>
      </c>
      <c r="U61" s="67">
        <v>12.2</v>
      </c>
      <c r="V61" s="67">
        <v>12.2</v>
      </c>
      <c r="W61" s="67">
        <v>12.2</v>
      </c>
      <c r="X61" s="67">
        <v>20.100000000000001</v>
      </c>
      <c r="Y61" s="67">
        <v>20.100000000000001</v>
      </c>
      <c r="Z61" s="67">
        <v>20.100000000000001</v>
      </c>
      <c r="AA61" s="67">
        <v>20.100000000000001</v>
      </c>
      <c r="AB61" s="67">
        <v>20.100000000000001</v>
      </c>
      <c r="AC61" s="67">
        <v>20.100000000000001</v>
      </c>
      <c r="AD61" s="67">
        <v>20.100000000000001</v>
      </c>
      <c r="AE61" s="67">
        <v>20</v>
      </c>
      <c r="AF61" s="67">
        <v>20</v>
      </c>
      <c r="AG61" s="68">
        <v>22.1</v>
      </c>
      <c r="AH61" s="47">
        <f t="shared" si="2"/>
        <v>20.100000000000001</v>
      </c>
      <c r="AI61" s="48">
        <f t="shared" si="3"/>
        <v>12.2</v>
      </c>
      <c r="AK61" s="50"/>
    </row>
    <row r="62" spans="1:88" ht="15.75" thickBot="1" x14ac:dyDescent="0.3">
      <c r="A62" s="69" t="s">
        <v>62</v>
      </c>
      <c r="B62" s="60">
        <f t="shared" ref="B62:AG62" si="12">SUM(B59:B61)</f>
        <v>50</v>
      </c>
      <c r="C62" s="60">
        <f t="shared" si="12"/>
        <v>50</v>
      </c>
      <c r="D62" s="60">
        <f t="shared" si="12"/>
        <v>50</v>
      </c>
      <c r="E62" s="60">
        <f t="shared" si="12"/>
        <v>50</v>
      </c>
      <c r="F62" s="60">
        <f t="shared" si="12"/>
        <v>50</v>
      </c>
      <c r="G62" s="60">
        <f t="shared" si="12"/>
        <v>50</v>
      </c>
      <c r="H62" s="60">
        <f t="shared" si="12"/>
        <v>50</v>
      </c>
      <c r="I62" s="60">
        <f t="shared" si="12"/>
        <v>50</v>
      </c>
      <c r="J62" s="60">
        <f t="shared" si="12"/>
        <v>95</v>
      </c>
      <c r="K62" s="60">
        <f t="shared" si="12"/>
        <v>129</v>
      </c>
      <c r="L62" s="60">
        <f t="shared" si="12"/>
        <v>433</v>
      </c>
      <c r="M62" s="60">
        <f t="shared" si="12"/>
        <v>453</v>
      </c>
      <c r="N62" s="60">
        <f t="shared" si="12"/>
        <v>505.2</v>
      </c>
      <c r="O62" s="60">
        <f t="shared" si="12"/>
        <v>439.2</v>
      </c>
      <c r="P62" s="60">
        <f t="shared" si="12"/>
        <v>69.2</v>
      </c>
      <c r="Q62" s="60">
        <f t="shared" si="12"/>
        <v>49.2</v>
      </c>
      <c r="R62" s="60">
        <f t="shared" si="12"/>
        <v>49.2</v>
      </c>
      <c r="S62" s="60">
        <f t="shared" ref="S62:T62" si="13">SUM(S59:S61)</f>
        <v>49.2</v>
      </c>
      <c r="T62" s="60">
        <f t="shared" si="13"/>
        <v>49.2</v>
      </c>
      <c r="U62" s="60">
        <f t="shared" ref="U62:V62" si="14">SUM(U59:U61)</f>
        <v>49.2</v>
      </c>
      <c r="V62" s="60">
        <f t="shared" si="14"/>
        <v>49.2</v>
      </c>
      <c r="W62" s="60">
        <f t="shared" ref="W62:X62" si="15">SUM(W59:W61)</f>
        <v>359.2</v>
      </c>
      <c r="X62" s="60">
        <f t="shared" si="15"/>
        <v>417.1</v>
      </c>
      <c r="Y62" s="60">
        <f t="shared" ref="Y62:Z62" si="16">SUM(Y59:Y61)</f>
        <v>447.1</v>
      </c>
      <c r="Z62" s="60">
        <f t="shared" si="16"/>
        <v>357.1</v>
      </c>
      <c r="AA62" s="60">
        <f t="shared" ref="AA62" si="17">SUM(AA59:AA61)</f>
        <v>177.1</v>
      </c>
      <c r="AB62" s="60">
        <f t="shared" si="12"/>
        <v>137.1</v>
      </c>
      <c r="AC62" s="60">
        <f t="shared" si="12"/>
        <v>117.1</v>
      </c>
      <c r="AD62" s="60">
        <f t="shared" si="12"/>
        <v>77.099999999999994</v>
      </c>
      <c r="AE62" s="60">
        <f t="shared" si="12"/>
        <v>57</v>
      </c>
      <c r="AF62" s="60">
        <f t="shared" si="12"/>
        <v>57</v>
      </c>
      <c r="AG62" s="61">
        <f t="shared" si="12"/>
        <v>538.1</v>
      </c>
      <c r="AH62" s="47">
        <f t="shared" si="2"/>
        <v>505.2</v>
      </c>
      <c r="AI62" s="48">
        <f t="shared" si="3"/>
        <v>49.2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27.4</v>
      </c>
      <c r="I63" s="45">
        <v>35.6</v>
      </c>
      <c r="J63" s="45">
        <v>61</v>
      </c>
      <c r="K63" s="45">
        <v>147.69999999999999</v>
      </c>
      <c r="L63" s="45">
        <v>145.9</v>
      </c>
      <c r="M63" s="45">
        <v>145.9</v>
      </c>
      <c r="N63" s="45">
        <v>145.9</v>
      </c>
      <c r="O63" s="45">
        <v>145.9</v>
      </c>
      <c r="P63" s="45">
        <v>144.5</v>
      </c>
      <c r="Q63" s="45">
        <v>133.69999999999999</v>
      </c>
      <c r="R63" s="45">
        <v>91.5</v>
      </c>
      <c r="S63" s="45">
        <v>91.5</v>
      </c>
      <c r="T63" s="45">
        <v>91.6</v>
      </c>
      <c r="U63" s="45">
        <v>81.3</v>
      </c>
      <c r="V63" s="45">
        <v>76.8</v>
      </c>
      <c r="W63" s="45">
        <v>142.1</v>
      </c>
      <c r="X63" s="45">
        <v>142.1</v>
      </c>
      <c r="Y63" s="45">
        <v>142.1</v>
      </c>
      <c r="Z63" s="45">
        <v>142.1</v>
      </c>
      <c r="AA63" s="45">
        <v>116.3</v>
      </c>
      <c r="AB63" s="45">
        <v>92.3</v>
      </c>
      <c r="AC63" s="45">
        <v>70</v>
      </c>
      <c r="AD63" s="45">
        <v>61</v>
      </c>
      <c r="AE63" s="45">
        <v>0</v>
      </c>
      <c r="AF63" s="45">
        <v>0</v>
      </c>
      <c r="AG63" s="52">
        <v>144</v>
      </c>
      <c r="AH63" s="47">
        <f t="shared" si="2"/>
        <v>147.69999999999999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26</v>
      </c>
      <c r="H64" s="65">
        <v>49</v>
      </c>
      <c r="I64" s="65">
        <v>47.8</v>
      </c>
      <c r="J64" s="65">
        <v>69.900000000000006</v>
      </c>
      <c r="K64" s="65">
        <v>68.400000000000006</v>
      </c>
      <c r="L64" s="65">
        <v>70</v>
      </c>
      <c r="M64" s="65">
        <v>70</v>
      </c>
      <c r="N64" s="65">
        <v>70</v>
      </c>
      <c r="O64" s="65">
        <v>70</v>
      </c>
      <c r="P64" s="65">
        <v>69.3</v>
      </c>
      <c r="Q64" s="65">
        <v>49.6</v>
      </c>
      <c r="R64" s="65">
        <v>35.6</v>
      </c>
      <c r="S64" s="65">
        <v>34.6</v>
      </c>
      <c r="T64" s="65">
        <v>34.700000000000003</v>
      </c>
      <c r="U64" s="65">
        <v>35.6</v>
      </c>
      <c r="V64" s="65">
        <v>56.2</v>
      </c>
      <c r="W64" s="65">
        <v>70.2</v>
      </c>
      <c r="X64" s="45">
        <v>70.2</v>
      </c>
      <c r="Y64" s="45">
        <v>70.2</v>
      </c>
      <c r="Z64" s="45">
        <v>65.099999999999994</v>
      </c>
      <c r="AA64" s="45">
        <v>65.099999999999994</v>
      </c>
      <c r="AB64" s="45">
        <v>33.9</v>
      </c>
      <c r="AC64" s="45">
        <v>33.9</v>
      </c>
      <c r="AD64" s="45">
        <v>33</v>
      </c>
      <c r="AE64" s="45">
        <v>0</v>
      </c>
      <c r="AF64" s="45">
        <v>0</v>
      </c>
      <c r="AG64" s="55">
        <v>70</v>
      </c>
      <c r="AH64" s="47">
        <f t="shared" si="2"/>
        <v>70.2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40.9</v>
      </c>
      <c r="H65" s="65">
        <v>52</v>
      </c>
      <c r="I65" s="65">
        <v>56.4</v>
      </c>
      <c r="J65" s="65">
        <v>68.900000000000006</v>
      </c>
      <c r="K65" s="65">
        <v>69</v>
      </c>
      <c r="L65" s="65">
        <v>68.599999999999994</v>
      </c>
      <c r="M65" s="65">
        <v>68.599999999999994</v>
      </c>
      <c r="N65" s="65">
        <v>68.599999999999994</v>
      </c>
      <c r="O65" s="65">
        <v>67.099999999999994</v>
      </c>
      <c r="P65" s="65">
        <v>66.3</v>
      </c>
      <c r="Q65" s="65">
        <v>37.1</v>
      </c>
      <c r="R65" s="65">
        <v>37.200000000000003</v>
      </c>
      <c r="S65" s="65">
        <v>45.3</v>
      </c>
      <c r="T65" s="65">
        <v>45.3</v>
      </c>
      <c r="U65" s="65">
        <v>45.3</v>
      </c>
      <c r="V65" s="65">
        <v>45.8</v>
      </c>
      <c r="W65" s="65">
        <v>66.400000000000006</v>
      </c>
      <c r="X65" s="45">
        <v>66.400000000000006</v>
      </c>
      <c r="Y65" s="45">
        <v>66.400000000000006</v>
      </c>
      <c r="Z65" s="45">
        <v>66.400000000000006</v>
      </c>
      <c r="AA65" s="45">
        <v>66.400000000000006</v>
      </c>
      <c r="AB65" s="45">
        <v>66.7</v>
      </c>
      <c r="AC65" s="45">
        <v>65</v>
      </c>
      <c r="AD65" s="45">
        <v>66</v>
      </c>
      <c r="AE65" s="45">
        <v>38.1</v>
      </c>
      <c r="AF65" s="45">
        <v>0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52</v>
      </c>
      <c r="C66" s="65">
        <v>52</v>
      </c>
      <c r="D66" s="65">
        <v>52</v>
      </c>
      <c r="E66" s="65">
        <v>52</v>
      </c>
      <c r="F66" s="65">
        <v>51.9</v>
      </c>
      <c r="G66" s="65">
        <v>51.9</v>
      </c>
      <c r="H66" s="65">
        <v>51.9</v>
      </c>
      <c r="I66" s="65">
        <v>51.9</v>
      </c>
      <c r="J66" s="65">
        <v>51.9</v>
      </c>
      <c r="K66" s="57">
        <v>51.9</v>
      </c>
      <c r="L66" s="57">
        <v>51.9</v>
      </c>
      <c r="M66" s="57">
        <v>51.9</v>
      </c>
      <c r="N66" s="57">
        <v>51.9</v>
      </c>
      <c r="O66" s="57">
        <v>52.9</v>
      </c>
      <c r="P66" s="65">
        <v>52.9</v>
      </c>
      <c r="Q66" s="65">
        <v>52.9</v>
      </c>
      <c r="R66" s="65">
        <v>52.9</v>
      </c>
      <c r="S66" s="65">
        <v>52.9</v>
      </c>
      <c r="T66" s="65">
        <v>52.9</v>
      </c>
      <c r="U66" s="65">
        <v>52.9</v>
      </c>
      <c r="V66" s="65">
        <v>52.9</v>
      </c>
      <c r="W66" s="65">
        <v>49.4</v>
      </c>
      <c r="X66" s="45">
        <v>49.4</v>
      </c>
      <c r="Y66" s="45">
        <v>49.4</v>
      </c>
      <c r="Z66" s="45">
        <v>49.4</v>
      </c>
      <c r="AA66" s="45">
        <v>49.4</v>
      </c>
      <c r="AB66" s="45">
        <v>52.1</v>
      </c>
      <c r="AC66" s="45">
        <v>52.1</v>
      </c>
      <c r="AD66" s="45">
        <v>52.1</v>
      </c>
      <c r="AE66" s="45">
        <v>52.1</v>
      </c>
      <c r="AF66" s="45">
        <v>52.1</v>
      </c>
      <c r="AG66" s="55">
        <v>60</v>
      </c>
      <c r="AH66" s="47">
        <f t="shared" si="2"/>
        <v>52.9</v>
      </c>
      <c r="AI66" s="48">
        <f t="shared" si="3"/>
        <v>49.4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10</v>
      </c>
      <c r="F67" s="65">
        <v>10</v>
      </c>
      <c r="G67" s="65">
        <v>15</v>
      </c>
      <c r="H67" s="65">
        <v>15</v>
      </c>
      <c r="I67" s="65">
        <v>15</v>
      </c>
      <c r="J67" s="65">
        <v>15</v>
      </c>
      <c r="K67" s="57">
        <v>29</v>
      </c>
      <c r="L67" s="57">
        <v>29</v>
      </c>
      <c r="M67" s="57">
        <v>29</v>
      </c>
      <c r="N67" s="57">
        <v>15</v>
      </c>
      <c r="O67" s="65">
        <v>10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28</v>
      </c>
      <c r="W67" s="65">
        <v>28</v>
      </c>
      <c r="X67" s="45">
        <v>28</v>
      </c>
      <c r="Y67" s="45">
        <v>28</v>
      </c>
      <c r="Z67" s="45">
        <v>28</v>
      </c>
      <c r="AA67" s="45">
        <v>28</v>
      </c>
      <c r="AB67" s="45">
        <v>10</v>
      </c>
      <c r="AC67" s="45">
        <v>10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0.8</v>
      </c>
      <c r="N68" s="45">
        <v>1.2</v>
      </c>
      <c r="O68" s="65">
        <v>3.4</v>
      </c>
      <c r="P68" s="65">
        <v>10.9</v>
      </c>
      <c r="Q68" s="65">
        <v>15.8</v>
      </c>
      <c r="R68" s="65">
        <v>15.8</v>
      </c>
      <c r="S68" s="65">
        <v>12.4</v>
      </c>
      <c r="T68" s="65">
        <v>6.9</v>
      </c>
      <c r="U68" s="65">
        <v>2.6</v>
      </c>
      <c r="V68" s="65">
        <v>0.3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15.8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16</v>
      </c>
      <c r="AI69" s="48">
        <f t="shared" si="3"/>
        <v>16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11.5</v>
      </c>
      <c r="C71" s="65">
        <v>11.5</v>
      </c>
      <c r="D71" s="65">
        <v>11.5</v>
      </c>
      <c r="E71" s="65">
        <v>11.5</v>
      </c>
      <c r="F71" s="65">
        <v>11.5</v>
      </c>
      <c r="G71" s="65">
        <v>11.5</v>
      </c>
      <c r="H71" s="65">
        <v>11.5</v>
      </c>
      <c r="I71" s="65">
        <v>11.5</v>
      </c>
      <c r="J71" s="65">
        <v>11.5</v>
      </c>
      <c r="K71" s="65">
        <v>11.5</v>
      </c>
      <c r="L71" s="65">
        <v>11.5</v>
      </c>
      <c r="M71" s="65">
        <v>11.5</v>
      </c>
      <c r="N71" s="65">
        <v>11.5</v>
      </c>
      <c r="O71" s="65">
        <v>11.5</v>
      </c>
      <c r="P71" s="65">
        <v>11.5</v>
      </c>
      <c r="Q71" s="65">
        <v>11.5</v>
      </c>
      <c r="R71" s="65">
        <v>11.5</v>
      </c>
      <c r="S71" s="65">
        <v>11.5</v>
      </c>
      <c r="T71" s="65">
        <v>11.5</v>
      </c>
      <c r="U71" s="65">
        <v>11.5</v>
      </c>
      <c r="V71" s="65">
        <v>11.5</v>
      </c>
      <c r="W71" s="65">
        <v>11.5</v>
      </c>
      <c r="X71" s="65">
        <v>11.5</v>
      </c>
      <c r="Y71" s="65">
        <v>11.5</v>
      </c>
      <c r="Z71" s="65">
        <v>11.5</v>
      </c>
      <c r="AA71" s="65">
        <v>11.5</v>
      </c>
      <c r="AB71" s="65">
        <v>11.5</v>
      </c>
      <c r="AC71" s="65">
        <v>11.5</v>
      </c>
      <c r="AD71" s="65">
        <v>11.5</v>
      </c>
      <c r="AE71" s="65">
        <v>11.5</v>
      </c>
      <c r="AF71" s="65">
        <v>11.5</v>
      </c>
      <c r="AG71" s="55">
        <v>14.1</v>
      </c>
      <c r="AH71" s="47">
        <f t="shared" si="2"/>
        <v>11.5</v>
      </c>
      <c r="AI71" s="48">
        <f t="shared" si="3"/>
        <v>11.5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</v>
      </c>
      <c r="C72" s="65">
        <v>5</v>
      </c>
      <c r="D72" s="65">
        <v>5</v>
      </c>
      <c r="E72" s="65">
        <v>5</v>
      </c>
      <c r="F72" s="65">
        <v>5</v>
      </c>
      <c r="G72" s="65">
        <v>5</v>
      </c>
      <c r="H72" s="65">
        <v>5</v>
      </c>
      <c r="I72" s="65">
        <v>5</v>
      </c>
      <c r="J72" s="65">
        <v>5</v>
      </c>
      <c r="K72" s="65">
        <v>5</v>
      </c>
      <c r="L72" s="65">
        <v>5</v>
      </c>
      <c r="M72" s="65">
        <v>5</v>
      </c>
      <c r="N72" s="65">
        <v>5</v>
      </c>
      <c r="O72" s="65">
        <v>5</v>
      </c>
      <c r="P72" s="65">
        <v>5</v>
      </c>
      <c r="Q72" s="65">
        <v>5</v>
      </c>
      <c r="R72" s="65">
        <v>5</v>
      </c>
      <c r="S72" s="65">
        <v>5</v>
      </c>
      <c r="T72" s="65">
        <v>5</v>
      </c>
      <c r="U72" s="65">
        <v>5</v>
      </c>
      <c r="V72" s="65">
        <v>5</v>
      </c>
      <c r="W72" s="65">
        <v>5</v>
      </c>
      <c r="X72" s="65">
        <v>5</v>
      </c>
      <c r="Y72" s="65">
        <v>5</v>
      </c>
      <c r="Z72" s="65">
        <v>5</v>
      </c>
      <c r="AA72" s="65">
        <v>5</v>
      </c>
      <c r="AB72" s="65">
        <v>5</v>
      </c>
      <c r="AC72" s="65">
        <v>5</v>
      </c>
      <c r="AD72" s="65">
        <v>5</v>
      </c>
      <c r="AE72" s="65">
        <v>5</v>
      </c>
      <c r="AF72" s="65">
        <v>5</v>
      </c>
      <c r="AG72" s="55">
        <v>14</v>
      </c>
      <c r="AH72" s="47">
        <f t="shared" si="2"/>
        <v>5</v>
      </c>
      <c r="AI72" s="48">
        <f t="shared" si="3"/>
        <v>5</v>
      </c>
      <c r="AK72" s="50"/>
    </row>
    <row r="73" spans="1:41" x14ac:dyDescent="0.25">
      <c r="A73" s="54" t="s">
        <v>73</v>
      </c>
      <c r="B73" s="65">
        <v>6</v>
      </c>
      <c r="C73" s="65">
        <v>6</v>
      </c>
      <c r="D73" s="65">
        <v>6</v>
      </c>
      <c r="E73" s="65">
        <v>6</v>
      </c>
      <c r="F73" s="65">
        <v>6</v>
      </c>
      <c r="G73" s="65">
        <v>6</v>
      </c>
      <c r="H73" s="65">
        <v>6</v>
      </c>
      <c r="I73" s="65">
        <v>6</v>
      </c>
      <c r="J73" s="65">
        <v>6</v>
      </c>
      <c r="K73" s="65">
        <v>6</v>
      </c>
      <c r="L73" s="65">
        <v>6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6</v>
      </c>
      <c r="V73" s="65">
        <v>6</v>
      </c>
      <c r="W73" s="65">
        <v>6</v>
      </c>
      <c r="X73" s="65">
        <v>6</v>
      </c>
      <c r="Y73" s="65">
        <v>6</v>
      </c>
      <c r="Z73" s="65">
        <v>6</v>
      </c>
      <c r="AA73" s="65">
        <v>6</v>
      </c>
      <c r="AB73" s="65">
        <v>6</v>
      </c>
      <c r="AC73" s="65">
        <v>6</v>
      </c>
      <c r="AD73" s="65">
        <v>6</v>
      </c>
      <c r="AE73" s="65">
        <v>6</v>
      </c>
      <c r="AF73" s="65">
        <v>6</v>
      </c>
      <c r="AG73" s="55">
        <v>10.050000000000001</v>
      </c>
      <c r="AH73" s="47">
        <f t="shared" si="2"/>
        <v>6</v>
      </c>
      <c r="AI73" s="48">
        <f t="shared" si="3"/>
        <v>6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AG250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8">SUM(B63:B75)</f>
        <v>101.04</v>
      </c>
      <c r="C76" s="60">
        <f t="shared" si="18"/>
        <v>101.04</v>
      </c>
      <c r="D76" s="60">
        <f t="shared" si="18"/>
        <v>101.04</v>
      </c>
      <c r="E76" s="60">
        <f t="shared" si="18"/>
        <v>111.04</v>
      </c>
      <c r="F76" s="60">
        <f t="shared" si="18"/>
        <v>110.94000000000001</v>
      </c>
      <c r="G76" s="60">
        <f t="shared" si="18"/>
        <v>182.84</v>
      </c>
      <c r="H76" s="60">
        <f t="shared" si="18"/>
        <v>244.34</v>
      </c>
      <c r="I76" s="60">
        <f t="shared" si="18"/>
        <v>255.74</v>
      </c>
      <c r="J76" s="60">
        <f t="shared" si="18"/>
        <v>315.74000000000007</v>
      </c>
      <c r="K76" s="60">
        <f t="shared" si="18"/>
        <v>415.04</v>
      </c>
      <c r="L76" s="60">
        <f t="shared" si="18"/>
        <v>414.44</v>
      </c>
      <c r="M76" s="60">
        <f t="shared" si="18"/>
        <v>415.24</v>
      </c>
      <c r="N76" s="60">
        <f t="shared" si="18"/>
        <v>401.64</v>
      </c>
      <c r="O76" s="60">
        <f t="shared" si="18"/>
        <v>398.34</v>
      </c>
      <c r="P76" s="60">
        <f t="shared" si="18"/>
        <v>392.94</v>
      </c>
      <c r="Q76" s="60">
        <f t="shared" si="18"/>
        <v>338.14</v>
      </c>
      <c r="R76" s="60">
        <f t="shared" si="18"/>
        <v>282.04000000000002</v>
      </c>
      <c r="S76" s="60">
        <f t="shared" ref="S76:T76" si="19">SUM(S63:S75)</f>
        <v>285.74</v>
      </c>
      <c r="T76" s="60">
        <f t="shared" si="19"/>
        <v>280.44</v>
      </c>
      <c r="U76" s="60">
        <f t="shared" ref="U76:V76" si="20">SUM(U63:U75)</f>
        <v>266.74</v>
      </c>
      <c r="V76" s="60">
        <f t="shared" si="20"/>
        <v>309.04000000000008</v>
      </c>
      <c r="W76" s="60">
        <f t="shared" ref="W76:X76" si="21">SUM(W63:W75)</f>
        <v>405.14000000000004</v>
      </c>
      <c r="X76" s="60">
        <f t="shared" si="21"/>
        <v>405.14000000000004</v>
      </c>
      <c r="Y76" s="60">
        <f t="shared" ref="Y76:Z76" si="22">SUM(Y63:Y75)</f>
        <v>405.14000000000004</v>
      </c>
      <c r="Z76" s="60">
        <f t="shared" si="22"/>
        <v>400.04</v>
      </c>
      <c r="AA76" s="60">
        <f t="shared" ref="AA76" si="23">SUM(AA63:AA75)</f>
        <v>374.24</v>
      </c>
      <c r="AB76" s="60">
        <f t="shared" si="18"/>
        <v>304.04000000000002</v>
      </c>
      <c r="AC76" s="60">
        <f t="shared" si="18"/>
        <v>280.04000000000002</v>
      </c>
      <c r="AD76" s="60">
        <f t="shared" si="18"/>
        <v>271.14000000000004</v>
      </c>
      <c r="AE76" s="60">
        <f t="shared" si="18"/>
        <v>149.23999999999998</v>
      </c>
      <c r="AF76" s="60">
        <f t="shared" si="18"/>
        <v>111.14</v>
      </c>
      <c r="AG76" s="61">
        <f t="shared" si="18"/>
        <v>489.91</v>
      </c>
      <c r="AH76" s="47">
        <f t="shared" si="2"/>
        <v>415.24</v>
      </c>
      <c r="AI76" s="48">
        <f t="shared" si="3"/>
        <v>101.04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>
        <v>0</v>
      </c>
      <c r="K77" s="45">
        <v>0</v>
      </c>
      <c r="L77" s="45">
        <v>0</v>
      </c>
      <c r="M77" s="45">
        <v>30.2</v>
      </c>
      <c r="N77" s="45">
        <v>10</v>
      </c>
      <c r="O77" s="45"/>
      <c r="P77" s="45">
        <v>10</v>
      </c>
      <c r="Q77" s="45"/>
      <c r="R77" s="45"/>
      <c r="S77" s="45"/>
      <c r="T77" s="45"/>
      <c r="U77" s="45">
        <v>29.2</v>
      </c>
      <c r="V77" s="45">
        <v>58.6</v>
      </c>
      <c r="W77" s="45">
        <v>58.6</v>
      </c>
      <c r="X77" s="45">
        <v>58.6</v>
      </c>
      <c r="Y77" s="45">
        <v>58.6</v>
      </c>
      <c r="Z77" s="45">
        <v>58.6</v>
      </c>
      <c r="AA77" s="45">
        <v>58.6</v>
      </c>
      <c r="AB77" s="45">
        <v>58.6</v>
      </c>
      <c r="AC77" s="45">
        <v>58.6</v>
      </c>
      <c r="AD77" s="45">
        <v>58.6</v>
      </c>
      <c r="AE77" s="45">
        <v>0</v>
      </c>
      <c r="AF77" s="45">
        <v>0</v>
      </c>
      <c r="AG77" s="52">
        <v>60</v>
      </c>
      <c r="AH77" s="47">
        <f t="shared" si="2"/>
        <v>58.6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>
        <v>6</v>
      </c>
      <c r="K78" s="65">
        <v>0</v>
      </c>
      <c r="L78" s="65">
        <v>0</v>
      </c>
      <c r="M78" s="65">
        <v>13.9</v>
      </c>
      <c r="N78" s="65">
        <v>3.9</v>
      </c>
      <c r="O78" s="65"/>
      <c r="P78" s="65">
        <v>9.9</v>
      </c>
      <c r="Q78" s="65"/>
      <c r="R78" s="65"/>
      <c r="S78" s="65"/>
      <c r="T78" s="65"/>
      <c r="U78" s="65">
        <v>5.8</v>
      </c>
      <c r="V78" s="65">
        <v>27.5</v>
      </c>
      <c r="W78" s="65">
        <v>27.5</v>
      </c>
      <c r="X78" s="65">
        <v>27.5</v>
      </c>
      <c r="Y78" s="65">
        <v>27.5</v>
      </c>
      <c r="Z78" s="65">
        <v>27.5</v>
      </c>
      <c r="AA78" s="65">
        <v>27.5</v>
      </c>
      <c r="AB78" s="65">
        <v>27.5</v>
      </c>
      <c r="AC78" s="65">
        <v>27.5</v>
      </c>
      <c r="AD78" s="65">
        <v>27.5</v>
      </c>
      <c r="AE78" s="65">
        <v>0</v>
      </c>
      <c r="AF78" s="65">
        <v>0</v>
      </c>
      <c r="AG78" s="55">
        <v>32</v>
      </c>
      <c r="AH78" s="47">
        <f t="shared" si="2"/>
        <v>27.5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>
        <v>2.2000000000000002</v>
      </c>
      <c r="K79" s="67">
        <v>0</v>
      </c>
      <c r="L79" s="67">
        <v>0</v>
      </c>
      <c r="M79" s="67">
        <v>5.0999999999999996</v>
      </c>
      <c r="N79" s="67">
        <v>1.4</v>
      </c>
      <c r="O79" s="67"/>
      <c r="P79" s="67">
        <v>3.6</v>
      </c>
      <c r="Q79" s="67"/>
      <c r="R79" s="67"/>
      <c r="S79" s="67"/>
      <c r="T79" s="67"/>
      <c r="U79" s="67">
        <v>2.1</v>
      </c>
      <c r="V79" s="67">
        <v>10</v>
      </c>
      <c r="W79" s="67">
        <v>10</v>
      </c>
      <c r="X79" s="67">
        <v>10</v>
      </c>
      <c r="Y79" s="67">
        <v>10</v>
      </c>
      <c r="Z79" s="67">
        <v>10</v>
      </c>
      <c r="AA79" s="67">
        <v>10</v>
      </c>
      <c r="AB79" s="67">
        <v>10</v>
      </c>
      <c r="AC79" s="67">
        <v>10</v>
      </c>
      <c r="AD79" s="67">
        <v>10</v>
      </c>
      <c r="AE79" s="67">
        <v>0</v>
      </c>
      <c r="AF79" s="67">
        <v>0</v>
      </c>
      <c r="AG79" s="68">
        <v>14</v>
      </c>
      <c r="AH79" s="47">
        <f t="shared" si="2"/>
        <v>10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4">B77+B78+B79</f>
        <v>0</v>
      </c>
      <c r="C80" s="60">
        <f t="shared" si="24"/>
        <v>0</v>
      </c>
      <c r="D80" s="60">
        <f t="shared" si="24"/>
        <v>0</v>
      </c>
      <c r="E80" s="60">
        <f t="shared" si="24"/>
        <v>0</v>
      </c>
      <c r="F80" s="60">
        <f t="shared" si="24"/>
        <v>0</v>
      </c>
      <c r="G80" s="60">
        <f t="shared" si="24"/>
        <v>0</v>
      </c>
      <c r="H80" s="60">
        <f t="shared" si="24"/>
        <v>0</v>
      </c>
      <c r="I80" s="60">
        <f t="shared" si="24"/>
        <v>0</v>
      </c>
      <c r="J80" s="60">
        <f t="shared" si="24"/>
        <v>8.1999999999999993</v>
      </c>
      <c r="K80" s="60">
        <f t="shared" si="24"/>
        <v>0</v>
      </c>
      <c r="L80" s="60">
        <f t="shared" si="24"/>
        <v>0</v>
      </c>
      <c r="M80" s="60">
        <f t="shared" si="24"/>
        <v>49.2</v>
      </c>
      <c r="N80" s="60">
        <f t="shared" si="24"/>
        <v>15.3</v>
      </c>
      <c r="O80" s="60">
        <f t="shared" si="24"/>
        <v>0</v>
      </c>
      <c r="P80" s="60">
        <f t="shared" si="24"/>
        <v>23.5</v>
      </c>
      <c r="Q80" s="60">
        <f t="shared" si="24"/>
        <v>0</v>
      </c>
      <c r="R80" s="60">
        <f t="shared" si="24"/>
        <v>0</v>
      </c>
      <c r="S80" s="60">
        <f t="shared" ref="S80:T80" si="25">S77+S78+S79</f>
        <v>0</v>
      </c>
      <c r="T80" s="60">
        <f t="shared" si="25"/>
        <v>0</v>
      </c>
      <c r="U80" s="60">
        <f t="shared" ref="U80:V80" si="26">U77+U78+U79</f>
        <v>37.1</v>
      </c>
      <c r="V80" s="60">
        <f t="shared" si="26"/>
        <v>96.1</v>
      </c>
      <c r="W80" s="60">
        <f t="shared" ref="W80:X80" si="27">W77+W78+W79</f>
        <v>96.1</v>
      </c>
      <c r="X80" s="60">
        <f t="shared" si="27"/>
        <v>96.1</v>
      </c>
      <c r="Y80" s="60">
        <f t="shared" ref="Y80:Z80" si="28">Y77+Y78+Y79</f>
        <v>96.1</v>
      </c>
      <c r="Z80" s="60">
        <f t="shared" si="28"/>
        <v>96.1</v>
      </c>
      <c r="AA80" s="60">
        <f t="shared" ref="AA80" si="29">AA77+AA78+AA79</f>
        <v>96.1</v>
      </c>
      <c r="AB80" s="60">
        <f t="shared" si="24"/>
        <v>96.1</v>
      </c>
      <c r="AC80" s="60">
        <f t="shared" si="24"/>
        <v>96.1</v>
      </c>
      <c r="AD80" s="60">
        <f t="shared" si="24"/>
        <v>96.1</v>
      </c>
      <c r="AE80" s="60">
        <f t="shared" si="24"/>
        <v>0</v>
      </c>
      <c r="AF80" s="60">
        <f t="shared" si="24"/>
        <v>0</v>
      </c>
      <c r="AG80" s="61">
        <f>SUM(AG77:AG79)</f>
        <v>106</v>
      </c>
      <c r="AH80" s="47">
        <f t="shared" si="2"/>
        <v>96.1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62</v>
      </c>
      <c r="C81" s="45">
        <v>68</v>
      </c>
      <c r="D81" s="45">
        <v>60</v>
      </c>
      <c r="E81" s="45">
        <v>57</v>
      </c>
      <c r="F81" s="45">
        <v>61.5</v>
      </c>
      <c r="G81" s="45">
        <v>60</v>
      </c>
      <c r="H81" s="45">
        <v>52</v>
      </c>
      <c r="I81" s="45">
        <v>45</v>
      </c>
      <c r="J81" s="45">
        <v>50</v>
      </c>
      <c r="K81" s="45">
        <v>55</v>
      </c>
      <c r="L81" s="45">
        <v>56.2</v>
      </c>
      <c r="M81" s="45">
        <v>45.6</v>
      </c>
      <c r="N81" s="45">
        <v>19</v>
      </c>
      <c r="O81" s="45">
        <v>19</v>
      </c>
      <c r="P81" s="45">
        <v>48</v>
      </c>
      <c r="Q81" s="45">
        <v>45.8</v>
      </c>
      <c r="R81" s="45">
        <v>50</v>
      </c>
      <c r="S81" s="45">
        <v>53.8</v>
      </c>
      <c r="T81" s="45">
        <v>57.5</v>
      </c>
      <c r="U81" s="45">
        <v>61.9</v>
      </c>
      <c r="V81" s="45">
        <v>57.7</v>
      </c>
      <c r="W81" s="45">
        <v>34</v>
      </c>
      <c r="X81" s="45">
        <v>52.9</v>
      </c>
      <c r="Y81" s="45">
        <v>52</v>
      </c>
      <c r="Z81" s="45">
        <v>40</v>
      </c>
      <c r="AA81" s="45">
        <v>37.4</v>
      </c>
      <c r="AB81" s="45">
        <v>40.9</v>
      </c>
      <c r="AC81" s="45">
        <v>48</v>
      </c>
      <c r="AD81" s="45">
        <v>49</v>
      </c>
      <c r="AE81" s="45">
        <v>39</v>
      </c>
      <c r="AF81" s="45">
        <v>39</v>
      </c>
      <c r="AG81" s="52"/>
      <c r="AH81" s="47">
        <f t="shared" si="2"/>
        <v>68</v>
      </c>
      <c r="AI81" s="48">
        <f t="shared" si="3"/>
        <v>19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154</v>
      </c>
      <c r="C83" s="65">
        <v>141</v>
      </c>
      <c r="D83" s="65">
        <v>129</v>
      </c>
      <c r="E83" s="65">
        <v>125.8</v>
      </c>
      <c r="F83" s="65">
        <v>145</v>
      </c>
      <c r="G83" s="65">
        <v>137.69999999999999</v>
      </c>
      <c r="H83" s="65">
        <v>193</v>
      </c>
      <c r="I83" s="65">
        <v>252</v>
      </c>
      <c r="J83" s="65">
        <v>258</v>
      </c>
      <c r="K83" s="65">
        <v>280</v>
      </c>
      <c r="L83" s="65">
        <v>155</v>
      </c>
      <c r="M83" s="65">
        <v>91.3</v>
      </c>
      <c r="N83" s="65">
        <v>2</v>
      </c>
      <c r="O83" s="65">
        <v>15</v>
      </c>
      <c r="P83" s="65">
        <v>313</v>
      </c>
      <c r="Q83" s="65">
        <v>328.2</v>
      </c>
      <c r="R83" s="65">
        <v>339.4</v>
      </c>
      <c r="S83" s="65">
        <v>332.9</v>
      </c>
      <c r="T83" s="65">
        <v>316.89999999999998</v>
      </c>
      <c r="U83" s="65">
        <v>333.8</v>
      </c>
      <c r="V83" s="65">
        <v>11</v>
      </c>
      <c r="W83" s="65">
        <v>36.700000000000003</v>
      </c>
      <c r="X83" s="65">
        <v>86.5</v>
      </c>
      <c r="Y83" s="65">
        <v>56.2</v>
      </c>
      <c r="Z83" s="65">
        <v>68.8</v>
      </c>
      <c r="AA83" s="65">
        <v>219.8</v>
      </c>
      <c r="AB83" s="65">
        <v>235</v>
      </c>
      <c r="AC83" s="65">
        <v>244</v>
      </c>
      <c r="AD83" s="65">
        <v>242</v>
      </c>
      <c r="AE83" s="65">
        <v>227</v>
      </c>
      <c r="AF83" s="65">
        <v>211</v>
      </c>
      <c r="AG83" s="75"/>
      <c r="AH83" s="47">
        <f t="shared" si="2"/>
        <v>339.4</v>
      </c>
      <c r="AI83" s="48">
        <f t="shared" si="3"/>
        <v>2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0">MAX(B85:AF85)</f>
        <v>0</v>
      </c>
      <c r="AI85" s="48">
        <f t="shared" ref="AI85:AI130" si="31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0"/>
        <v>0</v>
      </c>
      <c r="AI86" s="48">
        <f t="shared" si="31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0"/>
        <v>0</v>
      </c>
      <c r="AI87" s="48">
        <f t="shared" si="31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0"/>
        <v>0</v>
      </c>
      <c r="AI88" s="48">
        <f t="shared" si="31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0"/>
        <v>0</v>
      </c>
      <c r="AI89" s="48">
        <f t="shared" si="31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0"/>
        <v>0</v>
      </c>
      <c r="AI90" s="48">
        <f t="shared" si="31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0"/>
        <v>0</v>
      </c>
      <c r="AI91" s="48">
        <f t="shared" si="31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32">SUMIF(B81:B91,"&gt;0")</f>
        <v>216</v>
      </c>
      <c r="C92" s="60">
        <f t="shared" si="32"/>
        <v>209</v>
      </c>
      <c r="D92" s="60">
        <f t="shared" si="32"/>
        <v>189</v>
      </c>
      <c r="E92" s="60">
        <f t="shared" si="32"/>
        <v>182.8</v>
      </c>
      <c r="F92" s="60">
        <f t="shared" si="32"/>
        <v>206.5</v>
      </c>
      <c r="G92" s="60">
        <f t="shared" si="32"/>
        <v>197.7</v>
      </c>
      <c r="H92" s="60">
        <f t="shared" si="32"/>
        <v>245</v>
      </c>
      <c r="I92" s="60">
        <f t="shared" si="32"/>
        <v>297</v>
      </c>
      <c r="J92" s="60">
        <f t="shared" si="32"/>
        <v>308</v>
      </c>
      <c r="K92" s="60">
        <f t="shared" si="32"/>
        <v>335</v>
      </c>
      <c r="L92" s="60">
        <f t="shared" si="32"/>
        <v>211.2</v>
      </c>
      <c r="M92" s="60">
        <f t="shared" si="32"/>
        <v>136.9</v>
      </c>
      <c r="N92" s="60">
        <f t="shared" si="32"/>
        <v>21</v>
      </c>
      <c r="O92" s="60">
        <f t="shared" si="32"/>
        <v>34</v>
      </c>
      <c r="P92" s="60">
        <f t="shared" si="32"/>
        <v>361</v>
      </c>
      <c r="Q92" s="60">
        <f t="shared" si="32"/>
        <v>374</v>
      </c>
      <c r="R92" s="60">
        <f t="shared" si="32"/>
        <v>389.4</v>
      </c>
      <c r="S92" s="60">
        <f t="shared" ref="S92:T92" si="33">SUMIF(S81:S91,"&gt;0")</f>
        <v>386.7</v>
      </c>
      <c r="T92" s="60">
        <f t="shared" si="33"/>
        <v>374.4</v>
      </c>
      <c r="U92" s="60">
        <f t="shared" ref="U92:V92" si="34">SUMIF(U81:U91,"&gt;0")</f>
        <v>395.7</v>
      </c>
      <c r="V92" s="60">
        <f t="shared" si="34"/>
        <v>68.7</v>
      </c>
      <c r="W92" s="60">
        <f t="shared" ref="W92:X92" si="35">SUMIF(W81:W91,"&gt;0")</f>
        <v>70.7</v>
      </c>
      <c r="X92" s="60">
        <f t="shared" si="35"/>
        <v>139.4</v>
      </c>
      <c r="Y92" s="60">
        <f t="shared" ref="Y92:Z92" si="36">SUMIF(Y81:Y91,"&gt;0")</f>
        <v>108.2</v>
      </c>
      <c r="Z92" s="60">
        <f t="shared" si="36"/>
        <v>108.8</v>
      </c>
      <c r="AA92" s="60">
        <f t="shared" ref="AA92" si="37">SUMIF(AA81:AA91,"&gt;0")</f>
        <v>257.2</v>
      </c>
      <c r="AB92" s="60">
        <f t="shared" si="32"/>
        <v>275.89999999999998</v>
      </c>
      <c r="AC92" s="60">
        <f t="shared" si="32"/>
        <v>292</v>
      </c>
      <c r="AD92" s="60">
        <f t="shared" si="32"/>
        <v>291</v>
      </c>
      <c r="AE92" s="60">
        <f t="shared" si="32"/>
        <v>266</v>
      </c>
      <c r="AF92" s="60">
        <f t="shared" si="32"/>
        <v>250</v>
      </c>
      <c r="AG92" s="88">
        <f>SUM(AG81:AG91)</f>
        <v>0</v>
      </c>
      <c r="AH92" s="47">
        <f t="shared" si="30"/>
        <v>395.7</v>
      </c>
      <c r="AI92" s="48">
        <f t="shared" si="31"/>
        <v>21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0"/>
        <v>0</v>
      </c>
      <c r="AI93" s="48">
        <f t="shared" si="31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0"/>
        <v>0</v>
      </c>
      <c r="AI94" s="48">
        <f t="shared" si="31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0"/>
        <v>0</v>
      </c>
      <c r="AI95" s="48">
        <f t="shared" si="31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0"/>
        <v>0</v>
      </c>
      <c r="AI96" s="48">
        <f t="shared" si="31"/>
        <v>0</v>
      </c>
    </row>
    <row r="97" spans="1:37" ht="15.75" thickBot="1" x14ac:dyDescent="0.3">
      <c r="A97" s="74" t="s">
        <v>100</v>
      </c>
      <c r="B97" s="95">
        <f t="shared" ref="B97:AG97" si="38">B58+B62+B80+B76+B92+B96</f>
        <v>990.44</v>
      </c>
      <c r="C97" s="95">
        <f t="shared" si="38"/>
        <v>983.44</v>
      </c>
      <c r="D97" s="95">
        <f t="shared" si="38"/>
        <v>963.44</v>
      </c>
      <c r="E97" s="95">
        <f t="shared" si="38"/>
        <v>967.24</v>
      </c>
      <c r="F97" s="95">
        <f t="shared" si="38"/>
        <v>990.84000000000015</v>
      </c>
      <c r="G97" s="95">
        <f t="shared" si="38"/>
        <v>1057.1400000000001</v>
      </c>
      <c r="H97" s="95">
        <f t="shared" si="38"/>
        <v>1165.94</v>
      </c>
      <c r="I97" s="95">
        <f t="shared" si="38"/>
        <v>1229.3400000000001</v>
      </c>
      <c r="J97" s="95">
        <f t="shared" si="38"/>
        <v>1353.5400000000002</v>
      </c>
      <c r="K97" s="95">
        <f t="shared" si="38"/>
        <v>1505.64</v>
      </c>
      <c r="L97" s="95">
        <f t="shared" si="38"/>
        <v>1685.24</v>
      </c>
      <c r="M97" s="95">
        <f t="shared" si="38"/>
        <v>1679.7400000000002</v>
      </c>
      <c r="N97" s="95">
        <f t="shared" si="38"/>
        <v>1568.54</v>
      </c>
      <c r="O97" s="95">
        <f t="shared" si="38"/>
        <v>1496.9399999999998</v>
      </c>
      <c r="P97" s="95">
        <f t="shared" si="38"/>
        <v>1472.04</v>
      </c>
      <c r="Q97" s="95">
        <f t="shared" si="38"/>
        <v>1385.04</v>
      </c>
      <c r="R97" s="95">
        <f t="shared" si="38"/>
        <v>1341.04</v>
      </c>
      <c r="S97" s="95">
        <f t="shared" ref="S97:T97" si="39">S58+S62+S80+S76+S92+S96</f>
        <v>1342.04</v>
      </c>
      <c r="T97" s="95">
        <f t="shared" si="39"/>
        <v>1324.44</v>
      </c>
      <c r="U97" s="95">
        <f t="shared" ref="U97:V97" si="40">U58+U62+U80+U76+U92+U96</f>
        <v>1369.14</v>
      </c>
      <c r="V97" s="95">
        <f t="shared" si="40"/>
        <v>1143.4400000000003</v>
      </c>
      <c r="W97" s="95">
        <f t="shared" ref="W97:X97" si="41">W58+W62+W80+W76+W92+W96</f>
        <v>1551.54</v>
      </c>
      <c r="X97" s="95">
        <f t="shared" si="41"/>
        <v>1678.14</v>
      </c>
      <c r="Y97" s="95">
        <f t="shared" ref="Y97:Z97" si="42">Y58+Y62+Y80+Y76+Y92+Y96</f>
        <v>1676.94</v>
      </c>
      <c r="Z97" s="95">
        <f t="shared" si="42"/>
        <v>1582.4399999999998</v>
      </c>
      <c r="AA97" s="95">
        <f t="shared" ref="AA97" si="43">AA58+AA62+AA80+AA76+AA92+AA96</f>
        <v>1525.0400000000002</v>
      </c>
      <c r="AB97" s="95">
        <f t="shared" si="38"/>
        <v>1442.54</v>
      </c>
      <c r="AC97" s="95">
        <f t="shared" si="38"/>
        <v>1414.64</v>
      </c>
      <c r="AD97" s="95">
        <f t="shared" si="38"/>
        <v>1364.7400000000002</v>
      </c>
      <c r="AE97" s="95">
        <f t="shared" si="38"/>
        <v>1101.6400000000001</v>
      </c>
      <c r="AF97" s="95">
        <f t="shared" si="38"/>
        <v>1047.54</v>
      </c>
      <c r="AG97" s="61">
        <f t="shared" si="38"/>
        <v>2231.81</v>
      </c>
      <c r="AH97" s="47">
        <f t="shared" si="30"/>
        <v>1685.24</v>
      </c>
      <c r="AI97" s="48">
        <f t="shared" si="31"/>
        <v>963.44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50</v>
      </c>
      <c r="M98" s="97"/>
      <c r="N98" s="97">
        <v>60</v>
      </c>
      <c r="O98" s="97">
        <v>60</v>
      </c>
      <c r="P98" s="97"/>
      <c r="Q98" s="97"/>
      <c r="R98" s="97"/>
      <c r="S98" s="97"/>
      <c r="T98" s="97"/>
      <c r="U98" s="97"/>
      <c r="V98" s="97"/>
      <c r="W98" s="97"/>
      <c r="X98" s="97">
        <v>120</v>
      </c>
      <c r="Y98" s="97">
        <v>120</v>
      </c>
      <c r="Z98" s="97">
        <v>120</v>
      </c>
      <c r="AA98" s="97">
        <v>120</v>
      </c>
      <c r="AB98" s="97">
        <v>80</v>
      </c>
      <c r="AC98" s="97"/>
      <c r="AD98" s="97"/>
      <c r="AE98" s="97"/>
      <c r="AF98" s="97"/>
      <c r="AG98" s="88"/>
      <c r="AH98" s="47">
        <f t="shared" si="30"/>
        <v>120</v>
      </c>
      <c r="AI98" s="48">
        <f t="shared" si="31"/>
        <v>50</v>
      </c>
    </row>
    <row r="99" spans="1:37" ht="15.75" thickBot="1" x14ac:dyDescent="0.3">
      <c r="A99" s="74" t="s">
        <v>102</v>
      </c>
      <c r="B99" s="95">
        <f t="shared" ref="B99:AF99" si="44">B97+B98</f>
        <v>990.44</v>
      </c>
      <c r="C99" s="95">
        <f t="shared" si="44"/>
        <v>983.44</v>
      </c>
      <c r="D99" s="95">
        <f t="shared" si="44"/>
        <v>963.44</v>
      </c>
      <c r="E99" s="95">
        <f t="shared" si="44"/>
        <v>967.24</v>
      </c>
      <c r="F99" s="95">
        <f t="shared" si="44"/>
        <v>990.84000000000015</v>
      </c>
      <c r="G99" s="95">
        <f t="shared" si="44"/>
        <v>1057.1400000000001</v>
      </c>
      <c r="H99" s="95">
        <f t="shared" si="44"/>
        <v>1165.94</v>
      </c>
      <c r="I99" s="95">
        <f t="shared" si="44"/>
        <v>1229.3400000000001</v>
      </c>
      <c r="J99" s="95">
        <f t="shared" si="44"/>
        <v>1353.5400000000002</v>
      </c>
      <c r="K99" s="95">
        <f t="shared" si="44"/>
        <v>1505.64</v>
      </c>
      <c r="L99" s="95">
        <f t="shared" si="44"/>
        <v>1735.24</v>
      </c>
      <c r="M99" s="95">
        <f t="shared" si="44"/>
        <v>1679.7400000000002</v>
      </c>
      <c r="N99" s="95">
        <f t="shared" si="44"/>
        <v>1628.54</v>
      </c>
      <c r="O99" s="95">
        <f t="shared" si="44"/>
        <v>1556.9399999999998</v>
      </c>
      <c r="P99" s="95">
        <f t="shared" si="44"/>
        <v>1472.04</v>
      </c>
      <c r="Q99" s="95">
        <f t="shared" si="44"/>
        <v>1385.04</v>
      </c>
      <c r="R99" s="95">
        <f t="shared" si="44"/>
        <v>1341.04</v>
      </c>
      <c r="S99" s="95">
        <f t="shared" ref="S99:T99" si="45">S97+S98</f>
        <v>1342.04</v>
      </c>
      <c r="T99" s="95">
        <f t="shared" si="45"/>
        <v>1324.44</v>
      </c>
      <c r="U99" s="95">
        <f t="shared" ref="U99:V99" si="46">U97+U98</f>
        <v>1369.14</v>
      </c>
      <c r="V99" s="95">
        <f t="shared" si="46"/>
        <v>1143.4400000000003</v>
      </c>
      <c r="W99" s="95">
        <f t="shared" ref="W99:X99" si="47">W97+W98</f>
        <v>1551.54</v>
      </c>
      <c r="X99" s="95">
        <f t="shared" si="47"/>
        <v>1798.14</v>
      </c>
      <c r="Y99" s="95">
        <f t="shared" ref="Y99:Z99" si="48">Y97+Y98</f>
        <v>1796.94</v>
      </c>
      <c r="Z99" s="95">
        <f t="shared" si="48"/>
        <v>1702.4399999999998</v>
      </c>
      <c r="AA99" s="95">
        <f t="shared" ref="AA99" si="49">AA97+AA98</f>
        <v>1645.0400000000002</v>
      </c>
      <c r="AB99" s="95">
        <f t="shared" si="44"/>
        <v>1522.54</v>
      </c>
      <c r="AC99" s="95">
        <f t="shared" si="44"/>
        <v>1414.64</v>
      </c>
      <c r="AD99" s="95">
        <f t="shared" si="44"/>
        <v>1364.7400000000002</v>
      </c>
      <c r="AE99" s="95">
        <f t="shared" si="44"/>
        <v>1101.6400000000001</v>
      </c>
      <c r="AF99" s="95">
        <f t="shared" si="44"/>
        <v>1047.54</v>
      </c>
      <c r="AG99" s="88">
        <f>AG96+AG92+AG80+AG76+AG58+AG98</f>
        <v>1693.71</v>
      </c>
      <c r="AH99" s="47">
        <f t="shared" si="30"/>
        <v>1798.14</v>
      </c>
      <c r="AI99" s="48">
        <f t="shared" si="31"/>
        <v>963.44</v>
      </c>
    </row>
    <row r="100" spans="1:37" ht="15.75" thickBot="1" x14ac:dyDescent="0.3">
      <c r="A100" s="74" t="s">
        <v>103</v>
      </c>
      <c r="B100" s="95">
        <f t="shared" ref="B100:M100" si="50">B99-(B107)</f>
        <v>990.44</v>
      </c>
      <c r="C100" s="95">
        <f t="shared" si="50"/>
        <v>983.44</v>
      </c>
      <c r="D100" s="95">
        <f t="shared" si="50"/>
        <v>963.44</v>
      </c>
      <c r="E100" s="95">
        <f t="shared" si="50"/>
        <v>967.24</v>
      </c>
      <c r="F100" s="95">
        <f t="shared" si="50"/>
        <v>990.84000000000015</v>
      </c>
      <c r="G100" s="95">
        <f t="shared" si="50"/>
        <v>1057.1400000000001</v>
      </c>
      <c r="H100" s="95">
        <f t="shared" si="50"/>
        <v>1165.94</v>
      </c>
      <c r="I100" s="95">
        <f t="shared" si="50"/>
        <v>1229.3400000000001</v>
      </c>
      <c r="J100" s="95">
        <f t="shared" si="50"/>
        <v>1353.5400000000002</v>
      </c>
      <c r="K100" s="95">
        <f t="shared" si="50"/>
        <v>1505.64</v>
      </c>
      <c r="L100" s="95">
        <f t="shared" si="50"/>
        <v>1735.24</v>
      </c>
      <c r="M100" s="95">
        <f t="shared" si="50"/>
        <v>1679.7400000000002</v>
      </c>
      <c r="N100" s="95">
        <f>N99-(N107)</f>
        <v>1628.54</v>
      </c>
      <c r="O100" s="95">
        <f t="shared" ref="O100:AF100" si="51">O99-(O107)</f>
        <v>1556.9399999999998</v>
      </c>
      <c r="P100" s="95">
        <f t="shared" si="51"/>
        <v>1472.04</v>
      </c>
      <c r="Q100" s="95">
        <f t="shared" si="51"/>
        <v>1385.04</v>
      </c>
      <c r="R100" s="95">
        <f t="shared" si="51"/>
        <v>1341.04</v>
      </c>
      <c r="S100" s="95">
        <f t="shared" ref="S100:T100" si="52">S99-(S107)</f>
        <v>1341.04</v>
      </c>
      <c r="T100" s="95">
        <f t="shared" si="52"/>
        <v>1322.44</v>
      </c>
      <c r="U100" s="95">
        <f t="shared" ref="U100:V100" si="53">U99-(U107)</f>
        <v>1366.14</v>
      </c>
      <c r="V100" s="95">
        <f t="shared" si="53"/>
        <v>1139.4400000000003</v>
      </c>
      <c r="W100" s="95">
        <f t="shared" ref="W100:X100" si="54">W99-(W107)</f>
        <v>1546.54</v>
      </c>
      <c r="X100" s="95">
        <f t="shared" si="54"/>
        <v>1790.14</v>
      </c>
      <c r="Y100" s="95">
        <f t="shared" ref="Y100:Z100" si="55">Y99-(Y107)</f>
        <v>1787.94</v>
      </c>
      <c r="Z100" s="95">
        <f t="shared" si="55"/>
        <v>1692.4399999999998</v>
      </c>
      <c r="AA100" s="95">
        <f t="shared" ref="AA100" si="56">AA99-(AA107)</f>
        <v>1634.0400000000002</v>
      </c>
      <c r="AB100" s="95">
        <f t="shared" si="51"/>
        <v>1522.54</v>
      </c>
      <c r="AC100" s="95">
        <f t="shared" si="51"/>
        <v>1414.64</v>
      </c>
      <c r="AD100" s="95">
        <f t="shared" si="51"/>
        <v>1364.7400000000002</v>
      </c>
      <c r="AE100" s="95">
        <f t="shared" si="51"/>
        <v>1101.6400000000001</v>
      </c>
      <c r="AF100" s="95">
        <f t="shared" si="51"/>
        <v>1047.54</v>
      </c>
      <c r="AG100" s="88"/>
      <c r="AH100" s="47">
        <f t="shared" si="30"/>
        <v>1790.14</v>
      </c>
      <c r="AI100" s="48">
        <f t="shared" si="31"/>
        <v>963.44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57">IF(C84&lt;0,C84*-1,0)</f>
        <v>0</v>
      </c>
      <c r="D101" s="76">
        <f t="shared" si="57"/>
        <v>0</v>
      </c>
      <c r="E101" s="76">
        <f t="shared" si="57"/>
        <v>0</v>
      </c>
      <c r="F101" s="76">
        <f t="shared" si="57"/>
        <v>0</v>
      </c>
      <c r="G101" s="76">
        <f t="shared" si="57"/>
        <v>0</v>
      </c>
      <c r="H101" s="76">
        <f t="shared" si="57"/>
        <v>0</v>
      </c>
      <c r="I101" s="76">
        <f t="shared" si="57"/>
        <v>0</v>
      </c>
      <c r="J101" s="76">
        <f t="shared" si="57"/>
        <v>0</v>
      </c>
      <c r="K101" s="76">
        <f t="shared" si="57"/>
        <v>0</v>
      </c>
      <c r="L101" s="76">
        <f t="shared" si="57"/>
        <v>0</v>
      </c>
      <c r="M101" s="76">
        <f t="shared" si="57"/>
        <v>0</v>
      </c>
      <c r="N101" s="76">
        <f t="shared" si="57"/>
        <v>0</v>
      </c>
      <c r="O101" s="76">
        <f t="shared" si="57"/>
        <v>0</v>
      </c>
      <c r="P101" s="76">
        <f t="shared" si="57"/>
        <v>0</v>
      </c>
      <c r="Q101" s="76">
        <f t="shared" si="57"/>
        <v>0</v>
      </c>
      <c r="R101" s="76">
        <f t="shared" si="57"/>
        <v>0</v>
      </c>
      <c r="S101" s="76">
        <f t="shared" ref="S101:T101" si="58">IF(S84&lt;0,S84*-1,0)</f>
        <v>0</v>
      </c>
      <c r="T101" s="76">
        <f t="shared" si="58"/>
        <v>0</v>
      </c>
      <c r="U101" s="76">
        <f t="shared" ref="U101:V101" si="59">IF(U84&lt;0,U84*-1,0)</f>
        <v>0</v>
      </c>
      <c r="V101" s="76">
        <f t="shared" si="59"/>
        <v>0</v>
      </c>
      <c r="W101" s="76">
        <f t="shared" ref="W101:X101" si="60">IF(W84&lt;0,W84*-1,0)</f>
        <v>0</v>
      </c>
      <c r="X101" s="76">
        <f t="shared" si="60"/>
        <v>0</v>
      </c>
      <c r="Y101" s="76">
        <f t="shared" ref="Y101:Z101" si="61">IF(Y84&lt;0,Y84*-1,0)</f>
        <v>0</v>
      </c>
      <c r="Z101" s="76">
        <f t="shared" si="61"/>
        <v>0</v>
      </c>
      <c r="AA101" s="76">
        <f t="shared" ref="AA101" si="62">IF(AA84&lt;0,AA84*-1,0)</f>
        <v>0</v>
      </c>
      <c r="AB101" s="76">
        <f t="shared" si="57"/>
        <v>0</v>
      </c>
      <c r="AC101" s="76">
        <f t="shared" si="57"/>
        <v>0</v>
      </c>
      <c r="AD101" s="76">
        <f t="shared" si="57"/>
        <v>0</v>
      </c>
      <c r="AE101" s="76">
        <f t="shared" si="57"/>
        <v>0</v>
      </c>
      <c r="AF101" s="76">
        <f t="shared" si="57"/>
        <v>0</v>
      </c>
      <c r="AG101" s="52"/>
      <c r="AH101" s="47">
        <f t="shared" si="30"/>
        <v>0</v>
      </c>
      <c r="AI101" s="48">
        <f t="shared" si="31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63">IF(C82&lt;0,C82*-1,0)</f>
        <v>0</v>
      </c>
      <c r="D102" s="76">
        <f t="shared" si="63"/>
        <v>0</v>
      </c>
      <c r="E102" s="76">
        <f t="shared" si="63"/>
        <v>0</v>
      </c>
      <c r="F102" s="76">
        <f t="shared" si="63"/>
        <v>0</v>
      </c>
      <c r="G102" s="76">
        <f t="shared" si="63"/>
        <v>0</v>
      </c>
      <c r="H102" s="76">
        <f t="shared" si="63"/>
        <v>0</v>
      </c>
      <c r="I102" s="76">
        <f t="shared" si="63"/>
        <v>0</v>
      </c>
      <c r="J102" s="76">
        <f t="shared" si="63"/>
        <v>0</v>
      </c>
      <c r="K102" s="76">
        <f t="shared" si="63"/>
        <v>0</v>
      </c>
      <c r="L102" s="76">
        <f t="shared" si="63"/>
        <v>0</v>
      </c>
      <c r="M102" s="76">
        <f t="shared" si="63"/>
        <v>0</v>
      </c>
      <c r="N102" s="76">
        <f t="shared" si="63"/>
        <v>0</v>
      </c>
      <c r="O102" s="76">
        <f t="shared" si="63"/>
        <v>0</v>
      </c>
      <c r="P102" s="76">
        <f t="shared" si="63"/>
        <v>0</v>
      </c>
      <c r="Q102" s="76">
        <f t="shared" si="63"/>
        <v>0</v>
      </c>
      <c r="R102" s="76">
        <f t="shared" si="63"/>
        <v>0</v>
      </c>
      <c r="S102" s="76">
        <f t="shared" ref="S102:T102" si="64">IF(S82&lt;0,S82*-1,0)</f>
        <v>0</v>
      </c>
      <c r="T102" s="76">
        <f t="shared" si="64"/>
        <v>0</v>
      </c>
      <c r="U102" s="76">
        <f t="shared" ref="U102:V102" si="65">IF(U82&lt;0,U82*-1,0)</f>
        <v>0</v>
      </c>
      <c r="V102" s="76">
        <f t="shared" si="65"/>
        <v>0</v>
      </c>
      <c r="W102" s="76">
        <f t="shared" ref="W102:X102" si="66">IF(W82&lt;0,W82*-1,0)</f>
        <v>0</v>
      </c>
      <c r="X102" s="76">
        <f t="shared" si="66"/>
        <v>0</v>
      </c>
      <c r="Y102" s="76">
        <f t="shared" ref="Y102:Z102" si="67">IF(Y82&lt;0,Y82*-1,0)</f>
        <v>0</v>
      </c>
      <c r="Z102" s="76">
        <f t="shared" si="67"/>
        <v>0</v>
      </c>
      <c r="AA102" s="76">
        <f t="shared" ref="AA102" si="68">IF(AA82&lt;0,AA82*-1,0)</f>
        <v>0</v>
      </c>
      <c r="AB102" s="76">
        <f t="shared" si="63"/>
        <v>0</v>
      </c>
      <c r="AC102" s="76">
        <f t="shared" si="63"/>
        <v>0</v>
      </c>
      <c r="AD102" s="76">
        <f t="shared" si="63"/>
        <v>0</v>
      </c>
      <c r="AE102" s="76">
        <f t="shared" si="63"/>
        <v>0</v>
      </c>
      <c r="AF102" s="76">
        <f t="shared" si="63"/>
        <v>0</v>
      </c>
      <c r="AG102" s="55"/>
      <c r="AH102" s="47">
        <f t="shared" si="30"/>
        <v>0</v>
      </c>
      <c r="AI102" s="48">
        <f t="shared" si="31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69">IF(C85&lt;0,C85*-1,0)</f>
        <v>0</v>
      </c>
      <c r="D103" s="76">
        <f t="shared" si="69"/>
        <v>0</v>
      </c>
      <c r="E103" s="76">
        <f t="shared" si="69"/>
        <v>0</v>
      </c>
      <c r="F103" s="76">
        <f t="shared" si="69"/>
        <v>0</v>
      </c>
      <c r="G103" s="76">
        <f t="shared" si="69"/>
        <v>0</v>
      </c>
      <c r="H103" s="76">
        <f t="shared" si="69"/>
        <v>0</v>
      </c>
      <c r="I103" s="76">
        <f t="shared" si="69"/>
        <v>0</v>
      </c>
      <c r="J103" s="76">
        <f t="shared" si="69"/>
        <v>0</v>
      </c>
      <c r="K103" s="76">
        <f t="shared" si="69"/>
        <v>0</v>
      </c>
      <c r="L103" s="76">
        <f t="shared" si="69"/>
        <v>0</v>
      </c>
      <c r="M103" s="76">
        <f t="shared" si="69"/>
        <v>0</v>
      </c>
      <c r="N103" s="76">
        <f t="shared" si="69"/>
        <v>0</v>
      </c>
      <c r="O103" s="76">
        <f t="shared" si="69"/>
        <v>0</v>
      </c>
      <c r="P103" s="76">
        <f t="shared" si="69"/>
        <v>0</v>
      </c>
      <c r="Q103" s="76">
        <f t="shared" si="69"/>
        <v>0</v>
      </c>
      <c r="R103" s="76">
        <f t="shared" si="69"/>
        <v>0</v>
      </c>
      <c r="S103" s="76">
        <f t="shared" ref="S103:T103" si="70">IF(S85&lt;0,S85*-1,0)</f>
        <v>0</v>
      </c>
      <c r="T103" s="76">
        <f t="shared" si="70"/>
        <v>0</v>
      </c>
      <c r="U103" s="76">
        <f t="shared" ref="U103:V103" si="71">IF(U85&lt;0,U85*-1,0)</f>
        <v>0</v>
      </c>
      <c r="V103" s="76">
        <f t="shared" si="71"/>
        <v>0</v>
      </c>
      <c r="W103" s="76">
        <f t="shared" ref="W103:X103" si="72">IF(W85&lt;0,W85*-1,0)</f>
        <v>0</v>
      </c>
      <c r="X103" s="76">
        <f t="shared" si="72"/>
        <v>0</v>
      </c>
      <c r="Y103" s="76">
        <f t="shared" ref="Y103:Z103" si="73">IF(Y85&lt;0,Y85*-1,0)</f>
        <v>0</v>
      </c>
      <c r="Z103" s="76">
        <f t="shared" si="73"/>
        <v>0</v>
      </c>
      <c r="AA103" s="76">
        <f t="shared" ref="AA103" si="74">IF(AA85&lt;0,AA85*-1,0)</f>
        <v>0</v>
      </c>
      <c r="AB103" s="76">
        <f t="shared" si="69"/>
        <v>0</v>
      </c>
      <c r="AC103" s="76">
        <f t="shared" si="69"/>
        <v>0</v>
      </c>
      <c r="AD103" s="76">
        <f t="shared" si="69"/>
        <v>0</v>
      </c>
      <c r="AE103" s="76">
        <f t="shared" si="69"/>
        <v>0</v>
      </c>
      <c r="AF103" s="76">
        <f t="shared" si="69"/>
        <v>0</v>
      </c>
      <c r="AG103" s="98"/>
      <c r="AH103" s="47">
        <f t="shared" si="30"/>
        <v>0</v>
      </c>
      <c r="AI103" s="48">
        <f t="shared" si="31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75">IF(C83&lt;0,C83*-1,0)</f>
        <v>0</v>
      </c>
      <c r="D104" s="76">
        <f t="shared" si="75"/>
        <v>0</v>
      </c>
      <c r="E104" s="76">
        <f t="shared" si="75"/>
        <v>0</v>
      </c>
      <c r="F104" s="76">
        <f t="shared" si="75"/>
        <v>0</v>
      </c>
      <c r="G104" s="76">
        <f t="shared" si="75"/>
        <v>0</v>
      </c>
      <c r="H104" s="76">
        <f t="shared" si="75"/>
        <v>0</v>
      </c>
      <c r="I104" s="76">
        <f t="shared" si="75"/>
        <v>0</v>
      </c>
      <c r="J104" s="76">
        <f t="shared" si="75"/>
        <v>0</v>
      </c>
      <c r="K104" s="76">
        <f t="shared" si="75"/>
        <v>0</v>
      </c>
      <c r="L104" s="76">
        <f t="shared" si="75"/>
        <v>0</v>
      </c>
      <c r="M104" s="76">
        <f t="shared" si="75"/>
        <v>0</v>
      </c>
      <c r="N104" s="76">
        <f t="shared" si="75"/>
        <v>0</v>
      </c>
      <c r="O104" s="76">
        <f t="shared" si="75"/>
        <v>0</v>
      </c>
      <c r="P104" s="76">
        <f t="shared" si="75"/>
        <v>0</v>
      </c>
      <c r="Q104" s="76">
        <f t="shared" si="75"/>
        <v>0</v>
      </c>
      <c r="R104" s="76">
        <f t="shared" si="75"/>
        <v>0</v>
      </c>
      <c r="S104" s="76">
        <f t="shared" ref="S104:T104" si="76">IF(S83&lt;0,S83*-1,0)</f>
        <v>0</v>
      </c>
      <c r="T104" s="76">
        <f t="shared" si="76"/>
        <v>0</v>
      </c>
      <c r="U104" s="76">
        <f t="shared" ref="U104:V104" si="77">IF(U83&lt;0,U83*-1,0)</f>
        <v>0</v>
      </c>
      <c r="V104" s="76">
        <f t="shared" si="77"/>
        <v>0</v>
      </c>
      <c r="W104" s="76">
        <f t="shared" ref="W104:X104" si="78">IF(W83&lt;0,W83*-1,0)</f>
        <v>0</v>
      </c>
      <c r="X104" s="76">
        <f t="shared" si="78"/>
        <v>0</v>
      </c>
      <c r="Y104" s="76">
        <f t="shared" ref="Y104:Z104" si="79">IF(Y83&lt;0,Y83*-1,0)</f>
        <v>0</v>
      </c>
      <c r="Z104" s="76">
        <f t="shared" si="79"/>
        <v>0</v>
      </c>
      <c r="AA104" s="76">
        <f t="shared" ref="AA104" si="80">IF(AA83&lt;0,AA83*-1,0)</f>
        <v>0</v>
      </c>
      <c r="AB104" s="76">
        <f t="shared" si="75"/>
        <v>0</v>
      </c>
      <c r="AC104" s="76">
        <f t="shared" si="75"/>
        <v>0</v>
      </c>
      <c r="AD104" s="76">
        <f t="shared" si="75"/>
        <v>0</v>
      </c>
      <c r="AE104" s="76">
        <f t="shared" si="75"/>
        <v>0</v>
      </c>
      <c r="AF104" s="76">
        <f t="shared" si="75"/>
        <v>0</v>
      </c>
      <c r="AG104" s="98"/>
      <c r="AH104" s="47">
        <f t="shared" si="30"/>
        <v>0</v>
      </c>
      <c r="AI104" s="48">
        <f t="shared" si="31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81">IF(C81&lt;0,C81*-1,0)</f>
        <v>0</v>
      </c>
      <c r="D105" s="76">
        <f t="shared" si="81"/>
        <v>0</v>
      </c>
      <c r="E105" s="76">
        <f t="shared" si="81"/>
        <v>0</v>
      </c>
      <c r="F105" s="76">
        <f t="shared" si="81"/>
        <v>0</v>
      </c>
      <c r="G105" s="76">
        <f t="shared" si="81"/>
        <v>0</v>
      </c>
      <c r="H105" s="76">
        <f t="shared" si="81"/>
        <v>0</v>
      </c>
      <c r="I105" s="76">
        <f t="shared" si="81"/>
        <v>0</v>
      </c>
      <c r="J105" s="76">
        <f t="shared" si="81"/>
        <v>0</v>
      </c>
      <c r="K105" s="76">
        <f t="shared" si="81"/>
        <v>0</v>
      </c>
      <c r="L105" s="76">
        <f t="shared" si="81"/>
        <v>0</v>
      </c>
      <c r="M105" s="76">
        <f t="shared" si="81"/>
        <v>0</v>
      </c>
      <c r="N105" s="76">
        <f t="shared" si="81"/>
        <v>0</v>
      </c>
      <c r="O105" s="76">
        <f t="shared" si="81"/>
        <v>0</v>
      </c>
      <c r="P105" s="76">
        <f t="shared" si="81"/>
        <v>0</v>
      </c>
      <c r="Q105" s="76">
        <f t="shared" si="81"/>
        <v>0</v>
      </c>
      <c r="R105" s="76">
        <f t="shared" si="81"/>
        <v>0</v>
      </c>
      <c r="S105" s="76">
        <f t="shared" ref="S105:T105" si="82">IF(S81&lt;0,S81*-1,0)</f>
        <v>0</v>
      </c>
      <c r="T105" s="76">
        <f t="shared" si="82"/>
        <v>0</v>
      </c>
      <c r="U105" s="76">
        <f t="shared" ref="U105:V105" si="83">IF(U81&lt;0,U81*-1,0)</f>
        <v>0</v>
      </c>
      <c r="V105" s="76">
        <f t="shared" si="83"/>
        <v>0</v>
      </c>
      <c r="W105" s="76">
        <f t="shared" ref="W105:X105" si="84">IF(W81&lt;0,W81*-1,0)</f>
        <v>0</v>
      </c>
      <c r="X105" s="76">
        <f t="shared" si="84"/>
        <v>0</v>
      </c>
      <c r="Y105" s="76">
        <f t="shared" ref="Y105:Z105" si="85">IF(Y81&lt;0,Y81*-1,0)</f>
        <v>0</v>
      </c>
      <c r="Z105" s="76">
        <f t="shared" si="85"/>
        <v>0</v>
      </c>
      <c r="AA105" s="76">
        <f t="shared" ref="AA105" si="86">IF(AA81&lt;0,AA81*-1,0)</f>
        <v>0</v>
      </c>
      <c r="AB105" s="76">
        <f t="shared" si="81"/>
        <v>0</v>
      </c>
      <c r="AC105" s="76">
        <f t="shared" si="81"/>
        <v>0</v>
      </c>
      <c r="AD105" s="76">
        <f t="shared" si="81"/>
        <v>0</v>
      </c>
      <c r="AE105" s="76">
        <f t="shared" si="81"/>
        <v>0</v>
      </c>
      <c r="AF105" s="76">
        <f t="shared" si="81"/>
        <v>0</v>
      </c>
      <c r="AG105" s="98"/>
      <c r="AH105" s="47">
        <f t="shared" si="30"/>
        <v>0</v>
      </c>
      <c r="AI105" s="48">
        <f t="shared" si="31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3</v>
      </c>
      <c r="V106" s="94">
        <v>4</v>
      </c>
      <c r="W106" s="94">
        <v>5</v>
      </c>
      <c r="X106" s="94">
        <v>8</v>
      </c>
      <c r="Y106" s="94">
        <v>9</v>
      </c>
      <c r="Z106" s="94">
        <v>10</v>
      </c>
      <c r="AA106" s="94">
        <v>11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0"/>
        <v>11</v>
      </c>
      <c r="AI106" s="48">
        <f t="shared" si="31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87">SUM(C101:C106)</f>
        <v>0</v>
      </c>
      <c r="D107" s="60">
        <f t="shared" si="87"/>
        <v>0</v>
      </c>
      <c r="E107" s="60">
        <f t="shared" si="87"/>
        <v>0</v>
      </c>
      <c r="F107" s="60">
        <f t="shared" si="87"/>
        <v>0</v>
      </c>
      <c r="G107" s="60">
        <f t="shared" si="87"/>
        <v>0</v>
      </c>
      <c r="H107" s="60">
        <f t="shared" si="87"/>
        <v>0</v>
      </c>
      <c r="I107" s="60">
        <f t="shared" si="87"/>
        <v>0</v>
      </c>
      <c r="J107" s="60">
        <f t="shared" si="87"/>
        <v>0</v>
      </c>
      <c r="K107" s="60">
        <f t="shared" si="87"/>
        <v>0</v>
      </c>
      <c r="L107" s="60">
        <f t="shared" si="87"/>
        <v>0</v>
      </c>
      <c r="M107" s="60">
        <f t="shared" si="87"/>
        <v>0</v>
      </c>
      <c r="N107" s="60">
        <f t="shared" si="87"/>
        <v>0</v>
      </c>
      <c r="O107" s="60">
        <f t="shared" si="87"/>
        <v>0</v>
      </c>
      <c r="P107" s="60">
        <f t="shared" si="87"/>
        <v>0</v>
      </c>
      <c r="Q107" s="60">
        <f t="shared" si="87"/>
        <v>0</v>
      </c>
      <c r="R107" s="60">
        <f t="shared" si="87"/>
        <v>0</v>
      </c>
      <c r="S107" s="60">
        <f t="shared" ref="S107:T107" si="88">SUM(S101:S106)</f>
        <v>1</v>
      </c>
      <c r="T107" s="60">
        <f t="shared" si="88"/>
        <v>2</v>
      </c>
      <c r="U107" s="60">
        <f t="shared" ref="U107:V107" si="89">SUM(U101:U106)</f>
        <v>3</v>
      </c>
      <c r="V107" s="60">
        <f t="shared" si="89"/>
        <v>4</v>
      </c>
      <c r="W107" s="60">
        <f t="shared" ref="W107:X107" si="90">SUM(W101:W106)</f>
        <v>5</v>
      </c>
      <c r="X107" s="60">
        <f t="shared" si="90"/>
        <v>8</v>
      </c>
      <c r="Y107" s="60">
        <f t="shared" ref="Y107:Z107" si="91">SUM(Y101:Y106)</f>
        <v>9</v>
      </c>
      <c r="Z107" s="60">
        <f t="shared" si="91"/>
        <v>10</v>
      </c>
      <c r="AA107" s="60">
        <f t="shared" ref="AA107" si="92">SUM(AA101:AA106)</f>
        <v>11</v>
      </c>
      <c r="AB107" s="60">
        <f t="shared" si="87"/>
        <v>0</v>
      </c>
      <c r="AC107" s="60">
        <f t="shared" si="87"/>
        <v>0</v>
      </c>
      <c r="AD107" s="60">
        <f t="shared" si="87"/>
        <v>0</v>
      </c>
      <c r="AE107" s="60">
        <f t="shared" si="87"/>
        <v>0</v>
      </c>
      <c r="AF107" s="60">
        <f t="shared" si="87"/>
        <v>0</v>
      </c>
      <c r="AG107" s="88"/>
      <c r="AH107" s="47">
        <f t="shared" si="30"/>
        <v>11</v>
      </c>
      <c r="AI107" s="48">
        <f t="shared" si="31"/>
        <v>0</v>
      </c>
      <c r="AK107" s="50"/>
    </row>
    <row r="108" spans="1:37" ht="15.75" thickBot="1" x14ac:dyDescent="0.3">
      <c r="A108" s="74" t="s">
        <v>108</v>
      </c>
      <c r="B108" s="60">
        <f t="shared" ref="B108:AF108" si="93">B92-B107</f>
        <v>216</v>
      </c>
      <c r="C108" s="60">
        <f t="shared" si="93"/>
        <v>209</v>
      </c>
      <c r="D108" s="60">
        <f t="shared" si="93"/>
        <v>189</v>
      </c>
      <c r="E108" s="60">
        <f t="shared" si="93"/>
        <v>182.8</v>
      </c>
      <c r="F108" s="60">
        <f t="shared" si="93"/>
        <v>206.5</v>
      </c>
      <c r="G108" s="60">
        <f t="shared" si="93"/>
        <v>197.7</v>
      </c>
      <c r="H108" s="60">
        <f t="shared" si="93"/>
        <v>245</v>
      </c>
      <c r="I108" s="60">
        <f t="shared" si="93"/>
        <v>297</v>
      </c>
      <c r="J108" s="60">
        <f t="shared" si="93"/>
        <v>308</v>
      </c>
      <c r="K108" s="60">
        <f t="shared" si="93"/>
        <v>335</v>
      </c>
      <c r="L108" s="60">
        <f t="shared" si="93"/>
        <v>211.2</v>
      </c>
      <c r="M108" s="60">
        <f t="shared" si="93"/>
        <v>136.9</v>
      </c>
      <c r="N108" s="60">
        <f t="shared" si="93"/>
        <v>21</v>
      </c>
      <c r="O108" s="60">
        <f t="shared" si="93"/>
        <v>34</v>
      </c>
      <c r="P108" s="60">
        <f t="shared" si="93"/>
        <v>361</v>
      </c>
      <c r="Q108" s="60">
        <f t="shared" si="93"/>
        <v>374</v>
      </c>
      <c r="R108" s="60">
        <f t="shared" si="93"/>
        <v>389.4</v>
      </c>
      <c r="S108" s="60">
        <f t="shared" ref="S108:T108" si="94">S92-S107</f>
        <v>385.7</v>
      </c>
      <c r="T108" s="60">
        <f t="shared" si="94"/>
        <v>372.4</v>
      </c>
      <c r="U108" s="60">
        <f t="shared" ref="U108:V108" si="95">U92-U107</f>
        <v>392.7</v>
      </c>
      <c r="V108" s="60">
        <f t="shared" si="95"/>
        <v>64.7</v>
      </c>
      <c r="W108" s="60">
        <f t="shared" ref="W108:X108" si="96">W92-W107</f>
        <v>65.7</v>
      </c>
      <c r="X108" s="60">
        <f t="shared" si="96"/>
        <v>131.4</v>
      </c>
      <c r="Y108" s="60">
        <f t="shared" ref="Y108:Z108" si="97">Y92-Y107</f>
        <v>99.2</v>
      </c>
      <c r="Z108" s="60">
        <f t="shared" si="97"/>
        <v>98.8</v>
      </c>
      <c r="AA108" s="60">
        <f t="shared" ref="AA108" si="98">AA92-AA107</f>
        <v>246.2</v>
      </c>
      <c r="AB108" s="60">
        <f t="shared" si="93"/>
        <v>275.89999999999998</v>
      </c>
      <c r="AC108" s="60">
        <f t="shared" si="93"/>
        <v>292</v>
      </c>
      <c r="AD108" s="60">
        <f t="shared" si="93"/>
        <v>291</v>
      </c>
      <c r="AE108" s="60">
        <f t="shared" si="93"/>
        <v>266</v>
      </c>
      <c r="AF108" s="60">
        <f t="shared" si="93"/>
        <v>250</v>
      </c>
      <c r="AG108" s="88"/>
      <c r="AH108" s="47">
        <f t="shared" si="30"/>
        <v>392.7</v>
      </c>
      <c r="AI108" s="48">
        <f t="shared" si="31"/>
        <v>21</v>
      </c>
    </row>
    <row r="109" spans="1:37" x14ac:dyDescent="0.25">
      <c r="A109" s="100" t="s">
        <v>109</v>
      </c>
      <c r="B109" s="101">
        <v>50.002000000000002</v>
      </c>
      <c r="C109" s="101">
        <v>49.972999999999999</v>
      </c>
      <c r="D109" s="101">
        <v>49.951999999999998</v>
      </c>
      <c r="E109" s="101">
        <v>49.978999999999999</v>
      </c>
      <c r="F109" s="101">
        <v>50.055999999999997</v>
      </c>
      <c r="G109" s="101">
        <v>49.99</v>
      </c>
      <c r="H109" s="101">
        <v>49.951999999999998</v>
      </c>
      <c r="I109" s="101">
        <v>49.9666</v>
      </c>
      <c r="J109" s="101">
        <v>50.072000000000003</v>
      </c>
      <c r="K109" s="101">
        <v>50.132100000000001</v>
      </c>
      <c r="L109" s="101">
        <v>49.9</v>
      </c>
      <c r="M109" s="101">
        <v>49.987000000000002</v>
      </c>
      <c r="N109" s="101">
        <v>49.704000000000001</v>
      </c>
      <c r="O109" s="101">
        <v>49.91</v>
      </c>
      <c r="P109" s="101">
        <v>49.91</v>
      </c>
      <c r="Q109" s="101">
        <v>50.018000000000001</v>
      </c>
      <c r="R109" s="101">
        <v>49.933</v>
      </c>
      <c r="S109" s="101">
        <v>49.933</v>
      </c>
      <c r="T109" s="101">
        <v>49.99</v>
      </c>
      <c r="U109" s="101">
        <v>49.93</v>
      </c>
      <c r="V109" s="101">
        <v>49.83</v>
      </c>
      <c r="W109" s="101">
        <v>49.94</v>
      </c>
      <c r="X109" s="101">
        <v>49.91</v>
      </c>
      <c r="Y109" s="101">
        <v>49.95</v>
      </c>
      <c r="Z109" s="101">
        <v>50</v>
      </c>
      <c r="AA109" s="101">
        <v>49.85</v>
      </c>
      <c r="AB109" s="101">
        <v>49.929000000000002</v>
      </c>
      <c r="AC109" s="101">
        <v>49.929000000000002</v>
      </c>
      <c r="AD109" s="101">
        <v>50.014000000000003</v>
      </c>
      <c r="AE109" s="101">
        <v>49.936</v>
      </c>
      <c r="AF109" s="101">
        <v>49.999000000000002</v>
      </c>
      <c r="AG109" s="102"/>
      <c r="AH109" s="47">
        <f t="shared" si="30"/>
        <v>50.132100000000001</v>
      </c>
      <c r="AI109" s="48">
        <f t="shared" si="31"/>
        <v>49.704000000000001</v>
      </c>
    </row>
    <row r="110" spans="1:37" x14ac:dyDescent="0.25">
      <c r="A110" s="103" t="s">
        <v>110</v>
      </c>
      <c r="B110" s="65">
        <v>132.30000000000001</v>
      </c>
      <c r="C110" s="65">
        <v>132.30000000000001</v>
      </c>
      <c r="D110" s="65">
        <v>132.4</v>
      </c>
      <c r="E110" s="65">
        <v>132.4</v>
      </c>
      <c r="F110" s="65">
        <v>132.4</v>
      </c>
      <c r="G110" s="65">
        <v>132</v>
      </c>
      <c r="H110" s="65">
        <v>131</v>
      </c>
      <c r="I110" s="65">
        <v>131</v>
      </c>
      <c r="J110" s="65">
        <v>128</v>
      </c>
      <c r="K110" s="65">
        <v>126.5</v>
      </c>
      <c r="L110" s="65">
        <v>124</v>
      </c>
      <c r="M110" s="65">
        <v>124.8</v>
      </c>
      <c r="N110" s="65">
        <v>123.7</v>
      </c>
      <c r="O110" s="65">
        <v>123.6</v>
      </c>
      <c r="P110" s="65">
        <v>123.6</v>
      </c>
      <c r="Q110" s="65">
        <v>125.8</v>
      </c>
      <c r="R110" s="65">
        <v>125.5</v>
      </c>
      <c r="S110" s="65">
        <v>125.5</v>
      </c>
      <c r="T110" s="65">
        <v>126.3</v>
      </c>
      <c r="U110" s="65">
        <v>125.7</v>
      </c>
      <c r="V110" s="65">
        <v>128.6</v>
      </c>
      <c r="W110" s="65">
        <v>129</v>
      </c>
      <c r="X110" s="65">
        <v>127.7</v>
      </c>
      <c r="Y110" s="65">
        <v>127.9</v>
      </c>
      <c r="Z110" s="65">
        <v>128.6</v>
      </c>
      <c r="AA110" s="65">
        <v>129.4</v>
      </c>
      <c r="AB110" s="65">
        <v>130.5</v>
      </c>
      <c r="AC110" s="65">
        <v>130.5</v>
      </c>
      <c r="AD110" s="65">
        <v>130.9</v>
      </c>
      <c r="AE110" s="65">
        <v>131.19999999999999</v>
      </c>
      <c r="AF110" s="65">
        <v>131.9</v>
      </c>
      <c r="AG110" s="104"/>
      <c r="AH110" s="47">
        <f t="shared" si="30"/>
        <v>132.4</v>
      </c>
      <c r="AI110" s="48">
        <f t="shared" si="31"/>
        <v>123.6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0"/>
        <v>0</v>
      </c>
      <c r="AI111" s="48">
        <f t="shared" si="31"/>
        <v>0</v>
      </c>
    </row>
    <row r="112" spans="1:37" x14ac:dyDescent="0.25">
      <c r="A112" s="103" t="s">
        <v>112</v>
      </c>
      <c r="B112" s="65">
        <v>130.19999999999999</v>
      </c>
      <c r="C112" s="65">
        <v>131.80000000000001</v>
      </c>
      <c r="D112" s="65">
        <v>132.1</v>
      </c>
      <c r="E112" s="65">
        <v>132.1</v>
      </c>
      <c r="F112" s="65">
        <v>132.1</v>
      </c>
      <c r="G112" s="65">
        <v>130</v>
      </c>
      <c r="H112" s="65">
        <v>129</v>
      </c>
      <c r="I112" s="65">
        <v>129</v>
      </c>
      <c r="J112" s="65">
        <v>128</v>
      </c>
      <c r="K112" s="65">
        <v>127</v>
      </c>
      <c r="L112" s="65">
        <v>126</v>
      </c>
      <c r="M112" s="65">
        <v>127.5</v>
      </c>
      <c r="N112" s="65">
        <v>125.1</v>
      </c>
      <c r="O112" s="65">
        <v>126.3</v>
      </c>
      <c r="P112" s="65">
        <v>126.3</v>
      </c>
      <c r="Q112" s="65">
        <v>129.19999999999999</v>
      </c>
      <c r="R112" s="65">
        <v>129.4</v>
      </c>
      <c r="S112" s="65">
        <v>129.4</v>
      </c>
      <c r="T112" s="65">
        <v>131.80000000000001</v>
      </c>
      <c r="U112" s="65">
        <v>129.5</v>
      </c>
      <c r="V112" s="65">
        <v>129.80000000000001</v>
      </c>
      <c r="W112" s="65">
        <v>130.6</v>
      </c>
      <c r="X112" s="65">
        <v>126.2</v>
      </c>
      <c r="Y112" s="65">
        <v>128.4</v>
      </c>
      <c r="Z112" s="65">
        <v>130.6</v>
      </c>
      <c r="AA112" s="65">
        <v>132.19999999999999</v>
      </c>
      <c r="AB112" s="65">
        <v>131.1</v>
      </c>
      <c r="AC112" s="65">
        <v>131.1</v>
      </c>
      <c r="AD112" s="65">
        <v>132.4</v>
      </c>
      <c r="AE112" s="65">
        <v>130.6</v>
      </c>
      <c r="AF112" s="65">
        <v>130.9</v>
      </c>
      <c r="AG112" s="104"/>
      <c r="AH112" s="47">
        <f t="shared" si="30"/>
        <v>132.4</v>
      </c>
      <c r="AI112" s="48">
        <f t="shared" si="31"/>
        <v>125.1</v>
      </c>
    </row>
    <row r="113" spans="1:35" x14ac:dyDescent="0.25">
      <c r="A113" s="105" t="s">
        <v>113</v>
      </c>
      <c r="B113" s="65">
        <v>132.5</v>
      </c>
      <c r="C113" s="65">
        <v>133.9</v>
      </c>
      <c r="D113" s="65">
        <v>132.5</v>
      </c>
      <c r="E113" s="65">
        <v>132.5</v>
      </c>
      <c r="F113" s="65">
        <v>132.5</v>
      </c>
      <c r="G113" s="65">
        <v>131</v>
      </c>
      <c r="H113" s="65">
        <v>129</v>
      </c>
      <c r="I113" s="65">
        <v>129</v>
      </c>
      <c r="J113" s="65">
        <v>131</v>
      </c>
      <c r="K113" s="65">
        <v>129.6</v>
      </c>
      <c r="L113" s="65">
        <v>128</v>
      </c>
      <c r="M113" s="65">
        <v>129.5</v>
      </c>
      <c r="N113" s="65">
        <v>126.4</v>
      </c>
      <c r="O113" s="65">
        <v>128</v>
      </c>
      <c r="P113" s="65">
        <v>128</v>
      </c>
      <c r="Q113" s="65">
        <v>130.69999999999999</v>
      </c>
      <c r="R113" s="65">
        <v>131.80000000000001</v>
      </c>
      <c r="S113" s="65">
        <v>131.80000000000001</v>
      </c>
      <c r="T113" s="65">
        <v>132.5</v>
      </c>
      <c r="U113" s="65">
        <v>130.4</v>
      </c>
      <c r="V113" s="65">
        <v>130.30000000000001</v>
      </c>
      <c r="W113" s="65">
        <v>129.69999999999999</v>
      </c>
      <c r="X113" s="65">
        <v>125.1</v>
      </c>
      <c r="Y113" s="65">
        <v>129</v>
      </c>
      <c r="Z113" s="65">
        <v>131.5</v>
      </c>
      <c r="AA113" s="65">
        <v>133.80000000000001</v>
      </c>
      <c r="AB113" s="65">
        <v>132.4</v>
      </c>
      <c r="AC113" s="65">
        <v>132.4</v>
      </c>
      <c r="AD113" s="65">
        <v>134</v>
      </c>
      <c r="AE113" s="65">
        <v>132</v>
      </c>
      <c r="AF113" s="65">
        <v>131</v>
      </c>
      <c r="AG113" s="104"/>
      <c r="AH113" s="47">
        <f t="shared" si="30"/>
        <v>134</v>
      </c>
      <c r="AI113" s="48">
        <f t="shared" si="31"/>
        <v>125.1</v>
      </c>
    </row>
    <row r="114" spans="1:35" x14ac:dyDescent="0.25">
      <c r="A114" s="105" t="s">
        <v>114</v>
      </c>
      <c r="B114" s="106">
        <v>137</v>
      </c>
      <c r="C114" s="106">
        <v>136.5</v>
      </c>
      <c r="D114" s="106">
        <v>136.80000000000001</v>
      </c>
      <c r="E114" s="106">
        <v>136.80000000000001</v>
      </c>
      <c r="F114" s="106">
        <v>136.80000000000001</v>
      </c>
      <c r="G114" s="106">
        <v>136</v>
      </c>
      <c r="H114" s="106">
        <v>135</v>
      </c>
      <c r="I114" s="106">
        <v>135</v>
      </c>
      <c r="J114" s="106">
        <v>132.6</v>
      </c>
      <c r="K114" s="106">
        <v>134</v>
      </c>
      <c r="L114" s="106">
        <v>135</v>
      </c>
      <c r="M114" s="106">
        <v>132.69999999999999</v>
      </c>
      <c r="N114" s="106">
        <v>133.30000000000001</v>
      </c>
      <c r="O114" s="106">
        <v>133.80000000000001</v>
      </c>
      <c r="P114" s="106">
        <v>133.80000000000001</v>
      </c>
      <c r="Q114" s="106">
        <v>134</v>
      </c>
      <c r="R114" s="106">
        <v>131.19999999999999</v>
      </c>
      <c r="S114" s="106">
        <v>131.19999999999999</v>
      </c>
      <c r="T114" s="106"/>
      <c r="U114" s="106">
        <v>131.9</v>
      </c>
      <c r="V114" s="106">
        <v>134.6</v>
      </c>
      <c r="W114" s="106">
        <v>135</v>
      </c>
      <c r="X114" s="106">
        <v>135</v>
      </c>
      <c r="Y114" s="106">
        <v>135.6</v>
      </c>
      <c r="Z114" s="106">
        <v>136.1</v>
      </c>
      <c r="AA114" s="106">
        <v>136.1</v>
      </c>
      <c r="AB114" s="106">
        <v>136.19999999999999</v>
      </c>
      <c r="AC114" s="106">
        <v>136.19999999999999</v>
      </c>
      <c r="AD114" s="106">
        <v>136.30000000000001</v>
      </c>
      <c r="AE114" s="106">
        <v>137.80000000000001</v>
      </c>
      <c r="AF114" s="106">
        <v>137.4</v>
      </c>
      <c r="AG114" s="107"/>
      <c r="AH114" s="47">
        <f t="shared" si="30"/>
        <v>137.80000000000001</v>
      </c>
      <c r="AI114" s="48">
        <f t="shared" si="31"/>
        <v>131.19999999999999</v>
      </c>
    </row>
    <row r="115" spans="1:35" x14ac:dyDescent="0.25">
      <c r="A115" s="103" t="s">
        <v>115</v>
      </c>
      <c r="B115" s="65">
        <v>132.30000000000001</v>
      </c>
      <c r="C115" s="65">
        <v>131.80000000000001</v>
      </c>
      <c r="D115" s="65">
        <v>132.9</v>
      </c>
      <c r="E115" s="65">
        <v>132.9</v>
      </c>
      <c r="F115" s="65">
        <v>132.9</v>
      </c>
      <c r="G115" s="65">
        <v>131.6</v>
      </c>
      <c r="H115" s="65">
        <v>137</v>
      </c>
      <c r="I115" s="65">
        <v>127</v>
      </c>
      <c r="J115" s="65">
        <v>131</v>
      </c>
      <c r="K115" s="65">
        <v>131</v>
      </c>
      <c r="L115" s="65">
        <v>129</v>
      </c>
      <c r="M115" s="65">
        <v>129.30000000000001</v>
      </c>
      <c r="N115" s="65">
        <v>131.80000000000001</v>
      </c>
      <c r="O115" s="65">
        <v>133.1</v>
      </c>
      <c r="P115" s="65">
        <v>133.1</v>
      </c>
      <c r="Q115" s="65">
        <v>131</v>
      </c>
      <c r="R115" s="65">
        <v>133.6</v>
      </c>
      <c r="S115" s="65">
        <v>133.6</v>
      </c>
      <c r="T115" s="65">
        <v>127.5</v>
      </c>
      <c r="U115" s="65">
        <v>126.6</v>
      </c>
      <c r="V115" s="65">
        <v>128.1</v>
      </c>
      <c r="W115" s="65">
        <v>133.4</v>
      </c>
      <c r="X115" s="65">
        <v>127.3</v>
      </c>
      <c r="Y115" s="65">
        <v>132.5</v>
      </c>
      <c r="Z115" s="65">
        <v>130.69999999999999</v>
      </c>
      <c r="AA115" s="65">
        <v>130.69999999999999</v>
      </c>
      <c r="AB115" s="65">
        <v>135.4</v>
      </c>
      <c r="AC115" s="65">
        <v>135.4</v>
      </c>
      <c r="AD115" s="65">
        <v>130.6</v>
      </c>
      <c r="AE115" s="65">
        <v>132.6</v>
      </c>
      <c r="AF115" s="65">
        <v>133.1</v>
      </c>
      <c r="AG115" s="104"/>
      <c r="AH115" s="47">
        <f t="shared" si="30"/>
        <v>137</v>
      </c>
      <c r="AI115" s="48">
        <f t="shared" si="31"/>
        <v>126.6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0"/>
        <v>0</v>
      </c>
      <c r="AI116" s="48">
        <f t="shared" si="31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0"/>
        <v>0</v>
      </c>
      <c r="AI117" s="48">
        <f t="shared" si="31"/>
        <v>0</v>
      </c>
    </row>
    <row r="118" spans="1:35" ht="15.75" thickBot="1" x14ac:dyDescent="0.3">
      <c r="A118" s="110" t="s">
        <v>118</v>
      </c>
      <c r="B118" s="111">
        <f t="shared" ref="B118:O118" si="99">SUM(B22,B28,B31:B32,B66,B68:B69,B71,B73,B119:B123,B153,B159,B165,B174,B176,B188,B195,B198:B199,B206,B208,B210,B214:B216,B218:B220,B225,B231:B232,B234:B236,B244,B249)</f>
        <v>66.34</v>
      </c>
      <c r="C118" s="111">
        <f t="shared" si="99"/>
        <v>67.84</v>
      </c>
      <c r="D118" s="111">
        <f t="shared" si="99"/>
        <v>68.64</v>
      </c>
      <c r="E118" s="111">
        <f t="shared" si="99"/>
        <v>63.44</v>
      </c>
      <c r="F118" s="111">
        <f t="shared" si="99"/>
        <v>70.339999999999989</v>
      </c>
      <c r="G118" s="111">
        <f t="shared" si="99"/>
        <v>81.739999999999981</v>
      </c>
      <c r="H118" s="111">
        <f t="shared" si="99"/>
        <v>96.539999999999992</v>
      </c>
      <c r="I118" s="111">
        <f t="shared" si="99"/>
        <v>105.23999999999998</v>
      </c>
      <c r="J118" s="111">
        <f t="shared" si="99"/>
        <v>118.24</v>
      </c>
      <c r="K118" s="111">
        <f t="shared" si="99"/>
        <v>155.54</v>
      </c>
      <c r="L118" s="111">
        <f t="shared" si="99"/>
        <v>151.54</v>
      </c>
      <c r="M118" s="111">
        <f t="shared" si="99"/>
        <v>139.04</v>
      </c>
      <c r="N118" s="111">
        <f t="shared" si="99"/>
        <v>149.83999999999997</v>
      </c>
      <c r="O118" s="111">
        <f t="shared" si="99"/>
        <v>155.63999999999999</v>
      </c>
      <c r="P118" s="111">
        <v>42</v>
      </c>
      <c r="Q118" s="111">
        <f t="shared" ref="Q118:AF118" si="100">SUM(Q22,Q28,Q31:Q32,Q66,Q68:Q69,Q71,Q73,Q119:Q123,Q153,Q159,Q165,Q174,Q176,Q188,Q195,Q198:Q199,Q206,Q208,Q210,Q214:Q216,Q218:Q220,Q225,Q231:Q232,Q234:Q236,Q244,Q249)</f>
        <v>165.03999999999996</v>
      </c>
      <c r="R118" s="111">
        <f t="shared" si="100"/>
        <v>150.53999999999996</v>
      </c>
      <c r="S118" s="111">
        <f t="shared" ref="S118:T118" si="101">SUM(S22,S28,S31:S32,S66,S68:S69,S71,S73,S119:S123,S153,S159,S165,S174,S176,S188,S195,S198:S199,S206,S208,S210,S214:S216,S218:S220,S225,S231:S232,S234:S236,S244,S249)</f>
        <v>148.13999999999999</v>
      </c>
      <c r="T118" s="111">
        <f t="shared" si="101"/>
        <v>281.89</v>
      </c>
      <c r="U118" s="111">
        <f t="shared" ref="U118:V118" si="102">SUM(U22,U28,U31:U32,U66,U68:U69,U71,U73,U119:U123,U153,U159,U165,U174,U176,U188,U195,U198:U199,U206,U208,U210,U214:U216,U218:U220,U225,U231:U232,U234:U236,U244,U249)</f>
        <v>188.08999999999997</v>
      </c>
      <c r="V118" s="111">
        <f t="shared" si="102"/>
        <v>167.07999999999998</v>
      </c>
      <c r="W118" s="111">
        <f t="shared" ref="W118:X118" si="103">SUM(W22,W28,W31:W32,W66,W68:W69,W71,W73,W119:W123,W153,W159,W165,W174,W176,W188,W195,W198:W199,W206,W208,W210,W214:W216,W218:W220,W225,W231:W232,W234:W236,W244,W249)</f>
        <v>218.76</v>
      </c>
      <c r="X118" s="111">
        <f t="shared" si="103"/>
        <v>248.09999999999997</v>
      </c>
      <c r="Y118" s="111">
        <f t="shared" ref="Y118:Z118" si="104">SUM(Y22,Y28,Y31:Y32,Y66,Y68:Y69,Y71,Y73,Y119:Y123,Y153,Y159,Y165,Y174,Y176,Y188,Y195,Y198:Y199,Y206,Y208,Y210,Y214:Y216,Y218:Y220,Y225,Y231:Y232,Y234:Y236,Y244,Y249)</f>
        <v>186.45999999999998</v>
      </c>
      <c r="Z118" s="111">
        <f t="shared" si="104"/>
        <v>266.85999999999996</v>
      </c>
      <c r="AA118" s="111">
        <f t="shared" ref="AA118" si="105">SUM(AA22,AA28,AA31:AA32,AA66,AA68:AA69,AA71,AA73,AA119:AA123,AA153,AA159,AA165,AA174,AA176,AA188,AA195,AA198:AA199,AA206,AA208,AA210,AA214:AA216,AA218:AA220,AA225,AA231:AA232,AA234:AA236,AA244,AA249)</f>
        <v>250.2</v>
      </c>
      <c r="AB118" s="111">
        <f t="shared" si="100"/>
        <v>185.44</v>
      </c>
      <c r="AC118" s="111">
        <f t="shared" si="100"/>
        <v>185.44</v>
      </c>
      <c r="AD118" s="111"/>
      <c r="AE118" s="111">
        <f t="shared" si="100"/>
        <v>138.54000000000002</v>
      </c>
      <c r="AF118" s="111">
        <f t="shared" si="100"/>
        <v>116.74000000000001</v>
      </c>
      <c r="AG118" s="112"/>
      <c r="AH118" s="47">
        <f t="shared" si="30"/>
        <v>281.89</v>
      </c>
      <c r="AI118" s="48">
        <f t="shared" si="31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>
        <v>35.200000000000003</v>
      </c>
      <c r="U119" s="113">
        <v>-43.6</v>
      </c>
      <c r="V119" s="113">
        <v>-44.5</v>
      </c>
      <c r="W119" s="113">
        <v>-22</v>
      </c>
      <c r="X119" s="113">
        <v>-32.9</v>
      </c>
      <c r="Y119" s="113">
        <v>-22.2</v>
      </c>
      <c r="Z119" s="113">
        <v>-15.9</v>
      </c>
      <c r="AA119" s="113">
        <v>-16.8</v>
      </c>
      <c r="AB119" s="113"/>
      <c r="AC119" s="113"/>
      <c r="AD119" s="113"/>
      <c r="AE119" s="113"/>
      <c r="AF119" s="113"/>
      <c r="AG119" s="114">
        <v>75</v>
      </c>
      <c r="AH119" s="47">
        <f t="shared" si="30"/>
        <v>35.200000000000003</v>
      </c>
      <c r="AI119" s="48">
        <f t="shared" si="31"/>
        <v>-44.5</v>
      </c>
    </row>
    <row r="120" spans="1:35" x14ac:dyDescent="0.25">
      <c r="A120" s="182" t="s">
        <v>120</v>
      </c>
      <c r="B120" s="115">
        <v>-5.3</v>
      </c>
      <c r="C120" s="115">
        <v>-6.8</v>
      </c>
      <c r="D120" s="115">
        <v>-6</v>
      </c>
      <c r="E120" s="115">
        <v>-6.2</v>
      </c>
      <c r="F120" s="115">
        <v>-7.5</v>
      </c>
      <c r="G120" s="115">
        <v>8.6</v>
      </c>
      <c r="H120" s="115">
        <v>15.4</v>
      </c>
      <c r="I120" s="115">
        <v>12.7</v>
      </c>
      <c r="J120" s="115">
        <v>27</v>
      </c>
      <c r="K120" s="115">
        <v>44</v>
      </c>
      <c r="L120" s="115">
        <v>27</v>
      </c>
      <c r="M120" s="115">
        <v>26.3</v>
      </c>
      <c r="N120" s="115">
        <v>39.9</v>
      </c>
      <c r="O120" s="115">
        <v>46.6</v>
      </c>
      <c r="P120" s="115">
        <v>44.9</v>
      </c>
      <c r="Q120" s="115">
        <v>42.5</v>
      </c>
      <c r="R120" s="115">
        <v>27.6</v>
      </c>
      <c r="S120" s="115">
        <v>28.6</v>
      </c>
      <c r="T120" s="115">
        <v>36.6</v>
      </c>
      <c r="U120" s="115">
        <v>27.8</v>
      </c>
      <c r="V120" s="115">
        <v>32.5</v>
      </c>
      <c r="W120" s="115">
        <v>50.6</v>
      </c>
      <c r="X120" s="115">
        <v>42</v>
      </c>
      <c r="Y120" s="115">
        <v>-44.1</v>
      </c>
      <c r="Z120" s="115">
        <v>48.6</v>
      </c>
      <c r="AA120" s="115">
        <v>47.4</v>
      </c>
      <c r="AB120" s="115">
        <v>31.7</v>
      </c>
      <c r="AC120" s="115">
        <v>31.7</v>
      </c>
      <c r="AD120" s="115">
        <v>30.8</v>
      </c>
      <c r="AE120" s="115">
        <v>1.8</v>
      </c>
      <c r="AF120" s="115">
        <v>-9</v>
      </c>
      <c r="AG120" s="114">
        <v>240</v>
      </c>
      <c r="AH120" s="47">
        <f t="shared" si="30"/>
        <v>50.6</v>
      </c>
      <c r="AI120" s="48">
        <f t="shared" si="31"/>
        <v>-44.1</v>
      </c>
    </row>
    <row r="121" spans="1:35" x14ac:dyDescent="0.25">
      <c r="A121" s="182" t="s">
        <v>121</v>
      </c>
      <c r="B121" s="115">
        <v>-48</v>
      </c>
      <c r="C121" s="115">
        <v>-45</v>
      </c>
      <c r="D121" s="115">
        <v>-45</v>
      </c>
      <c r="E121" s="115">
        <v>-50</v>
      </c>
      <c r="F121" s="115">
        <v>-41.7</v>
      </c>
      <c r="G121" s="115">
        <v>-46.4</v>
      </c>
      <c r="H121" s="115">
        <v>-38.4</v>
      </c>
      <c r="I121" s="115">
        <v>-27</v>
      </c>
      <c r="J121" s="115">
        <v>-28.3</v>
      </c>
      <c r="K121" s="115">
        <v>-8</v>
      </c>
      <c r="L121" s="115">
        <v>5</v>
      </c>
      <c r="M121" s="115">
        <f>-5.2-2.4</f>
        <v>-7.6</v>
      </c>
      <c r="N121" s="115">
        <f>-4-6.8</f>
        <v>-10.8</v>
      </c>
      <c r="O121" s="115">
        <f>-6.7-8.2</f>
        <v>-14.899999999999999</v>
      </c>
      <c r="P121" s="115">
        <v>-13.2</v>
      </c>
      <c r="Q121" s="115">
        <f>-6.4-7.4</f>
        <v>-13.8</v>
      </c>
      <c r="R121" s="115">
        <f>-6.4-7</f>
        <v>-13.4</v>
      </c>
      <c r="S121" s="115">
        <f>-6.4-7</f>
        <v>-13.4</v>
      </c>
      <c r="T121" s="115">
        <v>0</v>
      </c>
      <c r="U121" s="115">
        <v>-7</v>
      </c>
      <c r="V121" s="115">
        <v>-32</v>
      </c>
      <c r="W121" s="115">
        <v>-16</v>
      </c>
      <c r="X121" s="115">
        <v>-3</v>
      </c>
      <c r="Y121" s="115">
        <v>5</v>
      </c>
      <c r="Z121" s="115">
        <v>4</v>
      </c>
      <c r="AA121" s="115">
        <v>4</v>
      </c>
      <c r="AB121" s="115">
        <v>34</v>
      </c>
      <c r="AC121" s="115">
        <v>34</v>
      </c>
      <c r="AD121" s="115">
        <v>7</v>
      </c>
      <c r="AE121" s="115">
        <v>-24</v>
      </c>
      <c r="AF121" s="115">
        <v>-30</v>
      </c>
      <c r="AG121" s="114">
        <v>240</v>
      </c>
      <c r="AH121" s="47">
        <f t="shared" si="30"/>
        <v>34</v>
      </c>
      <c r="AI121" s="48">
        <f t="shared" si="31"/>
        <v>-50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30"/>
        <v>0</v>
      </c>
      <c r="AI122" s="48">
        <f t="shared" si="31"/>
        <v>0</v>
      </c>
    </row>
    <row r="123" spans="1:35" x14ac:dyDescent="0.25">
      <c r="A123" s="181" t="s">
        <v>267</v>
      </c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>
        <f>55.1*1.5</f>
        <v>82.65</v>
      </c>
      <c r="U123" s="117">
        <f>58.5*1.5</f>
        <v>87.75</v>
      </c>
      <c r="V123" s="117">
        <f>56.4*1.6</f>
        <v>90.240000000000009</v>
      </c>
      <c r="W123" s="117">
        <f>55.7*1.6</f>
        <v>89.12</v>
      </c>
      <c r="X123" s="117">
        <f>78.1*1.6</f>
        <v>124.96</v>
      </c>
      <c r="Y123" s="117">
        <f>81.7*1.6</f>
        <v>130.72</v>
      </c>
      <c r="Z123" s="117">
        <f>70.7*1.6</f>
        <v>113.12</v>
      </c>
      <c r="AA123" s="117">
        <f>61.6*1.6</f>
        <v>98.56</v>
      </c>
      <c r="AB123" s="117"/>
      <c r="AC123" s="117"/>
      <c r="AD123" s="117">
        <v>37</v>
      </c>
      <c r="AE123" s="117">
        <v>41</v>
      </c>
      <c r="AF123" s="117">
        <v>36</v>
      </c>
      <c r="AG123" s="118">
        <v>120</v>
      </c>
      <c r="AH123" s="47">
        <f t="shared" si="30"/>
        <v>130.72</v>
      </c>
      <c r="AI123" s="48">
        <f t="shared" si="31"/>
        <v>36</v>
      </c>
    </row>
    <row r="124" spans="1:35" x14ac:dyDescent="0.25">
      <c r="A124" s="182" t="s">
        <v>266</v>
      </c>
      <c r="B124" s="117">
        <v>49</v>
      </c>
      <c r="C124" s="117">
        <v>47</v>
      </c>
      <c r="D124" s="117">
        <v>46</v>
      </c>
      <c r="E124" s="117">
        <v>46.4</v>
      </c>
      <c r="F124" s="117">
        <v>47.5</v>
      </c>
      <c r="G124" s="117">
        <v>44.7</v>
      </c>
      <c r="H124" s="117">
        <v>53.2</v>
      </c>
      <c r="I124" s="117">
        <v>64.8</v>
      </c>
      <c r="J124" s="117">
        <v>70.099999999999994</v>
      </c>
      <c r="K124" s="117">
        <v>79.900000000000006</v>
      </c>
      <c r="L124" s="117">
        <v>109</v>
      </c>
      <c r="M124" s="117">
        <v>105.8</v>
      </c>
      <c r="N124" s="117">
        <v>98.4</v>
      </c>
      <c r="O124" s="117">
        <v>94.8</v>
      </c>
      <c r="P124" s="117">
        <v>94.8</v>
      </c>
      <c r="Q124" s="117">
        <v>73.599999999999994</v>
      </c>
      <c r="R124" s="117">
        <v>77.3</v>
      </c>
      <c r="S124" s="117">
        <v>77.3</v>
      </c>
      <c r="T124" s="117">
        <v>75</v>
      </c>
      <c r="U124" s="117">
        <v>77.400000000000006</v>
      </c>
      <c r="V124" s="117">
        <v>76.400000000000006</v>
      </c>
      <c r="W124" s="117">
        <v>75.8</v>
      </c>
      <c r="X124" s="117">
        <v>94.4</v>
      </c>
      <c r="Y124" s="117">
        <v>97</v>
      </c>
      <c r="Z124" s="117">
        <v>88.2</v>
      </c>
      <c r="AA124" s="117">
        <v>80.8</v>
      </c>
      <c r="AB124" s="117">
        <v>80</v>
      </c>
      <c r="AC124" s="117">
        <v>80</v>
      </c>
      <c r="AD124" s="117">
        <v>62</v>
      </c>
      <c r="AE124" s="117">
        <v>65</v>
      </c>
      <c r="AF124" s="117">
        <v>60.9</v>
      </c>
      <c r="AG124" s="118"/>
      <c r="AH124" s="47"/>
      <c r="AI124" s="48"/>
    </row>
    <row r="125" spans="1:35" x14ac:dyDescent="0.25">
      <c r="A125" s="182" t="s">
        <v>263</v>
      </c>
      <c r="B125" s="117">
        <v>27</v>
      </c>
      <c r="C125" s="117">
        <v>27</v>
      </c>
      <c r="D125" s="117">
        <v>29</v>
      </c>
      <c r="E125" s="117">
        <v>31.5</v>
      </c>
      <c r="F125" s="117">
        <v>27.5</v>
      </c>
      <c r="G125" s="117">
        <v>9.1999999999999993</v>
      </c>
      <c r="H125" s="117">
        <v>1.8</v>
      </c>
      <c r="I125" s="117">
        <v>5.4</v>
      </c>
      <c r="J125" s="117">
        <v>-15.3</v>
      </c>
      <c r="K125" s="117">
        <v>-31.7</v>
      </c>
      <c r="L125" s="117">
        <v>-14.3</v>
      </c>
      <c r="M125" s="117">
        <v>-15.1</v>
      </c>
      <c r="N125" s="117">
        <v>-14.6</v>
      </c>
      <c r="O125" s="117">
        <v>-16.100000000000001</v>
      </c>
      <c r="P125" s="117">
        <v>-16.100000000000001</v>
      </c>
      <c r="Q125" s="117">
        <v>-15.8</v>
      </c>
      <c r="R125" s="117">
        <v>2.6</v>
      </c>
      <c r="S125" s="117">
        <v>2.6</v>
      </c>
      <c r="T125" s="117">
        <v>-12.4</v>
      </c>
      <c r="U125" s="117">
        <v>-17.8</v>
      </c>
      <c r="V125" s="117">
        <v>-30.7</v>
      </c>
      <c r="W125" s="117">
        <v>-65.2</v>
      </c>
      <c r="X125" s="117">
        <v>-58.1</v>
      </c>
      <c r="Y125" s="117">
        <v>-66.7</v>
      </c>
      <c r="Z125" s="117">
        <v>-74.400000000000006</v>
      </c>
      <c r="AA125" s="117"/>
      <c r="AB125" s="117">
        <v>-64</v>
      </c>
      <c r="AC125" s="117">
        <v>-62</v>
      </c>
      <c r="AD125" s="117">
        <v>-54</v>
      </c>
      <c r="AE125" s="117">
        <v>13</v>
      </c>
      <c r="AF125" s="117">
        <v>-32.5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40</v>
      </c>
      <c r="C126" s="117">
        <v>37</v>
      </c>
      <c r="D126" s="117">
        <v>36</v>
      </c>
      <c r="E126" s="117">
        <v>38</v>
      </c>
      <c r="F126" s="117">
        <v>33.799999999999997</v>
      </c>
      <c r="G126" s="117">
        <v>32.799999999999997</v>
      </c>
      <c r="H126" s="117">
        <v>43.2</v>
      </c>
      <c r="I126" s="117">
        <v>62.5</v>
      </c>
      <c r="J126" s="117">
        <v>64.400000000000006</v>
      </c>
      <c r="K126" s="117">
        <v>75.2</v>
      </c>
      <c r="L126" s="117">
        <v>91</v>
      </c>
      <c r="M126" s="117">
        <v>94.7</v>
      </c>
      <c r="N126" s="117">
        <v>76.400000000000006</v>
      </c>
      <c r="O126" s="117">
        <v>79.400000000000006</v>
      </c>
      <c r="P126" s="117">
        <v>79.400000000000006</v>
      </c>
      <c r="Q126" s="117">
        <v>72.2</v>
      </c>
      <c r="R126" s="117">
        <v>79.900000000000006</v>
      </c>
      <c r="S126" s="117">
        <v>79.900000000000006</v>
      </c>
      <c r="T126" s="117">
        <v>75.3</v>
      </c>
      <c r="U126" s="117">
        <v>73.2</v>
      </c>
      <c r="V126" s="117">
        <v>77.3</v>
      </c>
      <c r="W126" s="117">
        <v>47.4</v>
      </c>
      <c r="X126" s="117">
        <v>70</v>
      </c>
      <c r="Y126" s="117">
        <v>70.099999999999994</v>
      </c>
      <c r="Z126" s="117">
        <v>59.5</v>
      </c>
      <c r="AA126" s="117">
        <v>59.4</v>
      </c>
      <c r="AB126" s="117">
        <v>65</v>
      </c>
      <c r="AC126" s="117">
        <v>65</v>
      </c>
      <c r="AD126" s="117">
        <v>48</v>
      </c>
      <c r="AE126" s="117">
        <v>58</v>
      </c>
      <c r="AF126" s="117">
        <v>55.4</v>
      </c>
      <c r="AG126" s="114"/>
      <c r="AH126" s="47">
        <f t="shared" si="30"/>
        <v>94.7</v>
      </c>
      <c r="AI126" s="48">
        <f t="shared" si="31"/>
        <v>32.799999999999997</v>
      </c>
    </row>
    <row r="127" spans="1:35" x14ac:dyDescent="0.25">
      <c r="A127" s="181" t="s">
        <v>264</v>
      </c>
      <c r="B127" s="117">
        <v>15</v>
      </c>
      <c r="C127" s="117">
        <v>17</v>
      </c>
      <c r="D127" s="117">
        <v>16</v>
      </c>
      <c r="E127" s="117">
        <v>13.4</v>
      </c>
      <c r="F127" s="117">
        <v>15.2</v>
      </c>
      <c r="G127" s="117">
        <v>15.8</v>
      </c>
      <c r="H127" s="117">
        <v>22.1</v>
      </c>
      <c r="I127" s="117">
        <v>24</v>
      </c>
      <c r="J127" s="117">
        <v>19.5</v>
      </c>
      <c r="K127" s="117">
        <v>2.5</v>
      </c>
      <c r="L127" s="117">
        <v>14.5</v>
      </c>
      <c r="M127" s="117">
        <v>13.1</v>
      </c>
      <c r="N127" s="117">
        <v>3.1</v>
      </c>
      <c r="O127" s="117">
        <v>1.2</v>
      </c>
      <c r="P127" s="117">
        <v>1.2</v>
      </c>
      <c r="Q127" s="117">
        <v>-8.9</v>
      </c>
      <c r="R127" s="117">
        <v>-5.2</v>
      </c>
      <c r="S127" s="117">
        <v>-5.2</v>
      </c>
      <c r="T127" s="117">
        <v>0</v>
      </c>
      <c r="U127" s="117">
        <v>4.3</v>
      </c>
      <c r="V127" s="117">
        <v>8.3000000000000007</v>
      </c>
      <c r="W127" s="117">
        <v>2.4</v>
      </c>
      <c r="X127" s="117">
        <v>8.6</v>
      </c>
      <c r="Y127" s="117">
        <v>4.2</v>
      </c>
      <c r="Z127" s="117">
        <v>2.4</v>
      </c>
      <c r="AA127" s="117">
        <v>4.4000000000000004</v>
      </c>
      <c r="AB127" s="117">
        <v>13</v>
      </c>
      <c r="AC127" s="117">
        <v>13</v>
      </c>
      <c r="AD127" s="117">
        <v>14</v>
      </c>
      <c r="AE127" s="117">
        <v>21.9</v>
      </c>
      <c r="AF127" s="106">
        <v>16.600000000000001</v>
      </c>
      <c r="AG127" s="114"/>
      <c r="AH127" s="47">
        <f t="shared" si="30"/>
        <v>24</v>
      </c>
      <c r="AI127" s="48">
        <f t="shared" si="31"/>
        <v>-8.9</v>
      </c>
    </row>
    <row r="128" spans="1:35" x14ac:dyDescent="0.25">
      <c r="A128" s="182" t="s">
        <v>126</v>
      </c>
      <c r="B128" s="106">
        <v>3.4</v>
      </c>
      <c r="C128" s="106">
        <v>6.4</v>
      </c>
      <c r="D128" s="106">
        <v>5</v>
      </c>
      <c r="E128" s="106">
        <v>5.4</v>
      </c>
      <c r="F128" s="106">
        <v>3.3</v>
      </c>
      <c r="G128" s="106">
        <v>0</v>
      </c>
      <c r="H128" s="106">
        <v>-5</v>
      </c>
      <c r="I128" s="106">
        <v>-10.5</v>
      </c>
      <c r="J128" s="106">
        <v>-17.899999999999999</v>
      </c>
      <c r="K128" s="106">
        <v>-21</v>
      </c>
      <c r="L128" s="106">
        <v>-28.6</v>
      </c>
      <c r="M128" s="106">
        <v>-19.399999999999999</v>
      </c>
      <c r="N128" s="106">
        <v>-17.7</v>
      </c>
      <c r="O128" s="106">
        <v>-14.4</v>
      </c>
      <c r="P128" s="106">
        <v>-12</v>
      </c>
      <c r="Q128" s="106">
        <v>-10.6</v>
      </c>
      <c r="R128" s="106">
        <v>-7.2</v>
      </c>
      <c r="S128" s="106">
        <v>-7.2</v>
      </c>
      <c r="T128" s="106">
        <v>-12.2</v>
      </c>
      <c r="U128" s="106">
        <v>-14.6</v>
      </c>
      <c r="V128" s="106">
        <v>-29.6</v>
      </c>
      <c r="W128" s="106">
        <v>-45.8</v>
      </c>
      <c r="X128" s="106">
        <v>-48.1</v>
      </c>
      <c r="Y128" s="106">
        <v>-40.700000000000003</v>
      </c>
      <c r="Z128" s="106">
        <v>-35</v>
      </c>
      <c r="AA128" s="106">
        <v>-29.2</v>
      </c>
      <c r="AB128" s="106">
        <v>-22</v>
      </c>
      <c r="AC128" s="106">
        <v>-22</v>
      </c>
      <c r="AD128" s="106">
        <v>-13</v>
      </c>
      <c r="AE128" s="106">
        <v>-2.9</v>
      </c>
      <c r="AF128" s="106">
        <v>-2.8</v>
      </c>
      <c r="AG128" s="114"/>
      <c r="AH128" s="47">
        <f t="shared" si="30"/>
        <v>6.4</v>
      </c>
      <c r="AI128" s="48">
        <f t="shared" si="31"/>
        <v>-48.1</v>
      </c>
    </row>
    <row r="129" spans="1:37" x14ac:dyDescent="0.25">
      <c r="A129" s="182" t="s">
        <v>268</v>
      </c>
      <c r="B129" s="106">
        <v>31</v>
      </c>
      <c r="C129" s="106">
        <v>29</v>
      </c>
      <c r="D129" s="106">
        <v>28</v>
      </c>
      <c r="E129" s="106">
        <v>31.3</v>
      </c>
      <c r="F129" s="106">
        <v>24</v>
      </c>
      <c r="G129" s="106">
        <v>33.200000000000003</v>
      </c>
      <c r="H129" s="106">
        <v>26.9</v>
      </c>
      <c r="I129" s="106">
        <v>15.8</v>
      </c>
      <c r="J129" s="106">
        <v>19.899999999999999</v>
      </c>
      <c r="K129" s="106">
        <v>16</v>
      </c>
      <c r="L129" s="106">
        <v>6.8</v>
      </c>
      <c r="M129" s="106">
        <v>11.5</v>
      </c>
      <c r="N129" s="106">
        <v>21</v>
      </c>
      <c r="O129" s="106">
        <v>22.3</v>
      </c>
      <c r="P129" s="106">
        <v>22</v>
      </c>
      <c r="Q129" s="106">
        <v>24.7</v>
      </c>
      <c r="R129" s="106">
        <v>16.3</v>
      </c>
      <c r="S129" s="106">
        <v>16.3</v>
      </c>
      <c r="T129" s="106">
        <v>19</v>
      </c>
      <c r="U129" s="106">
        <v>20.3</v>
      </c>
      <c r="V129" s="106">
        <v>39</v>
      </c>
      <c r="W129" s="106">
        <v>29.1</v>
      </c>
      <c r="X129" s="106">
        <v>13.6</v>
      </c>
      <c r="Y129" s="106">
        <v>9.8000000000000007</v>
      </c>
      <c r="Z129" s="106">
        <v>15.1</v>
      </c>
      <c r="AA129" s="106">
        <v>13.1</v>
      </c>
      <c r="AB129" s="106">
        <v>11</v>
      </c>
      <c r="AC129" s="106">
        <v>11</v>
      </c>
      <c r="AD129" s="106">
        <v>37</v>
      </c>
      <c r="AE129" s="106">
        <v>16.899999999999999</v>
      </c>
      <c r="AF129" s="106">
        <v>17.600000000000001</v>
      </c>
      <c r="AG129" s="114"/>
      <c r="AH129" s="47">
        <f t="shared" si="30"/>
        <v>39</v>
      </c>
      <c r="AI129" s="48">
        <f t="shared" si="31"/>
        <v>6.8</v>
      </c>
    </row>
    <row r="130" spans="1:37" ht="15.75" thickBot="1" x14ac:dyDescent="0.3">
      <c r="A130" s="182" t="s">
        <v>265</v>
      </c>
      <c r="B130" s="106">
        <v>77</v>
      </c>
      <c r="C130" s="106">
        <v>74</v>
      </c>
      <c r="D130" s="106">
        <v>72</v>
      </c>
      <c r="E130" s="106">
        <v>67.7</v>
      </c>
      <c r="F130" s="106">
        <v>74.5</v>
      </c>
      <c r="G130" s="106">
        <v>76</v>
      </c>
      <c r="H130" s="106">
        <v>83.2</v>
      </c>
      <c r="I130" s="106">
        <v>85.4</v>
      </c>
      <c r="J130" s="106">
        <v>97.9</v>
      </c>
      <c r="K130" s="106">
        <v>106.9</v>
      </c>
      <c r="L130" s="106">
        <v>119</v>
      </c>
      <c r="M130" s="106">
        <v>109.3</v>
      </c>
      <c r="N130" s="106">
        <v>108</v>
      </c>
      <c r="O130" s="106">
        <v>98.9</v>
      </c>
      <c r="P130" s="106">
        <v>95.6</v>
      </c>
      <c r="Q130" s="106">
        <v>94.1</v>
      </c>
      <c r="R130" s="106">
        <v>87.5</v>
      </c>
      <c r="S130" s="106">
        <v>87.5</v>
      </c>
      <c r="T130" s="106">
        <v>90.8</v>
      </c>
      <c r="U130" s="106">
        <v>93</v>
      </c>
      <c r="V130" s="106">
        <v>-77.599999999999994</v>
      </c>
      <c r="W130" s="106">
        <v>-84.1</v>
      </c>
      <c r="X130" s="106">
        <v>119.9</v>
      </c>
      <c r="Y130" s="106">
        <v>105.5</v>
      </c>
      <c r="Z130" s="106">
        <v>99.3</v>
      </c>
      <c r="AA130" s="106">
        <v>99</v>
      </c>
      <c r="AB130" s="106">
        <v>95</v>
      </c>
      <c r="AC130" s="106">
        <v>95</v>
      </c>
      <c r="AD130" s="106">
        <v>94.7</v>
      </c>
      <c r="AE130" s="106">
        <v>78.900000000000006</v>
      </c>
      <c r="AF130" s="106">
        <v>82</v>
      </c>
      <c r="AG130" s="114"/>
      <c r="AH130" s="47">
        <f t="shared" si="30"/>
        <v>119.9</v>
      </c>
      <c r="AI130" s="48">
        <f t="shared" si="31"/>
        <v>-84.1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243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244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245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ht="15.75" thickBot="1" x14ac:dyDescent="0.3">
      <c r="A135" s="199" t="s">
        <v>246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9"/>
      <c r="AG135" s="153"/>
      <c r="AH135" s="47"/>
      <c r="AI135" s="48"/>
    </row>
    <row r="136" spans="1:37" ht="15.75" thickBot="1" x14ac:dyDescent="0.3">
      <c r="A136" s="122" t="s">
        <v>129</v>
      </c>
      <c r="B136" s="123"/>
      <c r="C136" s="123"/>
      <c r="D136" s="123"/>
      <c r="E136" s="123"/>
      <c r="F136" s="176" t="s">
        <v>258</v>
      </c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83"/>
      <c r="AH136" s="47"/>
      <c r="AI136" s="48"/>
      <c r="AK136" s="50"/>
    </row>
    <row r="137" spans="1:37" x14ac:dyDescent="0.25">
      <c r="A137" s="125" t="s">
        <v>130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>
        <v>9.94</v>
      </c>
      <c r="AH137" s="47"/>
      <c r="AI137" s="48"/>
      <c r="AK137" s="50"/>
    </row>
    <row r="138" spans="1:37" x14ac:dyDescent="0.25">
      <c r="A138" s="103" t="s">
        <v>131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132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133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134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135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136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137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138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139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140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141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142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143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144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145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146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1">
        <v>9.9</v>
      </c>
      <c r="AH153" s="47"/>
      <c r="AI153" s="48"/>
      <c r="AK153" s="50"/>
    </row>
    <row r="154" spans="1:37" x14ac:dyDescent="0.25">
      <c r="A154" s="116" t="s">
        <v>147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9.6579999999999995</v>
      </c>
      <c r="AH154" s="47"/>
      <c r="AI154" s="48"/>
      <c r="AK154" s="50"/>
    </row>
    <row r="155" spans="1:37" x14ac:dyDescent="0.25">
      <c r="A155" s="116" t="s">
        <v>148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9.6</v>
      </c>
      <c r="AH155" s="47"/>
      <c r="AI155" s="48"/>
      <c r="AK155" s="50"/>
    </row>
    <row r="156" spans="1:37" x14ac:dyDescent="0.25">
      <c r="A156" s="116" t="s">
        <v>149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9.51</v>
      </c>
      <c r="AH156" s="47"/>
      <c r="AI156" s="48"/>
      <c r="AK156" s="50"/>
    </row>
    <row r="157" spans="1:37" x14ac:dyDescent="0.25">
      <c r="A157" s="116" t="s">
        <v>150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9.4</v>
      </c>
      <c r="AH157" s="47"/>
      <c r="AI157" s="48"/>
      <c r="AK157" s="50"/>
    </row>
    <row r="158" spans="1:37" x14ac:dyDescent="0.25">
      <c r="A158" s="116" t="s">
        <v>151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8.8000000000000007</v>
      </c>
      <c r="AH158" s="47"/>
      <c r="AI158" s="48"/>
      <c r="AK158" s="50"/>
    </row>
    <row r="159" spans="1:37" x14ac:dyDescent="0.25">
      <c r="A159" s="116" t="s">
        <v>152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8.5</v>
      </c>
      <c r="AH159" s="47"/>
      <c r="AI159" s="48"/>
      <c r="AK159" s="50"/>
    </row>
    <row r="160" spans="1:37" x14ac:dyDescent="0.25">
      <c r="A160" s="116" t="s">
        <v>153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8.5</v>
      </c>
      <c r="AH160" s="47"/>
      <c r="AI160" s="48"/>
      <c r="AK160" s="50"/>
    </row>
    <row r="161" spans="1:37" x14ac:dyDescent="0.25">
      <c r="A161" s="116" t="s">
        <v>154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8.4</v>
      </c>
      <c r="AH161" s="47"/>
      <c r="AI161" s="48"/>
      <c r="AK161" s="50"/>
    </row>
    <row r="162" spans="1:37" ht="13.5" customHeight="1" x14ac:dyDescent="0.25">
      <c r="A162" s="116" t="s">
        <v>155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</v>
      </c>
      <c r="AH162" s="47"/>
      <c r="AI162" s="48"/>
      <c r="AK162" s="50"/>
    </row>
    <row r="163" spans="1:37" x14ac:dyDescent="0.25">
      <c r="A163" s="116" t="s">
        <v>156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</v>
      </c>
      <c r="AH163" s="47"/>
      <c r="AI163" s="48"/>
      <c r="AK163" s="50"/>
    </row>
    <row r="164" spans="1:37" x14ac:dyDescent="0.25">
      <c r="A164" s="116" t="s">
        <v>157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158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7.8</v>
      </c>
      <c r="AH165" s="47"/>
      <c r="AI165" s="48"/>
      <c r="AK165" s="50"/>
    </row>
    <row r="166" spans="1:37" x14ac:dyDescent="0.25">
      <c r="A166" s="116" t="s">
        <v>159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7.6</v>
      </c>
      <c r="AH166" s="47"/>
      <c r="AI166" s="48"/>
      <c r="AK166" s="50"/>
    </row>
    <row r="167" spans="1:37" x14ac:dyDescent="0.25">
      <c r="A167" s="116" t="s">
        <v>160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7.5</v>
      </c>
      <c r="AH167" s="47"/>
      <c r="AI167" s="48"/>
      <c r="AK167" s="50"/>
    </row>
    <row r="168" spans="1:37" x14ac:dyDescent="0.25">
      <c r="A168" s="116" t="s">
        <v>161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7.5</v>
      </c>
      <c r="AH168" s="47"/>
      <c r="AI168" s="48"/>
      <c r="AK168" s="50"/>
    </row>
    <row r="169" spans="1:37" x14ac:dyDescent="0.25">
      <c r="A169" s="116" t="s">
        <v>162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</v>
      </c>
      <c r="AH169" s="47"/>
      <c r="AI169" s="48"/>
      <c r="AK169" s="50"/>
    </row>
    <row r="170" spans="1:37" x14ac:dyDescent="0.25">
      <c r="A170" s="116" t="s">
        <v>163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</v>
      </c>
      <c r="AH170" s="47"/>
      <c r="AI170" s="48"/>
      <c r="AK170" s="50"/>
    </row>
    <row r="171" spans="1:37" x14ac:dyDescent="0.25">
      <c r="A171" s="116" t="s">
        <v>164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165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166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6.6</v>
      </c>
      <c r="AH173" s="47"/>
      <c r="AI173" s="48"/>
      <c r="AK173" s="50"/>
    </row>
    <row r="174" spans="1:37" x14ac:dyDescent="0.25">
      <c r="A174" s="116" t="s">
        <v>167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6.6</v>
      </c>
      <c r="AH174" s="47"/>
      <c r="AI174" s="48"/>
      <c r="AK174" s="50"/>
    </row>
    <row r="175" spans="1:37" x14ac:dyDescent="0.25">
      <c r="A175" s="116" t="s">
        <v>168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6.4</v>
      </c>
      <c r="AH175" s="47"/>
      <c r="AI175" s="48"/>
      <c r="AK175" s="50"/>
    </row>
    <row r="176" spans="1:37" x14ac:dyDescent="0.25">
      <c r="A176" s="116" t="s">
        <v>169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</v>
      </c>
      <c r="AH176" s="47"/>
      <c r="AI176" s="48"/>
      <c r="AK176" s="50"/>
    </row>
    <row r="177" spans="1:37" x14ac:dyDescent="0.25">
      <c r="A177" s="116" t="s">
        <v>170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5.0999999999999996</v>
      </c>
      <c r="AH177" s="47"/>
      <c r="AI177" s="48"/>
      <c r="AK177" s="50"/>
    </row>
    <row r="178" spans="1:37" x14ac:dyDescent="0.25">
      <c r="A178" s="116" t="s">
        <v>171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03" t="s">
        <v>172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1">
        <v>5</v>
      </c>
      <c r="AH179" s="47"/>
      <c r="AI179" s="48"/>
      <c r="AK179" s="50"/>
    </row>
    <row r="180" spans="1:37" x14ac:dyDescent="0.25">
      <c r="A180" s="116" t="s">
        <v>173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16" t="s">
        <v>174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5</v>
      </c>
      <c r="AH181" s="47"/>
      <c r="AI181" s="48"/>
      <c r="AK181" s="50"/>
    </row>
    <row r="182" spans="1:37" x14ac:dyDescent="0.25">
      <c r="A182" s="116" t="s">
        <v>175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176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177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178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4.9930000000000003</v>
      </c>
      <c r="AH185" s="47"/>
      <c r="AI185" s="48"/>
      <c r="AK185" s="50"/>
    </row>
    <row r="186" spans="1:37" x14ac:dyDescent="0.25">
      <c r="A186" s="116" t="s">
        <v>179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4.9800000000000004</v>
      </c>
      <c r="AH186" s="47"/>
      <c r="AI186" s="48"/>
      <c r="AK186" s="50"/>
    </row>
    <row r="187" spans="1:37" x14ac:dyDescent="0.25">
      <c r="A187" s="116" t="s">
        <v>180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4.95</v>
      </c>
      <c r="AH187" s="47"/>
      <c r="AI187" s="48"/>
      <c r="AK187" s="50"/>
    </row>
    <row r="188" spans="1:37" x14ac:dyDescent="0.25">
      <c r="A188" s="116" t="s">
        <v>181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4.95</v>
      </c>
      <c r="AH188" s="47"/>
      <c r="AI188" s="48"/>
      <c r="AK188" s="50"/>
    </row>
    <row r="189" spans="1:37" x14ac:dyDescent="0.25">
      <c r="A189" s="116" t="s">
        <v>182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4.8</v>
      </c>
      <c r="AH189" s="47"/>
      <c r="AI189" s="48"/>
      <c r="AK189" s="50"/>
    </row>
    <row r="190" spans="1:37" x14ac:dyDescent="0.25">
      <c r="A190" s="116" t="s">
        <v>183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4.8</v>
      </c>
      <c r="AH190" s="47"/>
      <c r="AI190" s="48"/>
      <c r="AK190" s="50"/>
    </row>
    <row r="191" spans="1:37" x14ac:dyDescent="0.25">
      <c r="A191" s="116" t="s">
        <v>184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185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4.5</v>
      </c>
      <c r="AH192" s="47"/>
      <c r="AI192" s="48"/>
      <c r="AK192" s="50"/>
    </row>
    <row r="193" spans="1:37" x14ac:dyDescent="0.25">
      <c r="A193" s="116" t="s">
        <v>186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4.5</v>
      </c>
      <c r="AH193" s="47"/>
      <c r="AI193" s="48"/>
      <c r="AK193" s="50"/>
    </row>
    <row r="194" spans="1:37" x14ac:dyDescent="0.25">
      <c r="A194" s="116" t="s">
        <v>187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4.4550000000000001</v>
      </c>
      <c r="AH194" s="47"/>
      <c r="AI194" s="48"/>
      <c r="AK194" s="50"/>
    </row>
    <row r="195" spans="1:37" x14ac:dyDescent="0.25">
      <c r="A195" s="116" t="s">
        <v>188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4.41</v>
      </c>
      <c r="AH195" s="47"/>
      <c r="AI195" s="48"/>
      <c r="AK195" s="50"/>
    </row>
    <row r="196" spans="1:37" x14ac:dyDescent="0.25">
      <c r="A196" s="116" t="s">
        <v>189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4.4000000000000004</v>
      </c>
      <c r="AH196" s="47"/>
      <c r="AI196" s="48"/>
      <c r="AK196" s="50"/>
    </row>
    <row r="197" spans="1:37" x14ac:dyDescent="0.25">
      <c r="A197" s="116" t="s">
        <v>190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4.3600000000000003</v>
      </c>
      <c r="AH197" s="47"/>
      <c r="AI197" s="48"/>
      <c r="AK197" s="50"/>
    </row>
    <row r="198" spans="1:37" x14ac:dyDescent="0.25">
      <c r="A198" s="116" t="s">
        <v>191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4.2</v>
      </c>
      <c r="AH198" s="47"/>
      <c r="AI198" s="48"/>
      <c r="AK198" s="50"/>
    </row>
    <row r="199" spans="1:37" x14ac:dyDescent="0.25">
      <c r="A199" s="116" t="s">
        <v>192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193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194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195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196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197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198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199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200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3.75</v>
      </c>
      <c r="AH207" s="47"/>
      <c r="AI207" s="48"/>
      <c r="AK207" s="50"/>
    </row>
    <row r="208" spans="1:37" x14ac:dyDescent="0.25">
      <c r="A208" s="116" t="s">
        <v>201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3.52</v>
      </c>
      <c r="AH208" s="47"/>
      <c r="AI208" s="48"/>
      <c r="AK208" s="50"/>
    </row>
    <row r="209" spans="1:37" x14ac:dyDescent="0.25">
      <c r="A209" s="116" t="s">
        <v>202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3.33</v>
      </c>
      <c r="AH209" s="47"/>
      <c r="AI209" s="48"/>
      <c r="AK209" s="50"/>
    </row>
    <row r="210" spans="1:37" x14ac:dyDescent="0.25">
      <c r="A210" s="116" t="s">
        <v>203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3.2</v>
      </c>
      <c r="AH210" s="47"/>
      <c r="AI210" s="48"/>
      <c r="AK210" s="50"/>
    </row>
    <row r="211" spans="1:37" x14ac:dyDescent="0.25">
      <c r="A211" s="116" t="s">
        <v>204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205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206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207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208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209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210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211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212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2.83</v>
      </c>
      <c r="AH219" s="47"/>
      <c r="AI219" s="48"/>
      <c r="AK219" s="50"/>
    </row>
    <row r="220" spans="1:37" x14ac:dyDescent="0.25">
      <c r="A220" s="116" t="s">
        <v>213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2.5</v>
      </c>
      <c r="AH220" s="47"/>
      <c r="AI220" s="48"/>
      <c r="AK220" s="50"/>
    </row>
    <row r="221" spans="1:37" x14ac:dyDescent="0.25">
      <c r="A221" s="116" t="s">
        <v>214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2.5</v>
      </c>
      <c r="AH221" s="47"/>
      <c r="AI221" s="48"/>
      <c r="AK221" s="50"/>
    </row>
    <row r="222" spans="1:37" x14ac:dyDescent="0.25">
      <c r="A222" s="116" t="s">
        <v>215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2.4</v>
      </c>
      <c r="AH222" s="47"/>
      <c r="AI222" s="48"/>
      <c r="AK222" s="50"/>
    </row>
    <row r="223" spans="1:37" x14ac:dyDescent="0.25">
      <c r="A223" s="116" t="s">
        <v>216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2.4</v>
      </c>
      <c r="AH223" s="47"/>
      <c r="AI223" s="48"/>
      <c r="AK223" s="50"/>
    </row>
    <row r="224" spans="1:37" x14ac:dyDescent="0.25">
      <c r="A224" s="116" t="s">
        <v>217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2.2000000000000002</v>
      </c>
      <c r="AH224" s="47"/>
      <c r="AI224" s="48"/>
      <c r="AK224" s="50"/>
    </row>
    <row r="225" spans="1:37" x14ac:dyDescent="0.25">
      <c r="A225" s="116" t="s">
        <v>218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</v>
      </c>
      <c r="AH225" s="47"/>
      <c r="AI225" s="48"/>
      <c r="AK225" s="50"/>
    </row>
    <row r="226" spans="1:37" x14ac:dyDescent="0.25">
      <c r="A226" s="116" t="s">
        <v>219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</v>
      </c>
      <c r="AH226" s="47"/>
      <c r="AI226" s="48"/>
      <c r="AK226" s="50"/>
    </row>
    <row r="227" spans="1:37" x14ac:dyDescent="0.25">
      <c r="A227" s="116" t="s">
        <v>220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221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1.8</v>
      </c>
      <c r="AH228" s="47"/>
      <c r="AI228" s="48"/>
      <c r="AK228" s="50"/>
    </row>
    <row r="229" spans="1:37" x14ac:dyDescent="0.25">
      <c r="A229" s="116" t="s">
        <v>222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1.8</v>
      </c>
      <c r="AH229" s="47"/>
      <c r="AI229" s="48"/>
      <c r="AK229" s="50"/>
    </row>
    <row r="230" spans="1:37" x14ac:dyDescent="0.25">
      <c r="A230" s="116" t="s">
        <v>223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1.65</v>
      </c>
      <c r="AH230" s="47"/>
      <c r="AI230" s="48"/>
      <c r="AK230" s="50"/>
    </row>
    <row r="231" spans="1:37" x14ac:dyDescent="0.25">
      <c r="A231" s="116" t="s">
        <v>224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1.5</v>
      </c>
      <c r="AH231" s="47"/>
      <c r="AI231" s="48"/>
      <c r="AK231" s="50"/>
    </row>
    <row r="232" spans="1:37" x14ac:dyDescent="0.25">
      <c r="A232" s="116" t="s">
        <v>225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0.998</v>
      </c>
      <c r="AH232" s="47"/>
      <c r="AI232" s="48"/>
      <c r="AK232" s="50"/>
    </row>
    <row r="233" spans="1:37" x14ac:dyDescent="0.25">
      <c r="A233" s="116" t="s">
        <v>226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0.997</v>
      </c>
      <c r="AH233" s="47"/>
      <c r="AI233" s="48"/>
      <c r="AK233" s="50"/>
    </row>
    <row r="234" spans="1:37" x14ac:dyDescent="0.25">
      <c r="A234" s="116" t="s">
        <v>227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0.997</v>
      </c>
      <c r="AH234" s="47"/>
      <c r="AI234" s="48"/>
      <c r="AK234" s="50"/>
    </row>
    <row r="235" spans="1:37" x14ac:dyDescent="0.25">
      <c r="A235" s="116" t="s">
        <v>228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0.996</v>
      </c>
      <c r="AH235" s="47"/>
      <c r="AI235" s="48"/>
      <c r="AK235" s="50"/>
    </row>
    <row r="236" spans="1:37" x14ac:dyDescent="0.25">
      <c r="A236" s="116" t="s">
        <v>229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0.996</v>
      </c>
      <c r="AH236" s="47"/>
      <c r="AI236" s="48"/>
      <c r="AK236" s="50"/>
    </row>
    <row r="237" spans="1:37" x14ac:dyDescent="0.25">
      <c r="A237" s="116" t="s">
        <v>230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231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0.995</v>
      </c>
      <c r="AH238" s="47"/>
      <c r="AI238" s="48"/>
      <c r="AK238" s="50"/>
    </row>
    <row r="239" spans="1:37" x14ac:dyDescent="0.25">
      <c r="A239" s="116" t="s">
        <v>232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0.99299999999999999</v>
      </c>
      <c r="AH239" s="47"/>
      <c r="AI239" s="48"/>
      <c r="AK239" s="50"/>
    </row>
    <row r="240" spans="1:37" x14ac:dyDescent="0.25">
      <c r="A240" s="116" t="s">
        <v>233</v>
      </c>
      <c r="B240" s="129"/>
      <c r="C240" s="127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</v>
      </c>
      <c r="AH240" s="47"/>
      <c r="AI240" s="48"/>
      <c r="AK240" s="50"/>
    </row>
    <row r="241" spans="1:37" ht="15.75" thickBot="1" x14ac:dyDescent="0.3">
      <c r="A241" s="116" t="s">
        <v>234</v>
      </c>
      <c r="B241" s="133"/>
      <c r="C241" s="134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2">
        <v>0.97899999999999998</v>
      </c>
      <c r="AH241" s="47"/>
      <c r="AI241" s="48"/>
      <c r="AK241" s="50"/>
    </row>
    <row r="242" spans="1:37" ht="15.75" thickBot="1" x14ac:dyDescent="0.3">
      <c r="A242" s="135" t="s">
        <v>235</v>
      </c>
      <c r="B242" s="136">
        <f t="shared" ref="B242:AG242" si="106">SUM(B137:B241)</f>
        <v>0</v>
      </c>
      <c r="C242" s="137">
        <f t="shared" si="106"/>
        <v>0</v>
      </c>
      <c r="D242" s="137">
        <f t="shared" si="106"/>
        <v>0</v>
      </c>
      <c r="E242" s="137">
        <f t="shared" si="106"/>
        <v>0</v>
      </c>
      <c r="F242" s="137">
        <f t="shared" si="106"/>
        <v>0</v>
      </c>
      <c r="G242" s="137">
        <f t="shared" si="106"/>
        <v>0</v>
      </c>
      <c r="H242" s="137">
        <f t="shared" si="106"/>
        <v>0</v>
      </c>
      <c r="I242" s="137">
        <f t="shared" si="106"/>
        <v>0</v>
      </c>
      <c r="J242" s="137">
        <f t="shared" si="106"/>
        <v>0</v>
      </c>
      <c r="K242" s="137">
        <f t="shared" si="106"/>
        <v>0</v>
      </c>
      <c r="L242" s="137">
        <f t="shared" si="106"/>
        <v>0</v>
      </c>
      <c r="M242" s="137">
        <f t="shared" si="106"/>
        <v>0</v>
      </c>
      <c r="N242" s="137">
        <f t="shared" si="106"/>
        <v>0</v>
      </c>
      <c r="O242" s="137">
        <f t="shared" si="106"/>
        <v>0</v>
      </c>
      <c r="P242" s="137">
        <f t="shared" si="106"/>
        <v>0</v>
      </c>
      <c r="Q242" s="137">
        <f t="shared" si="106"/>
        <v>0</v>
      </c>
      <c r="R242" s="137">
        <f t="shared" si="106"/>
        <v>0</v>
      </c>
      <c r="S242" s="137">
        <f t="shared" si="106"/>
        <v>0</v>
      </c>
      <c r="T242" s="137">
        <f t="shared" si="106"/>
        <v>0</v>
      </c>
      <c r="U242" s="137">
        <f t="shared" si="106"/>
        <v>0</v>
      </c>
      <c r="V242" s="137">
        <f t="shared" si="106"/>
        <v>0</v>
      </c>
      <c r="W242" s="137">
        <f t="shared" si="106"/>
        <v>0</v>
      </c>
      <c r="X242" s="137">
        <f t="shared" si="106"/>
        <v>0</v>
      </c>
      <c r="Y242" s="137">
        <f t="shared" si="106"/>
        <v>0</v>
      </c>
      <c r="Z242" s="137">
        <f t="shared" si="106"/>
        <v>0</v>
      </c>
      <c r="AA242" s="137">
        <f t="shared" si="106"/>
        <v>0</v>
      </c>
      <c r="AB242" s="137">
        <f t="shared" si="106"/>
        <v>0</v>
      </c>
      <c r="AC242" s="137">
        <f t="shared" si="106"/>
        <v>0</v>
      </c>
      <c r="AD242" s="137">
        <f t="shared" si="106"/>
        <v>0</v>
      </c>
      <c r="AE242" s="137">
        <f t="shared" si="106"/>
        <v>0</v>
      </c>
      <c r="AF242" s="138">
        <f t="shared" si="106"/>
        <v>0</v>
      </c>
      <c r="AG242" s="139">
        <f t="shared" si="106"/>
        <v>412.72299999999984</v>
      </c>
      <c r="AH242" s="47"/>
      <c r="AI242" s="48"/>
      <c r="AK242" s="50"/>
    </row>
    <row r="243" spans="1:37" ht="15.75" thickBot="1" x14ac:dyDescent="0.3">
      <c r="A243" s="26" t="s">
        <v>75</v>
      </c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19"/>
      <c r="AH243" s="47"/>
      <c r="AI243" s="48"/>
      <c r="AK243" s="50"/>
    </row>
    <row r="244" spans="1:37" x14ac:dyDescent="0.25">
      <c r="A244" s="100" t="s">
        <v>236</v>
      </c>
      <c r="B244" s="141">
        <f t="shared" ref="B244:B249" si="107">AF244</f>
        <v>0.3</v>
      </c>
      <c r="C244" s="141">
        <v>0.3</v>
      </c>
      <c r="D244" s="141">
        <f t="shared" ref="D244:S249" si="108">C244</f>
        <v>0.3</v>
      </c>
      <c r="E244" s="141">
        <f t="shared" si="108"/>
        <v>0.3</v>
      </c>
      <c r="F244" s="141">
        <f t="shared" si="108"/>
        <v>0.3</v>
      </c>
      <c r="G244" s="141">
        <f t="shared" si="108"/>
        <v>0.3</v>
      </c>
      <c r="H244" s="141">
        <f t="shared" si="108"/>
        <v>0.3</v>
      </c>
      <c r="I244" s="141">
        <f t="shared" si="108"/>
        <v>0.3</v>
      </c>
      <c r="J244" s="141">
        <f t="shared" si="108"/>
        <v>0.3</v>
      </c>
      <c r="K244" s="141">
        <f t="shared" si="108"/>
        <v>0.3</v>
      </c>
      <c r="L244" s="141">
        <f t="shared" si="108"/>
        <v>0.3</v>
      </c>
      <c r="M244" s="141">
        <f t="shared" si="108"/>
        <v>0.3</v>
      </c>
      <c r="N244" s="141">
        <f t="shared" si="108"/>
        <v>0.3</v>
      </c>
      <c r="O244" s="141">
        <f t="shared" si="108"/>
        <v>0.3</v>
      </c>
      <c r="P244" s="141">
        <f t="shared" si="108"/>
        <v>0.3</v>
      </c>
      <c r="Q244" s="141">
        <f t="shared" si="108"/>
        <v>0.3</v>
      </c>
      <c r="R244" s="141">
        <f t="shared" si="108"/>
        <v>0.3</v>
      </c>
      <c r="S244" s="141">
        <f t="shared" si="108"/>
        <v>0.3</v>
      </c>
      <c r="T244" s="141">
        <f t="shared" ref="T244:AF249" si="109">S244</f>
        <v>0.3</v>
      </c>
      <c r="U244" s="141">
        <f t="shared" si="109"/>
        <v>0.3</v>
      </c>
      <c r="V244" s="141">
        <f t="shared" si="109"/>
        <v>0.3</v>
      </c>
      <c r="W244" s="141">
        <f t="shared" si="109"/>
        <v>0.3</v>
      </c>
      <c r="X244" s="141">
        <f t="shared" si="109"/>
        <v>0.3</v>
      </c>
      <c r="Y244" s="141">
        <f t="shared" si="109"/>
        <v>0.3</v>
      </c>
      <c r="Z244" s="141">
        <f t="shared" si="109"/>
        <v>0.3</v>
      </c>
      <c r="AA244" s="141">
        <f t="shared" si="109"/>
        <v>0.3</v>
      </c>
      <c r="AB244" s="141">
        <f t="shared" si="109"/>
        <v>0.3</v>
      </c>
      <c r="AC244" s="141">
        <f t="shared" si="109"/>
        <v>0.3</v>
      </c>
      <c r="AD244" s="141">
        <f t="shared" si="109"/>
        <v>0.3</v>
      </c>
      <c r="AE244" s="141">
        <f t="shared" si="109"/>
        <v>0.3</v>
      </c>
      <c r="AF244" s="141">
        <f t="shared" si="109"/>
        <v>0.3</v>
      </c>
      <c r="AG244" s="142">
        <v>2.4</v>
      </c>
      <c r="AH244" s="47"/>
      <c r="AI244" s="48"/>
      <c r="AK244" s="50"/>
    </row>
    <row r="245" spans="1:37" x14ac:dyDescent="0.25">
      <c r="A245" s="103" t="s">
        <v>237</v>
      </c>
      <c r="B245" s="129">
        <f t="shared" si="107"/>
        <v>0.4</v>
      </c>
      <c r="C245" s="129">
        <v>0.4</v>
      </c>
      <c r="D245" s="129">
        <f t="shared" si="108"/>
        <v>0.4</v>
      </c>
      <c r="E245" s="129">
        <f t="shared" si="108"/>
        <v>0.4</v>
      </c>
      <c r="F245" s="129">
        <f t="shared" si="108"/>
        <v>0.4</v>
      </c>
      <c r="G245" s="129">
        <f t="shared" si="108"/>
        <v>0.4</v>
      </c>
      <c r="H245" s="129">
        <f t="shared" si="108"/>
        <v>0.4</v>
      </c>
      <c r="I245" s="129">
        <f t="shared" si="108"/>
        <v>0.4</v>
      </c>
      <c r="J245" s="129">
        <f t="shared" si="108"/>
        <v>0.4</v>
      </c>
      <c r="K245" s="129">
        <f t="shared" si="108"/>
        <v>0.4</v>
      </c>
      <c r="L245" s="129">
        <f t="shared" si="108"/>
        <v>0.4</v>
      </c>
      <c r="M245" s="129">
        <f t="shared" si="108"/>
        <v>0.4</v>
      </c>
      <c r="N245" s="129">
        <f t="shared" si="108"/>
        <v>0.4</v>
      </c>
      <c r="O245" s="129">
        <f t="shared" si="108"/>
        <v>0.4</v>
      </c>
      <c r="P245" s="129">
        <f t="shared" si="108"/>
        <v>0.4</v>
      </c>
      <c r="Q245" s="129">
        <f t="shared" si="108"/>
        <v>0.4</v>
      </c>
      <c r="R245" s="129">
        <f t="shared" si="108"/>
        <v>0.4</v>
      </c>
      <c r="S245" s="129">
        <f t="shared" si="108"/>
        <v>0.4</v>
      </c>
      <c r="T245" s="129">
        <f t="shared" si="109"/>
        <v>0.4</v>
      </c>
      <c r="U245" s="129">
        <f t="shared" si="109"/>
        <v>0.4</v>
      </c>
      <c r="V245" s="129">
        <f t="shared" si="109"/>
        <v>0.4</v>
      </c>
      <c r="W245" s="129">
        <f t="shared" si="109"/>
        <v>0.4</v>
      </c>
      <c r="X245" s="129">
        <f t="shared" si="109"/>
        <v>0.4</v>
      </c>
      <c r="Y245" s="129">
        <f t="shared" si="109"/>
        <v>0.4</v>
      </c>
      <c r="Z245" s="129">
        <f t="shared" si="109"/>
        <v>0.4</v>
      </c>
      <c r="AA245" s="129">
        <f t="shared" si="109"/>
        <v>0.4</v>
      </c>
      <c r="AB245" s="129">
        <f t="shared" si="109"/>
        <v>0.4</v>
      </c>
      <c r="AC245" s="129">
        <f t="shared" si="109"/>
        <v>0.4</v>
      </c>
      <c r="AD245" s="129">
        <f t="shared" si="109"/>
        <v>0.4</v>
      </c>
      <c r="AE245" s="129">
        <f t="shared" si="109"/>
        <v>0.4</v>
      </c>
      <c r="AF245" s="129">
        <f t="shared" si="109"/>
        <v>0.4</v>
      </c>
      <c r="AG245" s="143">
        <v>2</v>
      </c>
      <c r="AH245" s="47"/>
      <c r="AI245" s="48"/>
      <c r="AK245" s="50"/>
    </row>
    <row r="246" spans="1:37" x14ac:dyDescent="0.25">
      <c r="A246" s="103" t="s">
        <v>238</v>
      </c>
      <c r="B246" s="129">
        <f t="shared" si="107"/>
        <v>1.5</v>
      </c>
      <c r="C246" s="129">
        <v>1.5</v>
      </c>
      <c r="D246" s="129">
        <f t="shared" si="108"/>
        <v>1.5</v>
      </c>
      <c r="E246" s="129">
        <f t="shared" si="108"/>
        <v>1.5</v>
      </c>
      <c r="F246" s="129">
        <f t="shared" si="108"/>
        <v>1.5</v>
      </c>
      <c r="G246" s="129">
        <f t="shared" si="108"/>
        <v>1.5</v>
      </c>
      <c r="H246" s="129">
        <f t="shared" si="108"/>
        <v>1.5</v>
      </c>
      <c r="I246" s="129">
        <f t="shared" si="108"/>
        <v>1.5</v>
      </c>
      <c r="J246" s="129">
        <f t="shared" si="108"/>
        <v>1.5</v>
      </c>
      <c r="K246" s="129">
        <f t="shared" si="108"/>
        <v>1.5</v>
      </c>
      <c r="L246" s="129">
        <f t="shared" si="108"/>
        <v>1.5</v>
      </c>
      <c r="M246" s="129">
        <f t="shared" si="108"/>
        <v>1.5</v>
      </c>
      <c r="N246" s="129">
        <f t="shared" si="108"/>
        <v>1.5</v>
      </c>
      <c r="O246" s="129">
        <f t="shared" si="108"/>
        <v>1.5</v>
      </c>
      <c r="P246" s="129">
        <f t="shared" si="108"/>
        <v>1.5</v>
      </c>
      <c r="Q246" s="129">
        <f t="shared" si="108"/>
        <v>1.5</v>
      </c>
      <c r="R246" s="129">
        <f t="shared" si="108"/>
        <v>1.5</v>
      </c>
      <c r="S246" s="129">
        <f t="shared" si="108"/>
        <v>1.5</v>
      </c>
      <c r="T246" s="129">
        <f t="shared" si="109"/>
        <v>1.5</v>
      </c>
      <c r="U246" s="129">
        <f t="shared" si="109"/>
        <v>1.5</v>
      </c>
      <c r="V246" s="129">
        <f t="shared" si="109"/>
        <v>1.5</v>
      </c>
      <c r="W246" s="129">
        <f t="shared" si="109"/>
        <v>1.5</v>
      </c>
      <c r="X246" s="129">
        <f t="shared" si="109"/>
        <v>1.5</v>
      </c>
      <c r="Y246" s="129">
        <f t="shared" si="109"/>
        <v>1.5</v>
      </c>
      <c r="Z246" s="129">
        <f t="shared" si="109"/>
        <v>1.5</v>
      </c>
      <c r="AA246" s="129">
        <f t="shared" si="109"/>
        <v>1.5</v>
      </c>
      <c r="AB246" s="129">
        <f t="shared" si="109"/>
        <v>1.5</v>
      </c>
      <c r="AC246" s="129">
        <f t="shared" si="109"/>
        <v>1.5</v>
      </c>
      <c r="AD246" s="129">
        <f t="shared" si="109"/>
        <v>1.5</v>
      </c>
      <c r="AE246" s="129">
        <f t="shared" si="109"/>
        <v>1.5</v>
      </c>
      <c r="AF246" s="129">
        <f t="shared" si="109"/>
        <v>1.5</v>
      </c>
      <c r="AG246" s="143">
        <v>1.5</v>
      </c>
      <c r="AH246" s="47"/>
      <c r="AI246" s="48"/>
      <c r="AK246" s="50"/>
    </row>
    <row r="247" spans="1:37" x14ac:dyDescent="0.25">
      <c r="A247" s="103" t="s">
        <v>239</v>
      </c>
      <c r="B247" s="129">
        <f t="shared" si="107"/>
        <v>0.3</v>
      </c>
      <c r="C247" s="129">
        <v>0.3</v>
      </c>
      <c r="D247" s="129">
        <f t="shared" si="108"/>
        <v>0.3</v>
      </c>
      <c r="E247" s="129">
        <f t="shared" si="108"/>
        <v>0.3</v>
      </c>
      <c r="F247" s="129">
        <f t="shared" si="108"/>
        <v>0.3</v>
      </c>
      <c r="G247" s="129">
        <f t="shared" si="108"/>
        <v>0.3</v>
      </c>
      <c r="H247" s="129">
        <f t="shared" si="108"/>
        <v>0.3</v>
      </c>
      <c r="I247" s="129">
        <f t="shared" si="108"/>
        <v>0.3</v>
      </c>
      <c r="J247" s="129">
        <f t="shared" si="108"/>
        <v>0.3</v>
      </c>
      <c r="K247" s="129">
        <f t="shared" si="108"/>
        <v>0.3</v>
      </c>
      <c r="L247" s="129">
        <f t="shared" si="108"/>
        <v>0.3</v>
      </c>
      <c r="M247" s="129">
        <f t="shared" si="108"/>
        <v>0.3</v>
      </c>
      <c r="N247" s="129">
        <f t="shared" si="108"/>
        <v>0.3</v>
      </c>
      <c r="O247" s="129">
        <f t="shared" si="108"/>
        <v>0.3</v>
      </c>
      <c r="P247" s="129">
        <f t="shared" si="108"/>
        <v>0.3</v>
      </c>
      <c r="Q247" s="129">
        <f t="shared" si="108"/>
        <v>0.3</v>
      </c>
      <c r="R247" s="129">
        <f t="shared" si="108"/>
        <v>0.3</v>
      </c>
      <c r="S247" s="129">
        <f t="shared" si="108"/>
        <v>0.3</v>
      </c>
      <c r="T247" s="129">
        <f t="shared" si="109"/>
        <v>0.3</v>
      </c>
      <c r="U247" s="129">
        <f t="shared" si="109"/>
        <v>0.3</v>
      </c>
      <c r="V247" s="129">
        <f t="shared" si="109"/>
        <v>0.3</v>
      </c>
      <c r="W247" s="129">
        <f t="shared" si="109"/>
        <v>0.3</v>
      </c>
      <c r="X247" s="129">
        <f t="shared" si="109"/>
        <v>0.3</v>
      </c>
      <c r="Y247" s="129">
        <f t="shared" si="109"/>
        <v>0.3</v>
      </c>
      <c r="Z247" s="129">
        <f t="shared" si="109"/>
        <v>0.3</v>
      </c>
      <c r="AA247" s="129">
        <f t="shared" si="109"/>
        <v>0.3</v>
      </c>
      <c r="AB247" s="129">
        <f t="shared" si="109"/>
        <v>0.3</v>
      </c>
      <c r="AC247" s="129">
        <f t="shared" si="109"/>
        <v>0.3</v>
      </c>
      <c r="AD247" s="129">
        <f t="shared" si="109"/>
        <v>0.3</v>
      </c>
      <c r="AE247" s="129">
        <f t="shared" si="109"/>
        <v>0.3</v>
      </c>
      <c r="AF247" s="129">
        <f t="shared" si="109"/>
        <v>0.3</v>
      </c>
      <c r="AG247" s="143">
        <v>1</v>
      </c>
      <c r="AH247" s="47"/>
      <c r="AI247" s="48"/>
      <c r="AK247" s="50"/>
    </row>
    <row r="248" spans="1:37" x14ac:dyDescent="0.25">
      <c r="A248" s="103" t="s">
        <v>240</v>
      </c>
      <c r="B248" s="129">
        <f t="shared" si="107"/>
        <v>0.4</v>
      </c>
      <c r="C248" s="129">
        <v>0.4</v>
      </c>
      <c r="D248" s="129">
        <f t="shared" si="108"/>
        <v>0.4</v>
      </c>
      <c r="E248" s="129">
        <f t="shared" si="108"/>
        <v>0.4</v>
      </c>
      <c r="F248" s="129">
        <f t="shared" si="108"/>
        <v>0.4</v>
      </c>
      <c r="G248" s="129">
        <f t="shared" si="108"/>
        <v>0.4</v>
      </c>
      <c r="H248" s="129">
        <f t="shared" si="108"/>
        <v>0.4</v>
      </c>
      <c r="I248" s="129">
        <f t="shared" si="108"/>
        <v>0.4</v>
      </c>
      <c r="J248" s="129">
        <f t="shared" si="108"/>
        <v>0.4</v>
      </c>
      <c r="K248" s="129">
        <f t="shared" si="108"/>
        <v>0.4</v>
      </c>
      <c r="L248" s="129">
        <f t="shared" si="108"/>
        <v>0.4</v>
      </c>
      <c r="M248" s="129">
        <f t="shared" si="108"/>
        <v>0.4</v>
      </c>
      <c r="N248" s="129">
        <f t="shared" si="108"/>
        <v>0.4</v>
      </c>
      <c r="O248" s="129">
        <f t="shared" si="108"/>
        <v>0.4</v>
      </c>
      <c r="P248" s="129">
        <f t="shared" si="108"/>
        <v>0.4</v>
      </c>
      <c r="Q248" s="129">
        <f t="shared" si="108"/>
        <v>0.4</v>
      </c>
      <c r="R248" s="129">
        <f t="shared" si="108"/>
        <v>0.4</v>
      </c>
      <c r="S248" s="129">
        <f t="shared" si="108"/>
        <v>0.4</v>
      </c>
      <c r="T248" s="129">
        <f t="shared" si="109"/>
        <v>0.4</v>
      </c>
      <c r="U248" s="129">
        <f t="shared" si="109"/>
        <v>0.4</v>
      </c>
      <c r="V248" s="129">
        <f t="shared" si="109"/>
        <v>0.4</v>
      </c>
      <c r="W248" s="129">
        <f t="shared" si="109"/>
        <v>0.4</v>
      </c>
      <c r="X248" s="129">
        <f t="shared" si="109"/>
        <v>0.4</v>
      </c>
      <c r="Y248" s="129">
        <f t="shared" si="109"/>
        <v>0.4</v>
      </c>
      <c r="Z248" s="129">
        <f t="shared" si="109"/>
        <v>0.4</v>
      </c>
      <c r="AA248" s="129">
        <f t="shared" si="109"/>
        <v>0.4</v>
      </c>
      <c r="AB248" s="129">
        <f t="shared" si="109"/>
        <v>0.4</v>
      </c>
      <c r="AC248" s="129">
        <f t="shared" si="109"/>
        <v>0.4</v>
      </c>
      <c r="AD248" s="129">
        <f t="shared" si="109"/>
        <v>0.4</v>
      </c>
      <c r="AE248" s="129">
        <f t="shared" si="109"/>
        <v>0.4</v>
      </c>
      <c r="AF248" s="129">
        <f t="shared" si="109"/>
        <v>0.4</v>
      </c>
      <c r="AG248" s="143">
        <v>1</v>
      </c>
      <c r="AH248" s="47"/>
      <c r="AI248" s="48"/>
      <c r="AK248" s="50"/>
    </row>
    <row r="249" spans="1:37" ht="15.75" thickBot="1" x14ac:dyDescent="0.3">
      <c r="A249" s="116" t="s">
        <v>241</v>
      </c>
      <c r="B249" s="133">
        <f t="shared" si="107"/>
        <v>0.64</v>
      </c>
      <c r="C249" s="133">
        <v>0.64</v>
      </c>
      <c r="D249" s="133">
        <f t="shared" si="108"/>
        <v>0.64</v>
      </c>
      <c r="E249" s="133">
        <f t="shared" si="108"/>
        <v>0.64</v>
      </c>
      <c r="F249" s="133">
        <f t="shared" si="108"/>
        <v>0.64</v>
      </c>
      <c r="G249" s="133">
        <f t="shared" si="108"/>
        <v>0.64</v>
      </c>
      <c r="H249" s="133">
        <f t="shared" si="108"/>
        <v>0.64</v>
      </c>
      <c r="I249" s="133">
        <f t="shared" si="108"/>
        <v>0.64</v>
      </c>
      <c r="J249" s="133">
        <f t="shared" si="108"/>
        <v>0.64</v>
      </c>
      <c r="K249" s="133">
        <f t="shared" si="108"/>
        <v>0.64</v>
      </c>
      <c r="L249" s="133">
        <f t="shared" si="108"/>
        <v>0.64</v>
      </c>
      <c r="M249" s="133">
        <f t="shared" si="108"/>
        <v>0.64</v>
      </c>
      <c r="N249" s="133">
        <f t="shared" si="108"/>
        <v>0.64</v>
      </c>
      <c r="O249" s="133">
        <f t="shared" si="108"/>
        <v>0.64</v>
      </c>
      <c r="P249" s="133">
        <f t="shared" si="108"/>
        <v>0.64</v>
      </c>
      <c r="Q249" s="133">
        <f t="shared" si="108"/>
        <v>0.64</v>
      </c>
      <c r="R249" s="133">
        <f t="shared" si="108"/>
        <v>0.64</v>
      </c>
      <c r="S249" s="133">
        <f t="shared" si="108"/>
        <v>0.64</v>
      </c>
      <c r="T249" s="133">
        <f t="shared" si="109"/>
        <v>0.64</v>
      </c>
      <c r="U249" s="133">
        <f t="shared" si="109"/>
        <v>0.64</v>
      </c>
      <c r="V249" s="133">
        <f t="shared" si="109"/>
        <v>0.64</v>
      </c>
      <c r="W249" s="133">
        <f t="shared" si="109"/>
        <v>0.64</v>
      </c>
      <c r="X249" s="133">
        <f t="shared" si="109"/>
        <v>0.64</v>
      </c>
      <c r="Y249" s="133">
        <f t="shared" si="109"/>
        <v>0.64</v>
      </c>
      <c r="Z249" s="133">
        <f t="shared" si="109"/>
        <v>0.64</v>
      </c>
      <c r="AA249" s="133">
        <f t="shared" si="109"/>
        <v>0.64</v>
      </c>
      <c r="AB249" s="133">
        <f t="shared" si="109"/>
        <v>0.64</v>
      </c>
      <c r="AC249" s="133">
        <f t="shared" si="109"/>
        <v>0.64</v>
      </c>
      <c r="AD249" s="133">
        <f t="shared" si="109"/>
        <v>0.64</v>
      </c>
      <c r="AE249" s="133">
        <f t="shared" si="109"/>
        <v>0.64</v>
      </c>
      <c r="AF249" s="133">
        <f t="shared" si="109"/>
        <v>0.64</v>
      </c>
      <c r="AG249" s="144">
        <v>0.66</v>
      </c>
      <c r="AH249" s="47"/>
      <c r="AI249" s="48"/>
    </row>
    <row r="250" spans="1:37" ht="15.75" thickBot="1" x14ac:dyDescent="0.3">
      <c r="A250" s="145" t="s">
        <v>75</v>
      </c>
      <c r="B250" s="137">
        <f t="shared" ref="B250:AG250" si="110">SUM(B244:B249)</f>
        <v>3.54</v>
      </c>
      <c r="C250" s="137">
        <f t="shared" si="110"/>
        <v>3.54</v>
      </c>
      <c r="D250" s="137">
        <f t="shared" si="110"/>
        <v>3.54</v>
      </c>
      <c r="E250" s="137">
        <f t="shared" si="110"/>
        <v>3.54</v>
      </c>
      <c r="F250" s="137">
        <f t="shared" si="110"/>
        <v>3.54</v>
      </c>
      <c r="G250" s="137">
        <f t="shared" si="110"/>
        <v>3.54</v>
      </c>
      <c r="H250" s="137">
        <f t="shared" si="110"/>
        <v>3.54</v>
      </c>
      <c r="I250" s="137">
        <f t="shared" si="110"/>
        <v>3.54</v>
      </c>
      <c r="J250" s="137">
        <f t="shared" si="110"/>
        <v>3.54</v>
      </c>
      <c r="K250" s="137">
        <f t="shared" si="110"/>
        <v>3.54</v>
      </c>
      <c r="L250" s="137">
        <f t="shared" si="110"/>
        <v>3.54</v>
      </c>
      <c r="M250" s="137">
        <f t="shared" si="110"/>
        <v>3.54</v>
      </c>
      <c r="N250" s="137">
        <f t="shared" si="110"/>
        <v>3.54</v>
      </c>
      <c r="O250" s="137">
        <f t="shared" si="110"/>
        <v>3.54</v>
      </c>
      <c r="P250" s="137">
        <f t="shared" si="110"/>
        <v>3.54</v>
      </c>
      <c r="Q250" s="137">
        <f t="shared" si="110"/>
        <v>3.54</v>
      </c>
      <c r="R250" s="137">
        <f t="shared" si="110"/>
        <v>3.54</v>
      </c>
      <c r="S250" s="137">
        <f t="shared" si="110"/>
        <v>3.54</v>
      </c>
      <c r="T250" s="137">
        <f t="shared" si="110"/>
        <v>3.54</v>
      </c>
      <c r="U250" s="137">
        <f t="shared" si="110"/>
        <v>3.54</v>
      </c>
      <c r="V250" s="137">
        <f t="shared" si="110"/>
        <v>3.54</v>
      </c>
      <c r="W250" s="137">
        <f t="shared" si="110"/>
        <v>3.54</v>
      </c>
      <c r="X250" s="137">
        <f t="shared" si="110"/>
        <v>3.54</v>
      </c>
      <c r="Y250" s="137">
        <f t="shared" si="110"/>
        <v>3.54</v>
      </c>
      <c r="Z250" s="137">
        <f t="shared" si="110"/>
        <v>3.54</v>
      </c>
      <c r="AA250" s="137">
        <f t="shared" si="110"/>
        <v>3.54</v>
      </c>
      <c r="AB250" s="137">
        <f t="shared" si="110"/>
        <v>3.54</v>
      </c>
      <c r="AC250" s="137">
        <f t="shared" si="110"/>
        <v>3.54</v>
      </c>
      <c r="AD250" s="137">
        <f t="shared" si="110"/>
        <v>3.54</v>
      </c>
      <c r="AE250" s="137">
        <f t="shared" si="110"/>
        <v>3.54</v>
      </c>
      <c r="AF250" s="137">
        <f t="shared" si="110"/>
        <v>3.54</v>
      </c>
      <c r="AG250" s="146">
        <f t="shared" si="110"/>
        <v>8.56</v>
      </c>
      <c r="AH250" s="47"/>
      <c r="AI250" s="48"/>
    </row>
    <row r="251" spans="1:37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140"/>
      <c r="AH251" s="43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1735.24</v>
      </c>
      <c r="C254" s="162">
        <f>INDEX(G9:N9,1,MATCH(MAX(G99:N99),G99:N99,0))</f>
        <v>0.3125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18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2080/09/18)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2080/09/18)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111">B99</f>
        <v>990.44</v>
      </c>
      <c r="U259" s="171">
        <f t="shared" si="111"/>
        <v>983.44</v>
      </c>
      <c r="V259" s="171">
        <f t="shared" si="111"/>
        <v>963.44</v>
      </c>
      <c r="W259" s="171">
        <f t="shared" si="111"/>
        <v>967.24</v>
      </c>
      <c r="X259" s="171">
        <f t="shared" si="111"/>
        <v>990.84000000000015</v>
      </c>
      <c r="Y259" s="171">
        <f t="shared" si="111"/>
        <v>1057.1400000000001</v>
      </c>
      <c r="Z259" s="171">
        <f t="shared" si="111"/>
        <v>1165.94</v>
      </c>
      <c r="AA259" s="171">
        <f t="shared" si="111"/>
        <v>1229.3400000000001</v>
      </c>
      <c r="AB259" s="171">
        <f t="shared" si="111"/>
        <v>1353.5400000000002</v>
      </c>
      <c r="AC259" s="171">
        <f t="shared" si="111"/>
        <v>1505.64</v>
      </c>
      <c r="AD259" s="171">
        <f t="shared" si="111"/>
        <v>1735.24</v>
      </c>
      <c r="AE259" s="171">
        <f t="shared" si="111"/>
        <v>1679.7400000000002</v>
      </c>
      <c r="AF259" s="171">
        <f t="shared" si="111"/>
        <v>1628.54</v>
      </c>
      <c r="AG259" s="171">
        <f t="shared" si="111"/>
        <v>1556.9399999999998</v>
      </c>
      <c r="AH259" s="171">
        <f t="shared" si="111"/>
        <v>1472.04</v>
      </c>
      <c r="AI259" s="171">
        <f t="shared" si="111"/>
        <v>1385.04</v>
      </c>
      <c r="AJ259" s="171">
        <f t="shared" si="111"/>
        <v>1341.04</v>
      </c>
      <c r="AK259" s="171">
        <f t="shared" si="111"/>
        <v>1342.04</v>
      </c>
      <c r="AL259" s="171">
        <f t="shared" si="111"/>
        <v>1324.44</v>
      </c>
      <c r="AM259" s="171">
        <f t="shared" si="111"/>
        <v>1369.14</v>
      </c>
      <c r="AN259" s="171">
        <f t="shared" si="111"/>
        <v>1143.4400000000003</v>
      </c>
      <c r="AO259" s="171">
        <f t="shared" si="111"/>
        <v>1551.54</v>
      </c>
      <c r="AP259" s="171">
        <f t="shared" si="111"/>
        <v>1798.14</v>
      </c>
      <c r="AQ259" s="171">
        <f t="shared" si="111"/>
        <v>1796.94</v>
      </c>
      <c r="AR259" s="171">
        <f t="shared" si="111"/>
        <v>1702.4399999999998</v>
      </c>
      <c r="AS259" s="171">
        <f t="shared" si="111"/>
        <v>1645.0400000000002</v>
      </c>
      <c r="AT259" s="171">
        <f t="shared" si="111"/>
        <v>1522.54</v>
      </c>
      <c r="AU259" s="171">
        <f t="shared" si="111"/>
        <v>1414.64</v>
      </c>
      <c r="AV259" s="171">
        <f t="shared" si="111"/>
        <v>1364.7400000000002</v>
      </c>
      <c r="AW259" s="171">
        <f t="shared" si="111"/>
        <v>1101.6400000000001</v>
      </c>
      <c r="AX259" s="171">
        <f t="shared" si="111"/>
        <v>1047.54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112">C249</f>
        <v>0.64</v>
      </c>
      <c r="C280" s="174">
        <f t="shared" si="112"/>
        <v>0.64</v>
      </c>
      <c r="D280" s="174">
        <f t="shared" si="112"/>
        <v>0.64</v>
      </c>
      <c r="E280" s="174">
        <f t="shared" si="112"/>
        <v>0.64</v>
      </c>
      <c r="F280" s="174">
        <f t="shared" si="112"/>
        <v>0.64</v>
      </c>
      <c r="G280" s="174">
        <f t="shared" si="112"/>
        <v>0.64</v>
      </c>
      <c r="H280" s="174">
        <f t="shared" si="112"/>
        <v>0.64</v>
      </c>
      <c r="I280" s="174">
        <f t="shared" si="112"/>
        <v>0.64</v>
      </c>
      <c r="J280" s="174">
        <f t="shared" si="112"/>
        <v>0.64</v>
      </c>
      <c r="K280" s="174">
        <f t="shared" si="112"/>
        <v>0.64</v>
      </c>
      <c r="L280" s="174">
        <f t="shared" si="112"/>
        <v>0.64</v>
      </c>
      <c r="M280" s="174">
        <f t="shared" si="112"/>
        <v>0.64</v>
      </c>
      <c r="N280" s="174">
        <f t="shared" si="112"/>
        <v>0.64</v>
      </c>
      <c r="O280" s="174">
        <f t="shared" si="112"/>
        <v>0.64</v>
      </c>
      <c r="P280" s="174">
        <f t="shared" si="112"/>
        <v>0.64</v>
      </c>
      <c r="Q280" s="174">
        <f t="shared" si="112"/>
        <v>0.64</v>
      </c>
      <c r="R280" s="174">
        <f t="shared" si="112"/>
        <v>0.64</v>
      </c>
      <c r="S280" s="174">
        <f t="shared" si="112"/>
        <v>0.64</v>
      </c>
      <c r="T280" s="174">
        <f t="shared" si="112"/>
        <v>0.64</v>
      </c>
      <c r="U280" s="174">
        <f t="shared" si="112"/>
        <v>0.64</v>
      </c>
      <c r="V280" s="174">
        <f t="shared" si="112"/>
        <v>0.64</v>
      </c>
      <c r="W280" s="174">
        <f t="shared" si="112"/>
        <v>0.64</v>
      </c>
      <c r="X280" s="174">
        <f t="shared" si="112"/>
        <v>0.64</v>
      </c>
      <c r="Y280" s="174">
        <f t="shared" si="112"/>
        <v>0.64</v>
      </c>
      <c r="Z280" s="174">
        <f t="shared" si="112"/>
        <v>0.64</v>
      </c>
      <c r="AA280" s="174">
        <f t="shared" si="112"/>
        <v>0.64</v>
      </c>
      <c r="AB280" s="174">
        <f t="shared" si="112"/>
        <v>0.64</v>
      </c>
      <c r="AC280" s="174">
        <f t="shared" si="112"/>
        <v>0.64</v>
      </c>
      <c r="AD280" s="174">
        <f t="shared" si="112"/>
        <v>0.64</v>
      </c>
      <c r="AE280" s="174">
        <f t="shared" si="112"/>
        <v>0.64</v>
      </c>
      <c r="AF280" s="174">
        <f>B249</f>
        <v>0.64</v>
      </c>
      <c r="AG280" s="43"/>
      <c r="AH280" s="43"/>
    </row>
    <row r="281" spans="1:34" x14ac:dyDescent="0.25">
      <c r="A281" s="175" t="str">
        <f>A132</f>
        <v>KGA</v>
      </c>
      <c r="B281" s="175" t="str">
        <f t="shared" ref="B281:AF281" si="113">IF(B132&lt;100,"",B132-520)</f>
        <v/>
      </c>
      <c r="C281" s="175" t="str">
        <f t="shared" si="113"/>
        <v/>
      </c>
      <c r="D281" s="175" t="str">
        <f t="shared" si="113"/>
        <v/>
      </c>
      <c r="E281" s="175" t="str">
        <f t="shared" si="113"/>
        <v/>
      </c>
      <c r="F281" s="175" t="str">
        <f t="shared" si="113"/>
        <v/>
      </c>
      <c r="G281" s="175" t="str">
        <f t="shared" si="113"/>
        <v/>
      </c>
      <c r="H281" s="175" t="str">
        <f t="shared" si="113"/>
        <v/>
      </c>
      <c r="I281" s="175" t="str">
        <f t="shared" si="113"/>
        <v/>
      </c>
      <c r="J281" s="175" t="str">
        <f t="shared" si="113"/>
        <v/>
      </c>
      <c r="K281" s="175" t="str">
        <f t="shared" si="113"/>
        <v/>
      </c>
      <c r="L281" s="175" t="str">
        <f t="shared" si="113"/>
        <v/>
      </c>
      <c r="M281" s="175" t="str">
        <f t="shared" si="113"/>
        <v/>
      </c>
      <c r="N281" s="175" t="str">
        <f t="shared" si="113"/>
        <v/>
      </c>
      <c r="O281" s="175" t="str">
        <f t="shared" si="113"/>
        <v/>
      </c>
      <c r="P281" s="175" t="str">
        <f t="shared" si="113"/>
        <v/>
      </c>
      <c r="Q281" s="175" t="str">
        <f t="shared" si="113"/>
        <v/>
      </c>
      <c r="R281" s="175" t="str">
        <f t="shared" si="113"/>
        <v/>
      </c>
      <c r="S281" s="175" t="str">
        <f t="shared" si="113"/>
        <v/>
      </c>
      <c r="T281" s="175" t="str">
        <f t="shared" si="113"/>
        <v/>
      </c>
      <c r="U281" s="175" t="str">
        <f t="shared" si="113"/>
        <v/>
      </c>
      <c r="V281" s="175" t="str">
        <f t="shared" si="113"/>
        <v/>
      </c>
      <c r="W281" s="175" t="str">
        <f t="shared" si="113"/>
        <v/>
      </c>
      <c r="X281" s="175" t="str">
        <f t="shared" si="113"/>
        <v/>
      </c>
      <c r="Y281" s="175" t="str">
        <f t="shared" si="113"/>
        <v/>
      </c>
      <c r="Z281" s="175" t="str">
        <f t="shared" si="113"/>
        <v/>
      </c>
      <c r="AA281" s="175" t="str">
        <f t="shared" si="113"/>
        <v/>
      </c>
      <c r="AB281" s="175" t="str">
        <f t="shared" si="113"/>
        <v/>
      </c>
      <c r="AC281" s="175" t="str">
        <f t="shared" si="113"/>
        <v/>
      </c>
      <c r="AD281" s="175" t="str">
        <f t="shared" si="113"/>
        <v/>
      </c>
      <c r="AE281" s="175" t="str">
        <f t="shared" si="113"/>
        <v/>
      </c>
      <c r="AF281" s="175" t="str">
        <f t="shared" si="113"/>
        <v/>
      </c>
      <c r="AG281" s="43"/>
      <c r="AH281" s="43"/>
    </row>
    <row r="282" spans="1:34" x14ac:dyDescent="0.25">
      <c r="A282" s="175" t="str">
        <f>A133</f>
        <v>MMRS</v>
      </c>
      <c r="B282" s="175" t="str">
        <f t="shared" ref="B282:AF282" si="114">IF(B133&lt;100,"",B133-620)</f>
        <v/>
      </c>
      <c r="C282" s="175" t="str">
        <f t="shared" si="114"/>
        <v/>
      </c>
      <c r="D282" s="175" t="str">
        <f t="shared" si="114"/>
        <v/>
      </c>
      <c r="E282" s="175" t="str">
        <f t="shared" si="114"/>
        <v/>
      </c>
      <c r="F282" s="175" t="str">
        <f t="shared" si="114"/>
        <v/>
      </c>
      <c r="G282" s="175" t="str">
        <f t="shared" si="114"/>
        <v/>
      </c>
      <c r="H282" s="175" t="str">
        <f t="shared" si="114"/>
        <v/>
      </c>
      <c r="I282" s="175" t="str">
        <f t="shared" si="114"/>
        <v/>
      </c>
      <c r="J282" s="175" t="str">
        <f t="shared" si="114"/>
        <v/>
      </c>
      <c r="K282" s="175" t="str">
        <f t="shared" si="114"/>
        <v/>
      </c>
      <c r="L282" s="175" t="str">
        <f t="shared" si="114"/>
        <v/>
      </c>
      <c r="M282" s="175" t="str">
        <f t="shared" si="114"/>
        <v/>
      </c>
      <c r="N282" s="175" t="str">
        <f t="shared" si="114"/>
        <v/>
      </c>
      <c r="O282" s="175" t="str">
        <f t="shared" si="114"/>
        <v/>
      </c>
      <c r="P282" s="175" t="str">
        <f t="shared" si="114"/>
        <v/>
      </c>
      <c r="Q282" s="175" t="str">
        <f t="shared" si="114"/>
        <v/>
      </c>
      <c r="R282" s="175" t="str">
        <f t="shared" si="114"/>
        <v/>
      </c>
      <c r="S282" s="175" t="str">
        <f t="shared" si="114"/>
        <v/>
      </c>
      <c r="T282" s="175" t="str">
        <f t="shared" si="114"/>
        <v/>
      </c>
      <c r="U282" s="175" t="str">
        <f t="shared" si="114"/>
        <v/>
      </c>
      <c r="V282" s="175" t="str">
        <f t="shared" si="114"/>
        <v/>
      </c>
      <c r="W282" s="175" t="str">
        <f t="shared" si="114"/>
        <v/>
      </c>
      <c r="X282" s="175" t="str">
        <f t="shared" si="114"/>
        <v/>
      </c>
      <c r="Y282" s="175" t="str">
        <f t="shared" si="114"/>
        <v/>
      </c>
      <c r="Z282" s="175" t="str">
        <f t="shared" si="114"/>
        <v/>
      </c>
      <c r="AA282" s="175" t="str">
        <f t="shared" si="114"/>
        <v/>
      </c>
      <c r="AB282" s="175" t="str">
        <f t="shared" si="114"/>
        <v/>
      </c>
      <c r="AC282" s="175" t="str">
        <f t="shared" si="114"/>
        <v/>
      </c>
      <c r="AD282" s="175" t="str">
        <f t="shared" si="114"/>
        <v/>
      </c>
      <c r="AE282" s="175" t="str">
        <f t="shared" si="114"/>
        <v/>
      </c>
      <c r="AF282" s="175" t="str">
        <f t="shared" si="114"/>
        <v/>
      </c>
      <c r="AG282" s="43"/>
      <c r="AH282" s="43"/>
    </row>
    <row r="283" spans="1:34" x14ac:dyDescent="0.25">
      <c r="A283" s="175" t="str">
        <f>A134</f>
        <v>MRS</v>
      </c>
      <c r="B283" s="175" t="str">
        <f t="shared" ref="B283:AF283" si="115">IF(B134&lt;100,"",B134-330)</f>
        <v/>
      </c>
      <c r="C283" s="175" t="str">
        <f t="shared" si="115"/>
        <v/>
      </c>
      <c r="D283" s="175" t="str">
        <f t="shared" si="115"/>
        <v/>
      </c>
      <c r="E283" s="175" t="str">
        <f t="shared" si="115"/>
        <v/>
      </c>
      <c r="F283" s="175" t="str">
        <f t="shared" si="115"/>
        <v/>
      </c>
      <c r="G283" s="175" t="str">
        <f t="shared" si="115"/>
        <v/>
      </c>
      <c r="H283" s="175" t="str">
        <f t="shared" si="115"/>
        <v/>
      </c>
      <c r="I283" s="175" t="str">
        <f t="shared" si="115"/>
        <v/>
      </c>
      <c r="J283" s="175" t="str">
        <f t="shared" si="115"/>
        <v/>
      </c>
      <c r="K283" s="175" t="str">
        <f t="shared" si="115"/>
        <v/>
      </c>
      <c r="L283" s="175" t="str">
        <f t="shared" si="115"/>
        <v/>
      </c>
      <c r="M283" s="175" t="str">
        <f t="shared" si="115"/>
        <v/>
      </c>
      <c r="N283" s="175" t="str">
        <f t="shared" si="115"/>
        <v/>
      </c>
      <c r="O283" s="175" t="str">
        <f t="shared" si="115"/>
        <v/>
      </c>
      <c r="P283" s="175" t="str">
        <f t="shared" si="115"/>
        <v/>
      </c>
      <c r="Q283" s="175" t="str">
        <f t="shared" si="115"/>
        <v/>
      </c>
      <c r="R283" s="175" t="str">
        <f t="shared" si="115"/>
        <v/>
      </c>
      <c r="S283" s="175" t="str">
        <f t="shared" si="115"/>
        <v/>
      </c>
      <c r="T283" s="175" t="str">
        <f t="shared" si="115"/>
        <v/>
      </c>
      <c r="U283" s="175" t="str">
        <f t="shared" si="115"/>
        <v/>
      </c>
      <c r="V283" s="175" t="str">
        <f t="shared" si="115"/>
        <v/>
      </c>
      <c r="W283" s="175" t="str">
        <f t="shared" si="115"/>
        <v/>
      </c>
      <c r="X283" s="175" t="str">
        <f t="shared" si="115"/>
        <v/>
      </c>
      <c r="Y283" s="175" t="str">
        <f t="shared" si="115"/>
        <v/>
      </c>
      <c r="Z283" s="175" t="str">
        <f t="shared" si="115"/>
        <v/>
      </c>
      <c r="AA283" s="175" t="str">
        <f t="shared" si="115"/>
        <v/>
      </c>
      <c r="AB283" s="175" t="str">
        <f t="shared" si="115"/>
        <v/>
      </c>
      <c r="AC283" s="175" t="str">
        <f t="shared" si="115"/>
        <v/>
      </c>
      <c r="AD283" s="175" t="str">
        <f t="shared" si="115"/>
        <v/>
      </c>
      <c r="AE283" s="175" t="str">
        <f t="shared" si="115"/>
        <v/>
      </c>
      <c r="AF283" s="175" t="str">
        <f t="shared" si="115"/>
        <v/>
      </c>
      <c r="AG283" s="43"/>
      <c r="AH283" s="43"/>
    </row>
    <row r="284" spans="1:34" x14ac:dyDescent="0.25">
      <c r="A284" s="175" t="str">
        <f>A135</f>
        <v>KL 1</v>
      </c>
      <c r="B284" s="175" t="str">
        <f t="shared" ref="B284:AF284" si="116">IF(B135&lt;100,"",B135-1500)</f>
        <v/>
      </c>
      <c r="C284" s="175" t="str">
        <f t="shared" si="116"/>
        <v/>
      </c>
      <c r="D284" s="175" t="str">
        <f t="shared" si="116"/>
        <v/>
      </c>
      <c r="E284" s="175" t="str">
        <f t="shared" si="116"/>
        <v/>
      </c>
      <c r="F284" s="175" t="str">
        <f t="shared" si="116"/>
        <v/>
      </c>
      <c r="G284" s="175" t="str">
        <f t="shared" si="116"/>
        <v/>
      </c>
      <c r="H284" s="175" t="str">
        <f t="shared" si="116"/>
        <v/>
      </c>
      <c r="I284" s="175" t="str">
        <f t="shared" si="116"/>
        <v/>
      </c>
      <c r="J284" s="175" t="str">
        <f t="shared" si="116"/>
        <v/>
      </c>
      <c r="K284" s="175" t="str">
        <f t="shared" si="116"/>
        <v/>
      </c>
      <c r="L284" s="175" t="str">
        <f t="shared" si="116"/>
        <v/>
      </c>
      <c r="M284" s="175" t="str">
        <f t="shared" si="116"/>
        <v/>
      </c>
      <c r="N284" s="175" t="str">
        <f t="shared" si="116"/>
        <v/>
      </c>
      <c r="O284" s="175" t="str">
        <f t="shared" si="116"/>
        <v/>
      </c>
      <c r="P284" s="175" t="str">
        <f t="shared" si="116"/>
        <v/>
      </c>
      <c r="Q284" s="175" t="str">
        <f t="shared" si="116"/>
        <v/>
      </c>
      <c r="R284" s="175" t="str">
        <f t="shared" si="116"/>
        <v/>
      </c>
      <c r="S284" s="175" t="str">
        <f t="shared" si="116"/>
        <v/>
      </c>
      <c r="T284" s="175" t="str">
        <f t="shared" si="116"/>
        <v/>
      </c>
      <c r="U284" s="175" t="str">
        <f t="shared" si="116"/>
        <v/>
      </c>
      <c r="V284" s="175" t="str">
        <f t="shared" si="116"/>
        <v/>
      </c>
      <c r="W284" s="175" t="str">
        <f t="shared" si="116"/>
        <v/>
      </c>
      <c r="X284" s="175" t="str">
        <f t="shared" si="116"/>
        <v/>
      </c>
      <c r="Y284" s="175" t="str">
        <f t="shared" si="116"/>
        <v/>
      </c>
      <c r="Z284" s="175" t="str">
        <f t="shared" si="116"/>
        <v/>
      </c>
      <c r="AA284" s="175" t="str">
        <f t="shared" si="116"/>
        <v/>
      </c>
      <c r="AB284" s="175" t="str">
        <f t="shared" si="116"/>
        <v/>
      </c>
      <c r="AC284" s="175" t="str">
        <f t="shared" si="116"/>
        <v/>
      </c>
      <c r="AD284" s="175" t="str">
        <f t="shared" si="116"/>
        <v/>
      </c>
      <c r="AE284" s="175" t="str">
        <f t="shared" si="116"/>
        <v/>
      </c>
      <c r="AF284" s="175" t="str">
        <f t="shared" si="116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 A132:A251">
    <cfRule type="expression" dxfId="1684" priority="53">
      <formula>$AH11=0</formula>
    </cfRule>
  </conditionalFormatting>
  <conditionalFormatting sqref="B8 M8 S8 AB8">
    <cfRule type="expression" dxfId="1683" priority="114">
      <formula>AND(C$9&gt;=8/24,C$9&lt;14/24)</formula>
    </cfRule>
    <cfRule type="expression" dxfId="1682" priority="115">
      <formula>C$9&lt;8/24</formula>
    </cfRule>
    <cfRule type="expression" dxfId="1681" priority="113">
      <formula>AND(C$9&gt;=14/24,C$9&lt;20/24)</formula>
    </cfRule>
  </conditionalFormatting>
  <conditionalFormatting sqref="B63:I74 J64:J74 G68:N74 O69:W74">
    <cfRule type="expression" dxfId="1680" priority="17">
      <formula>AND(B$9&gt;=8/24,B$9&lt;14/24)</formula>
    </cfRule>
    <cfRule type="expression" dxfId="1679" priority="16">
      <formula>AND(B$9&gt;=14/24,B$9&lt;20/24)</formula>
    </cfRule>
    <cfRule type="expression" dxfId="1678" priority="18">
      <formula>B$9&lt;8/24</formula>
    </cfRule>
    <cfRule type="expression" dxfId="1677" priority="15">
      <formula>B$9&gt;=20/24</formula>
    </cfRule>
  </conditionalFormatting>
  <conditionalFormatting sqref="B11:W54">
    <cfRule type="expression" dxfId="1676" priority="9">
      <formula>B11&gt;$AG11</formula>
    </cfRule>
  </conditionalFormatting>
  <conditionalFormatting sqref="B53:W54">
    <cfRule type="expression" dxfId="1675" priority="8">
      <formula>B$9&lt;8/24</formula>
    </cfRule>
  </conditionalFormatting>
  <conditionalFormatting sqref="B55:W55">
    <cfRule type="expression" dxfId="1674" priority="33">
      <formula>B55&gt;$AG55</formula>
    </cfRule>
  </conditionalFormatting>
  <conditionalFormatting sqref="B55:W57">
    <cfRule type="expression" dxfId="1673" priority="32">
      <formula>B$9&lt;8/24</formula>
    </cfRule>
  </conditionalFormatting>
  <conditionalFormatting sqref="B9:AF52">
    <cfRule type="expression" dxfId="1672" priority="26">
      <formula>AND(B$9&gt;=8/24,B$9&lt;14/24)</formula>
    </cfRule>
    <cfRule type="expression" dxfId="1671" priority="27">
      <formula>B$9&lt;8/24</formula>
    </cfRule>
    <cfRule type="expression" dxfId="1670" priority="25">
      <formula>AND(B$9&gt;=14/24,B$9&lt;20/24)</formula>
    </cfRule>
    <cfRule type="expression" dxfId="1669" priority="24">
      <formula>B$9&gt;=20/24</formula>
    </cfRule>
  </conditionalFormatting>
  <conditionalFormatting sqref="B53:AF54">
    <cfRule type="expression" dxfId="1668" priority="7">
      <formula>AND(B$9&gt;=8/24,B$9&lt;14/24)</formula>
    </cfRule>
    <cfRule type="expression" dxfId="1667" priority="5">
      <formula>B$9&gt;=20/24</formula>
    </cfRule>
    <cfRule type="expression" dxfId="1666" priority="6">
      <formula>AND(B$9&gt;=14/24,B$9&lt;20/24)</formula>
    </cfRule>
  </conditionalFormatting>
  <conditionalFormatting sqref="B55:AF57">
    <cfRule type="expression" dxfId="1665" priority="29">
      <formula>B$9&gt;=20/24</formula>
    </cfRule>
    <cfRule type="expression" dxfId="1664" priority="30">
      <formula>AND(B$9&gt;=14/24,B$9&lt;20/24)</formula>
    </cfRule>
    <cfRule type="expression" dxfId="1663" priority="31">
      <formula>AND(B$9&gt;=8/24,B$9&lt;14/24)</formula>
    </cfRule>
  </conditionalFormatting>
  <conditionalFormatting sqref="B56:AF61">
    <cfRule type="expression" dxfId="1662" priority="28">
      <formula>B56&gt;$AG56</formula>
    </cfRule>
  </conditionalFormatting>
  <conditionalFormatting sqref="B59:AF61">
    <cfRule type="expression" dxfId="1661" priority="42">
      <formula>B$9&lt;8/24</formula>
    </cfRule>
    <cfRule type="expression" dxfId="1660" priority="41">
      <formula>AND(B$9&gt;=8/24,B$9&lt;14/24)</formula>
    </cfRule>
    <cfRule type="expression" dxfId="1659" priority="39">
      <formula>B$9&gt;=20/24</formula>
    </cfRule>
    <cfRule type="expression" dxfId="1658" priority="40">
      <formula>AND(B$9&gt;=14/24,B$9&lt;20/24)</formula>
    </cfRule>
  </conditionalFormatting>
  <conditionalFormatting sqref="B63:AF74">
    <cfRule type="expression" dxfId="1657" priority="14">
      <formula>B63&gt;$AG63</formula>
    </cfRule>
  </conditionalFormatting>
  <conditionalFormatting sqref="B77:AF79">
    <cfRule type="expression" dxfId="1656" priority="47">
      <formula>B$9&lt;8/24</formula>
    </cfRule>
    <cfRule type="expression" dxfId="1655" priority="45">
      <formula>AND(B$9&gt;=14/24,B$9&lt;20/24)</formula>
    </cfRule>
    <cfRule type="expression" dxfId="1654" priority="43">
      <formula>B77&gt;$AG77</formula>
    </cfRule>
    <cfRule type="expression" dxfId="1653" priority="44">
      <formula>B$9&gt;=20/24</formula>
    </cfRule>
    <cfRule type="expression" dxfId="1652" priority="46">
      <formula>AND(B$9&gt;=8/24,B$9&lt;14/24)</formula>
    </cfRule>
  </conditionalFormatting>
  <conditionalFormatting sqref="B81:AF99">
    <cfRule type="expression" dxfId="1651" priority="10">
      <formula>B$9&gt;=20/24</formula>
    </cfRule>
    <cfRule type="expression" dxfId="1650" priority="11">
      <formula>AND(B$9&gt;=14/24,B$9&lt;20/24)</formula>
    </cfRule>
    <cfRule type="expression" dxfId="1649" priority="12">
      <formula>AND(B$9&gt;=8/24,B$9&lt;14/24)</formula>
    </cfRule>
    <cfRule type="expression" dxfId="1648" priority="13">
      <formula>B$9&lt;8/24</formula>
    </cfRule>
  </conditionalFormatting>
  <conditionalFormatting sqref="B101:AF117">
    <cfRule type="expression" dxfId="1647" priority="3">
      <formula>AND(B$9&gt;=8/24,B$9&lt;14/24)</formula>
    </cfRule>
    <cfRule type="expression" dxfId="1646" priority="4">
      <formula>B$9&lt;8/24</formula>
    </cfRule>
    <cfRule type="expression" dxfId="1645" priority="2">
      <formula>AND(B$9&gt;=14/24,B$9&lt;20/24)</formula>
    </cfRule>
    <cfRule type="expression" dxfId="1644" priority="1">
      <formula>B$9&gt;=20/24</formula>
    </cfRule>
  </conditionalFormatting>
  <conditionalFormatting sqref="B119:AF135">
    <cfRule type="expression" dxfId="1643" priority="19">
      <formula>B$9&gt;=20/24</formula>
    </cfRule>
    <cfRule type="expression" dxfId="1642" priority="20">
      <formula>AND(B$9&gt;=14/24,B$9&lt;20/24)</formula>
    </cfRule>
    <cfRule type="expression" dxfId="1641" priority="21">
      <formula>AND(B$9&gt;=8/24,B$9&lt;14/24)</formula>
    </cfRule>
    <cfRule type="expression" dxfId="1640" priority="22">
      <formula>B$9&lt;8/24</formula>
    </cfRule>
  </conditionalFormatting>
  <conditionalFormatting sqref="B242:AF242 B244:B250 D244:AF250 U258:AF258">
    <cfRule type="expression" dxfId="1639" priority="109">
      <formula>B$9&lt;8/24</formula>
    </cfRule>
    <cfRule type="expression" dxfId="1638" priority="108">
      <formula>AND(B$9&gt;=8/24,B$9&lt;14/24)</formula>
    </cfRule>
    <cfRule type="expression" dxfId="1637" priority="107">
      <formula>AND(B$9&gt;=14/24,B$9&lt;20/24)</formula>
    </cfRule>
    <cfRule type="expression" dxfId="1636" priority="106">
      <formula>B$9&gt;=20/24</formula>
    </cfRule>
  </conditionalFormatting>
  <conditionalFormatting sqref="B62:AG62">
    <cfRule type="expression" dxfId="1635" priority="48">
      <formula>B62&gt;$AG62</formula>
    </cfRule>
    <cfRule type="expression" dxfId="1634" priority="50">
      <formula>AND(B$9&gt;=14/24,B$9&lt;20/24)</formula>
    </cfRule>
    <cfRule type="expression" dxfId="1633" priority="51">
      <formula>AND(B$9&gt;=8/24,B$9&lt;14/24)</formula>
    </cfRule>
    <cfRule type="expression" dxfId="1632" priority="52">
      <formula>B$9&lt;8/24</formula>
    </cfRule>
    <cfRule type="expression" dxfId="1631" priority="49">
      <formula>B$9&gt;=20/24</formula>
    </cfRule>
  </conditionalFormatting>
  <conditionalFormatting sqref="B75:AG76 B80:AG80">
    <cfRule type="expression" dxfId="1630" priority="34">
      <formula>B75&gt;$AG75</formula>
    </cfRule>
  </conditionalFormatting>
  <conditionalFormatting sqref="B80:AG80">
    <cfRule type="expression" dxfId="1629" priority="35">
      <formula>B$9&gt;=20/24</formula>
    </cfRule>
    <cfRule type="expression" dxfId="1628" priority="38">
      <formula>B$9&lt;8/24</formula>
    </cfRule>
    <cfRule type="expression" dxfId="1627" priority="37">
      <formula>AND(B$9&gt;=8/24,B$9&lt;14/24)</formula>
    </cfRule>
    <cfRule type="expression" dxfId="1626" priority="36">
      <formula>AND(B$9&gt;=14/24,B$9&lt;20/24)</formula>
    </cfRule>
  </conditionalFormatting>
  <conditionalFormatting sqref="F63:O65">
    <cfRule type="expression" dxfId="1625" priority="90">
      <formula>F$9&lt;8/24</formula>
    </cfRule>
    <cfRule type="expression" dxfId="1624" priority="89">
      <formula>AND(F$9&gt;=8/24,F$9&lt;14/24)</formula>
    </cfRule>
    <cfRule type="expression" dxfId="1623" priority="88">
      <formula>AND(F$9&gt;=14/24,F$9&lt;20/24)</formula>
    </cfRule>
    <cfRule type="expression" dxfId="1622" priority="87">
      <formula>F$9&gt;=20/24</formula>
    </cfRule>
  </conditionalFormatting>
  <conditionalFormatting sqref="F68:W68">
    <cfRule type="expression" dxfId="1621" priority="64">
      <formula>F$9&gt;=20/24</formula>
    </cfRule>
    <cfRule type="expression" dxfId="1620" priority="65">
      <formula>AND(F$9&gt;=14/24,F$9&lt;20/24)</formula>
    </cfRule>
    <cfRule type="expression" dxfId="1619" priority="66">
      <formula>AND(F$9&gt;=8/24,F$9&lt;14/24)</formula>
    </cfRule>
    <cfRule type="expression" dxfId="1618" priority="67">
      <formula>F$9&lt;8/24</formula>
    </cfRule>
  </conditionalFormatting>
  <conditionalFormatting sqref="F69:AF74">
    <cfRule type="expression" dxfId="1617" priority="54">
      <formula>F$9&gt;=20/24</formula>
    </cfRule>
    <cfRule type="expression" dxfId="1616" priority="55">
      <formula>AND(F$9&gt;=14/24,F$9&lt;20/24)</formula>
    </cfRule>
    <cfRule type="expression" dxfId="1615" priority="56">
      <formula>AND(F$9&gt;=8/24,F$9&lt;14/24)</formula>
    </cfRule>
    <cfRule type="expression" dxfId="1614" priority="57">
      <formula>F$9&lt;8/24</formula>
    </cfRule>
  </conditionalFormatting>
  <conditionalFormatting sqref="M63:W67">
    <cfRule type="expression" dxfId="1613" priority="92">
      <formula>AND(M$9&gt;=14/24,M$9&lt;20/24)</formula>
    </cfRule>
    <cfRule type="expression" dxfId="1612" priority="91">
      <formula>M$9&gt;=20/24</formula>
    </cfRule>
    <cfRule type="expression" dxfId="1611" priority="93">
      <formula>AND(M$9&gt;=8/24,M$9&lt;14/24)</formula>
    </cfRule>
    <cfRule type="expression" dxfId="1610" priority="94">
      <formula>M$9&lt;8/24</formula>
    </cfRule>
  </conditionalFormatting>
  <conditionalFormatting sqref="O3:P3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609" priority="112">
      <formula>C$9&gt;=20/24</formula>
    </cfRule>
  </conditionalFormatting>
  <conditionalFormatting sqref="S8">
    <cfRule type="expression" dxfId="1608" priority="100">
      <formula>AND(U$9&gt;=14/24,U$9&lt;20/24)</formula>
    </cfRule>
    <cfRule type="expression" dxfId="1607" priority="102">
      <formula>U$9&lt;8/24</formula>
    </cfRule>
    <cfRule type="expression" dxfId="1606" priority="101">
      <formula>AND(U$9&gt;=8/24,U$9&lt;14/24)</formula>
    </cfRule>
    <cfRule type="expression" dxfId="1605" priority="99">
      <formula>U$9&gt;=20/24</formula>
    </cfRule>
  </conditionalFormatting>
  <conditionalFormatting sqref="T258">
    <cfRule type="expression" dxfId="1604" priority="127">
      <formula>AX$9&lt;8/24</formula>
    </cfRule>
    <cfRule type="expression" dxfId="1603" priority="124">
      <formula>AX$9&gt;=20/24</formula>
    </cfRule>
    <cfRule type="expression" dxfId="1602" priority="125">
      <formula>AND(AX$9&gt;=14/24,AX$9&lt;20/24)</formula>
    </cfRule>
    <cfRule type="expression" dxfId="1601" priority="126">
      <formula>AND(AX$9&gt;=8/24,AX$9&lt;14/24)</formula>
    </cfRule>
  </conditionalFormatting>
  <conditionalFormatting sqref="V3 AB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X11:AF52">
    <cfRule type="expression" dxfId="1600" priority="23">
      <formula>X11&gt;$AG11</formula>
    </cfRule>
  </conditionalFormatting>
  <conditionalFormatting sqref="X53:AF55">
    <cfRule type="expression" dxfId="1599" priority="63">
      <formula>X53&gt;$AG53</formula>
    </cfRule>
  </conditionalFormatting>
  <conditionalFormatting sqref="X53:AF57">
    <cfRule type="expression" dxfId="1598" priority="62">
      <formula>X$9&lt;8/24</formula>
    </cfRule>
  </conditionalFormatting>
  <conditionalFormatting sqref="X63:AF68">
    <cfRule type="expression" dxfId="1597" priority="58">
      <formula>X$9&gt;=20/24</formula>
    </cfRule>
    <cfRule type="expression" dxfId="1596" priority="59">
      <formula>AND(X$9&gt;=14/24,X$9&lt;20/24)</formula>
    </cfRule>
    <cfRule type="expression" dxfId="1595" priority="61">
      <formula>X$9&lt;8/24</formula>
    </cfRule>
    <cfRule type="expression" dxfId="1594" priority="60">
      <formula>AND(X$9&gt;=8/24,X$9&lt;14/24)</formula>
    </cfRule>
  </conditionalFormatting>
  <conditionalFormatting sqref="AB8">
    <cfRule type="expression" dxfId="1593" priority="95">
      <formula>AD$9&gt;=20/24</formula>
    </cfRule>
    <cfRule type="expression" dxfId="1592" priority="96">
      <formula>AND(AD$9&gt;=14/24,AD$9&lt;20/24)</formula>
    </cfRule>
    <cfRule type="expression" dxfId="1591" priority="97">
      <formula>AND(AD$9&gt;=8/24,AD$9&lt;14/24)</formula>
    </cfRule>
    <cfRule type="expression" dxfId="1590" priority="98">
      <formula>AD$9&lt;8/24</formula>
    </cfRule>
  </conditionalFormatting>
  <conditionalFormatting sqref="AG58">
    <cfRule type="expression" dxfId="1589" priority="82">
      <formula>AG58&gt;$AG58</formula>
    </cfRule>
  </conditionalFormatting>
  <conditionalFormatting sqref="AG97">
    <cfRule type="expression" dxfId="1588" priority="83">
      <formula>AG$9&gt;=20/24</formula>
    </cfRule>
    <cfRule type="expression" dxfId="1587" priority="84">
      <formula>AND(AG$9&gt;=14/24,AG$9&lt;20/24)</formula>
    </cfRule>
    <cfRule type="expression" dxfId="1586" priority="86">
      <formula>AG$9&lt;8/24</formula>
    </cfRule>
    <cfRule type="expression" dxfId="1585" priority="85">
      <formula>AND(AG$9&gt;=8/24,AG$9&lt;14/24)</formula>
    </cfRule>
  </conditionalFormatting>
  <conditionalFormatting sqref="AG258">
    <cfRule type="expression" dxfId="1584" priority="119">
      <formula>B$9&lt;8/24</formula>
    </cfRule>
    <cfRule type="expression" dxfId="1583" priority="116">
      <formula>B$9&gt;=20/24</formula>
    </cfRule>
    <cfRule type="expression" dxfId="1582" priority="117">
      <formula>AND(B$9&gt;=14/24,B$9&lt;20/24)</formula>
    </cfRule>
    <cfRule type="expression" dxfId="1581" priority="118">
      <formula>AND(B$9&gt;=8/24,B$9&lt;14/24)</formula>
    </cfRule>
  </conditionalFormatting>
  <conditionalFormatting sqref="AH258:AX258">
    <cfRule type="expression" dxfId="1580" priority="120">
      <formula>AG$9&gt;=20/24</formula>
    </cfRule>
    <cfRule type="expression" dxfId="1579" priority="121">
      <formula>AND(AG$9&gt;=14/24,AG$9&lt;20/24)</formula>
    </cfRule>
    <cfRule type="expression" dxfId="1578" priority="122">
      <formula>AND(AG$9&gt;=8/24,AG$9&lt;14/24)</formula>
    </cfRule>
    <cfRule type="expression" dxfId="1577" priority="123">
      <formula>AG$9&lt;8/24</formula>
    </cfRule>
  </conditionalFormatting>
  <conditionalFormatting sqref="AL4:AL6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576" priority="129">
      <formula>AJ$9&gt;=20/24</formula>
    </cfRule>
    <cfRule type="expression" dxfId="1575" priority="130">
      <formula>AND(AJ$9&gt;=14/24,AJ$9&lt;20/24)</formula>
    </cfRule>
    <cfRule type="expression" dxfId="1574" priority="131">
      <formula>AND(AJ$9&gt;=8/24,AJ$9&lt;14/24)</formula>
    </cfRule>
    <cfRule type="expression" dxfId="1573" priority="132">
      <formula>AJ$9&lt;8/24</formula>
    </cfRule>
  </conditionalFormatting>
  <conditionalFormatting sqref="AL88:AN88 AL94:AN94">
    <cfRule type="expression" dxfId="1572" priority="78">
      <formula>AL$9&lt;8/24</formula>
    </cfRule>
    <cfRule type="expression" dxfId="1571" priority="77">
      <formula>AND(AL$9&gt;=8/24,AL$9&lt;14/24)</formula>
    </cfRule>
    <cfRule type="expression" dxfId="1570" priority="75">
      <formula>AL$9&gt;=20/24</formula>
    </cfRule>
    <cfRule type="expression" dxfId="1569" priority="76">
      <formula>AND(AL$9&gt;=14/24,AL$9&lt;20/24)</formula>
    </cfRule>
  </conditionalFormatting>
  <conditionalFormatting sqref="AN89:AN92">
    <cfRule type="expression" dxfId="1568" priority="74">
      <formula>AN$9&lt;8/24</formula>
    </cfRule>
    <cfRule type="expression" dxfId="1567" priority="73">
      <formula>AND(AN$9&gt;=8/24,AN$9&lt;14/24)</formula>
    </cfRule>
    <cfRule type="expression" dxfId="1566" priority="72">
      <formula>AND(AN$9&gt;=14/24,AN$9&lt;20/24)</formula>
    </cfRule>
    <cfRule type="expression" dxfId="1565" priority="7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0CA6-1492-4CD1-8B9C-7B903CA6BCAB}">
  <sheetPr codeName="Sheet20"/>
  <dimension ref="A1:CJ291"/>
  <sheetViews>
    <sheetView zoomScale="106" workbookViewId="0">
      <pane xSplit="1" ySplit="10" topLeftCell="B53" activePane="bottomRight" state="frozen"/>
      <selection activeCell="P118" sqref="P118"/>
      <selection pane="topRight" activeCell="P118" sqref="P118"/>
      <selection pane="bottomLeft" activeCell="P118" sqref="P118"/>
      <selection pane="bottomRight" activeCell="U126" sqref="U12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2080/09/19</v>
      </c>
      <c r="C4" s="246"/>
      <c r="D4" s="246"/>
      <c r="E4" s="247" t="str">
        <f ca="1">"2080/"&amp;"09/"&amp;INT(MID(CELL("filename",G6),FIND("]",CELL("filename",G6))+1,200))</f>
        <v>2080/09/19</v>
      </c>
      <c r="F4" s="247"/>
      <c r="G4" s="247"/>
      <c r="H4" s="247" t="str">
        <f ca="1">TEXT(E4,"dddd")</f>
        <v>Thursday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186</v>
      </c>
      <c r="C5" s="30">
        <f t="shared" si="0"/>
        <v>194</v>
      </c>
      <c r="D5" s="30">
        <f t="shared" si="0"/>
        <v>207</v>
      </c>
      <c r="E5" s="30">
        <f t="shared" si="0"/>
        <v>206.7</v>
      </c>
      <c r="F5" s="30">
        <f t="shared" si="0"/>
        <v>249.2</v>
      </c>
      <c r="G5" s="30">
        <f t="shared" si="0"/>
        <v>304</v>
      </c>
      <c r="H5" s="30">
        <f t="shared" si="0"/>
        <v>413</v>
      </c>
      <c r="I5" s="30">
        <f t="shared" si="0"/>
        <v>417.8</v>
      </c>
      <c r="J5" s="30">
        <f t="shared" si="0"/>
        <v>456.1</v>
      </c>
      <c r="K5" s="30">
        <f t="shared" si="0"/>
        <v>222</v>
      </c>
      <c r="L5" s="30">
        <f t="shared" si="0"/>
        <v>86.1</v>
      </c>
      <c r="M5" s="30">
        <f t="shared" si="0"/>
        <v>31.799999999999997</v>
      </c>
      <c r="N5" s="30">
        <f t="shared" si="0"/>
        <v>70</v>
      </c>
      <c r="O5" s="30">
        <f t="shared" si="0"/>
        <v>240</v>
      </c>
      <c r="P5" s="30">
        <f t="shared" si="0"/>
        <v>338.9</v>
      </c>
      <c r="Q5" s="30">
        <f t="shared" si="0"/>
        <v>400.1</v>
      </c>
      <c r="R5" s="30">
        <f t="shared" si="0"/>
        <v>423.8</v>
      </c>
      <c r="S5" s="30">
        <f t="shared" si="0"/>
        <v>432</v>
      </c>
      <c r="T5" s="30">
        <f t="shared" si="0"/>
        <v>417.8</v>
      </c>
      <c r="U5" s="30">
        <f t="shared" si="0"/>
        <v>72</v>
      </c>
      <c r="V5" s="30">
        <f t="shared" si="0"/>
        <v>91.2</v>
      </c>
      <c r="W5" s="30">
        <f t="shared" si="0"/>
        <v>92</v>
      </c>
      <c r="X5" s="30">
        <f t="shared" si="0"/>
        <v>106.8</v>
      </c>
      <c r="Y5" s="30">
        <f t="shared" si="0"/>
        <v>136.4</v>
      </c>
      <c r="Z5" s="30">
        <f t="shared" si="0"/>
        <v>212.6</v>
      </c>
      <c r="AA5" s="30">
        <f t="shared" si="0"/>
        <v>250</v>
      </c>
      <c r="AB5" s="30">
        <f t="shared" si="0"/>
        <v>285</v>
      </c>
      <c r="AC5" s="30">
        <f t="shared" si="0"/>
        <v>311</v>
      </c>
      <c r="AD5" s="30">
        <f t="shared" si="0"/>
        <v>317</v>
      </c>
      <c r="AE5" s="30">
        <f t="shared" si="0"/>
        <v>228</v>
      </c>
      <c r="AF5" s="30">
        <f>B92</f>
        <v>244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1691MW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Load=977</v>
      </c>
      <c r="B7" s="35">
        <f>B100</f>
        <v>1034.6400000000001</v>
      </c>
      <c r="C7" s="35">
        <f t="shared" ref="C7:AF7" si="1">C100</f>
        <v>976.6400000000001</v>
      </c>
      <c r="D7" s="35">
        <f t="shared" si="1"/>
        <v>984.6400000000001</v>
      </c>
      <c r="E7" s="35">
        <f t="shared" si="1"/>
        <v>987.6400000000001</v>
      </c>
      <c r="F7" s="35">
        <f t="shared" si="1"/>
        <v>986.6400000000001</v>
      </c>
      <c r="G7" s="35">
        <f t="shared" si="1"/>
        <v>1040.0400000000002</v>
      </c>
      <c r="H7" s="35">
        <f t="shared" si="1"/>
        <v>1113.0400000000002</v>
      </c>
      <c r="I7" s="35">
        <f t="shared" si="1"/>
        <v>1257.7400000000002</v>
      </c>
      <c r="J7" s="35">
        <f t="shared" si="1"/>
        <v>1362.5400000000002</v>
      </c>
      <c r="K7" s="35">
        <f t="shared" si="1"/>
        <v>1609.19</v>
      </c>
      <c r="L7" s="35">
        <f t="shared" si="1"/>
        <v>1691.2400000000002</v>
      </c>
      <c r="M7" s="35">
        <f t="shared" si="1"/>
        <v>1686.1399999999999</v>
      </c>
      <c r="N7" s="35">
        <f t="shared" si="1"/>
        <v>1590.4399999999998</v>
      </c>
      <c r="O7" s="35">
        <f t="shared" si="1"/>
        <v>1509.24</v>
      </c>
      <c r="P7" s="35">
        <f t="shared" si="1"/>
        <v>1386.64</v>
      </c>
      <c r="Q7" s="35">
        <f t="shared" si="1"/>
        <v>1332.3400000000001</v>
      </c>
      <c r="R7" s="35">
        <f t="shared" si="1"/>
        <v>1322.3400000000001</v>
      </c>
      <c r="S7" s="35">
        <f t="shared" si="1"/>
        <v>1317.54</v>
      </c>
      <c r="T7" s="35">
        <f t="shared" si="1"/>
        <v>1369.14</v>
      </c>
      <c r="U7" s="35">
        <f t="shared" si="1"/>
        <v>1396.54</v>
      </c>
      <c r="V7" s="35">
        <f t="shared" si="1"/>
        <v>1502.4399999999998</v>
      </c>
      <c r="W7" s="35">
        <f t="shared" si="1"/>
        <v>1553.84</v>
      </c>
      <c r="X7" s="35">
        <f t="shared" si="1"/>
        <v>1745.4399999999998</v>
      </c>
      <c r="Y7" s="35">
        <f t="shared" si="1"/>
        <v>1714.0399999999997</v>
      </c>
      <c r="Z7" s="35">
        <f t="shared" si="1"/>
        <v>1639.54</v>
      </c>
      <c r="AA7" s="35">
        <f t="shared" si="1"/>
        <v>1672.3399999999997</v>
      </c>
      <c r="AB7" s="35">
        <f t="shared" si="1"/>
        <v>1462.6399999999999</v>
      </c>
      <c r="AC7" s="35">
        <f t="shared" si="1"/>
        <v>1395.6399999999999</v>
      </c>
      <c r="AD7" s="35">
        <f t="shared" si="1"/>
        <v>1315.3400000000001</v>
      </c>
      <c r="AE7" s="35">
        <f t="shared" si="1"/>
        <v>1178.1400000000001</v>
      </c>
      <c r="AF7" s="35">
        <f t="shared" si="1"/>
        <v>1052.1400000000001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40.700000000000003</v>
      </c>
      <c r="C11" s="45">
        <v>40.700000000000003</v>
      </c>
      <c r="D11" s="45">
        <v>40.700000000000003</v>
      </c>
      <c r="E11" s="45">
        <v>40.700000000000003</v>
      </c>
      <c r="F11" s="45">
        <v>40.700000000000003</v>
      </c>
      <c r="G11" s="45">
        <v>36.700000000000003</v>
      </c>
      <c r="H11" s="45">
        <v>36.700000000000003</v>
      </c>
      <c r="I11" s="45">
        <v>36.700000000000003</v>
      </c>
      <c r="J11" s="45">
        <v>35.700000000000003</v>
      </c>
      <c r="K11" s="45">
        <v>37.299999999999997</v>
      </c>
      <c r="L11" s="45">
        <v>37.299999999999997</v>
      </c>
      <c r="M11" s="45">
        <v>36.700000000000003</v>
      </c>
      <c r="N11" s="45">
        <v>36.700000000000003</v>
      </c>
      <c r="O11" s="45">
        <v>35.700000000000003</v>
      </c>
      <c r="P11" s="45">
        <v>34.700000000000003</v>
      </c>
      <c r="Q11" s="45">
        <v>31.9</v>
      </c>
      <c r="R11" s="45">
        <v>37.4</v>
      </c>
      <c r="S11" s="45">
        <v>31.9</v>
      </c>
      <c r="T11" s="45">
        <v>31.9</v>
      </c>
      <c r="U11" s="45">
        <v>31.9</v>
      </c>
      <c r="V11" s="45">
        <v>31.9</v>
      </c>
      <c r="W11" s="45">
        <v>31.9</v>
      </c>
      <c r="X11" s="45">
        <v>31.9</v>
      </c>
      <c r="Y11" s="45">
        <v>31.9</v>
      </c>
      <c r="Z11" s="45">
        <v>31.9</v>
      </c>
      <c r="AA11" s="45">
        <v>31.9</v>
      </c>
      <c r="AB11" s="45">
        <v>31.9</v>
      </c>
      <c r="AC11" s="45">
        <v>31.9</v>
      </c>
      <c r="AD11" s="45">
        <v>31.9</v>
      </c>
      <c r="AE11" s="45">
        <v>31.9</v>
      </c>
      <c r="AF11" s="45">
        <v>31.9</v>
      </c>
      <c r="AG11" s="46">
        <v>86</v>
      </c>
      <c r="AH11" s="47">
        <f t="shared" ref="AH11:AH84" si="2">MAX(B11:AF11)</f>
        <v>40.700000000000003</v>
      </c>
      <c r="AI11" s="48">
        <f t="shared" ref="AI11:AI84" si="3">MIN(B11:AF11)</f>
        <v>31.9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13.8</v>
      </c>
      <c r="C12" s="45">
        <v>13.8</v>
      </c>
      <c r="D12" s="45">
        <v>13.8</v>
      </c>
      <c r="E12" s="45">
        <v>13.8</v>
      </c>
      <c r="F12" s="45">
        <v>13.8</v>
      </c>
      <c r="G12" s="45">
        <v>13</v>
      </c>
      <c r="H12" s="45">
        <v>13</v>
      </c>
      <c r="I12" s="45">
        <v>13</v>
      </c>
      <c r="J12" s="45">
        <v>13</v>
      </c>
      <c r="K12" s="45">
        <v>13</v>
      </c>
      <c r="L12" s="45">
        <v>13</v>
      </c>
      <c r="M12" s="45">
        <v>13</v>
      </c>
      <c r="N12" s="45">
        <v>13</v>
      </c>
      <c r="O12" s="45">
        <v>13</v>
      </c>
      <c r="P12" s="45">
        <v>13</v>
      </c>
      <c r="Q12" s="45">
        <v>13</v>
      </c>
      <c r="R12" s="45">
        <v>13</v>
      </c>
      <c r="S12" s="45">
        <v>13</v>
      </c>
      <c r="T12" s="45">
        <v>13</v>
      </c>
      <c r="U12" s="45">
        <v>13</v>
      </c>
      <c r="V12" s="45">
        <v>13</v>
      </c>
      <c r="W12" s="45">
        <v>13</v>
      </c>
      <c r="X12" s="45">
        <v>13</v>
      </c>
      <c r="Y12" s="45">
        <v>13</v>
      </c>
      <c r="Z12" s="45">
        <v>13</v>
      </c>
      <c r="AA12" s="45">
        <v>13</v>
      </c>
      <c r="AB12" s="45">
        <v>13</v>
      </c>
      <c r="AC12" s="45">
        <v>13</v>
      </c>
      <c r="AD12" s="45">
        <v>13</v>
      </c>
      <c r="AE12" s="45">
        <v>13</v>
      </c>
      <c r="AF12" s="45">
        <v>13</v>
      </c>
      <c r="AG12" s="49">
        <v>54</v>
      </c>
      <c r="AH12" s="47">
        <f t="shared" si="2"/>
        <v>13.8</v>
      </c>
      <c r="AI12" s="48">
        <f t="shared" si="3"/>
        <v>13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17</v>
      </c>
      <c r="C13" s="45">
        <v>17</v>
      </c>
      <c r="D13" s="45">
        <v>17</v>
      </c>
      <c r="E13" s="45">
        <v>17</v>
      </c>
      <c r="F13" s="45">
        <v>17</v>
      </c>
      <c r="G13" s="45">
        <v>17</v>
      </c>
      <c r="H13" s="45">
        <v>16</v>
      </c>
      <c r="I13" s="45">
        <v>16</v>
      </c>
      <c r="J13" s="45">
        <v>16</v>
      </c>
      <c r="K13" s="45">
        <v>16</v>
      </c>
      <c r="L13" s="45">
        <v>16</v>
      </c>
      <c r="M13" s="45">
        <v>16</v>
      </c>
      <c r="N13" s="45">
        <v>16</v>
      </c>
      <c r="O13" s="45">
        <v>16</v>
      </c>
      <c r="P13" s="45">
        <v>16</v>
      </c>
      <c r="Q13" s="45">
        <v>16</v>
      </c>
      <c r="R13" s="45">
        <v>16</v>
      </c>
      <c r="S13" s="45">
        <v>16</v>
      </c>
      <c r="T13" s="45">
        <v>16</v>
      </c>
      <c r="U13" s="45">
        <v>16</v>
      </c>
      <c r="V13" s="45">
        <v>16</v>
      </c>
      <c r="W13" s="45">
        <v>16</v>
      </c>
      <c r="X13" s="45">
        <v>16</v>
      </c>
      <c r="Y13" s="45">
        <v>16</v>
      </c>
      <c r="Z13" s="45">
        <v>16</v>
      </c>
      <c r="AA13" s="45">
        <v>16</v>
      </c>
      <c r="AB13" s="45">
        <v>16</v>
      </c>
      <c r="AC13" s="45">
        <v>16</v>
      </c>
      <c r="AD13" s="45">
        <v>16</v>
      </c>
      <c r="AE13" s="45">
        <v>16</v>
      </c>
      <c r="AF13" s="45">
        <v>16</v>
      </c>
      <c r="AG13" s="49">
        <v>54</v>
      </c>
      <c r="AH13" s="47">
        <f t="shared" si="2"/>
        <v>17</v>
      </c>
      <c r="AI13" s="48">
        <f t="shared" si="3"/>
        <v>16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18.5</v>
      </c>
      <c r="C14" s="45">
        <v>18.5</v>
      </c>
      <c r="D14" s="45">
        <v>18.5</v>
      </c>
      <c r="E14" s="45">
        <v>18.5</v>
      </c>
      <c r="F14" s="45">
        <v>18.5</v>
      </c>
      <c r="G14" s="45">
        <v>19</v>
      </c>
      <c r="H14" s="45">
        <v>19</v>
      </c>
      <c r="I14" s="45">
        <v>19</v>
      </c>
      <c r="J14" s="45">
        <v>19</v>
      </c>
      <c r="K14" s="45">
        <v>18</v>
      </c>
      <c r="L14" s="45">
        <v>18</v>
      </c>
      <c r="M14" s="45">
        <v>18</v>
      </c>
      <c r="N14" s="45">
        <v>18</v>
      </c>
      <c r="O14" s="45">
        <v>18</v>
      </c>
      <c r="P14" s="45">
        <v>18</v>
      </c>
      <c r="Q14" s="45">
        <v>18</v>
      </c>
      <c r="R14" s="45">
        <v>18</v>
      </c>
      <c r="S14" s="45">
        <v>18</v>
      </c>
      <c r="T14" s="45">
        <v>18</v>
      </c>
      <c r="U14" s="45">
        <v>18</v>
      </c>
      <c r="V14" s="45">
        <v>18</v>
      </c>
      <c r="W14" s="45">
        <v>18</v>
      </c>
      <c r="X14" s="45">
        <v>18</v>
      </c>
      <c r="Y14" s="45">
        <v>18</v>
      </c>
      <c r="Z14" s="45">
        <v>18</v>
      </c>
      <c r="AA14" s="45">
        <v>18</v>
      </c>
      <c r="AB14" s="45">
        <v>18</v>
      </c>
      <c r="AC14" s="45">
        <v>18</v>
      </c>
      <c r="AD14" s="45">
        <v>18</v>
      </c>
      <c r="AE14" s="45">
        <v>18</v>
      </c>
      <c r="AF14" s="45">
        <v>18</v>
      </c>
      <c r="AG14" s="46">
        <v>52.4</v>
      </c>
      <c r="AH14" s="47">
        <f t="shared" si="2"/>
        <v>19</v>
      </c>
      <c r="AI14" s="48">
        <f t="shared" si="3"/>
        <v>18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40.5</v>
      </c>
      <c r="C15" s="45">
        <v>40.5</v>
      </c>
      <c r="D15" s="45">
        <v>40.5</v>
      </c>
      <c r="E15" s="45">
        <v>40.5</v>
      </c>
      <c r="F15" s="45">
        <v>40.5</v>
      </c>
      <c r="G15" s="45">
        <v>39.799999999999997</v>
      </c>
      <c r="H15" s="45">
        <v>39.799999999999997</v>
      </c>
      <c r="I15" s="45">
        <v>39.799999999999997</v>
      </c>
      <c r="J15" s="45">
        <v>39.799999999999997</v>
      </c>
      <c r="K15" s="45">
        <v>39.799999999999997</v>
      </c>
      <c r="L15" s="45">
        <v>39.799999999999997</v>
      </c>
      <c r="M15" s="45">
        <v>39.4</v>
      </c>
      <c r="N15" s="45">
        <v>39.4</v>
      </c>
      <c r="O15" s="45">
        <v>39.4</v>
      </c>
      <c r="P15" s="45">
        <v>39.4</v>
      </c>
      <c r="Q15" s="45">
        <v>39.4</v>
      </c>
      <c r="R15" s="45">
        <v>39.4</v>
      </c>
      <c r="S15" s="45">
        <v>39.4</v>
      </c>
      <c r="T15" s="45">
        <v>39.4</v>
      </c>
      <c r="U15" s="45">
        <v>39.4</v>
      </c>
      <c r="V15" s="45">
        <v>39.4</v>
      </c>
      <c r="W15" s="45">
        <v>39.4</v>
      </c>
      <c r="X15" s="51">
        <v>39.4</v>
      </c>
      <c r="Y15" s="51">
        <v>39.4</v>
      </c>
      <c r="Z15" s="51">
        <v>39.4</v>
      </c>
      <c r="AA15" s="51">
        <v>39.4</v>
      </c>
      <c r="AB15" s="51">
        <v>39.4</v>
      </c>
      <c r="AC15" s="51">
        <v>39.4</v>
      </c>
      <c r="AD15" s="51">
        <v>39.4</v>
      </c>
      <c r="AE15" s="51">
        <v>39.4</v>
      </c>
      <c r="AF15" s="51">
        <v>39.4</v>
      </c>
      <c r="AG15" s="49">
        <v>50</v>
      </c>
      <c r="AH15" s="47">
        <f t="shared" si="2"/>
        <v>40.5</v>
      </c>
      <c r="AI15" s="48">
        <f t="shared" si="3"/>
        <v>39.4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20.6</v>
      </c>
      <c r="C16" s="45">
        <v>20.6</v>
      </c>
      <c r="D16" s="45">
        <v>20.6</v>
      </c>
      <c r="E16" s="45">
        <v>20.6</v>
      </c>
      <c r="F16" s="45">
        <v>20.6</v>
      </c>
      <c r="G16" s="45">
        <v>19.100000000000001</v>
      </c>
      <c r="H16" s="45">
        <v>19.100000000000001</v>
      </c>
      <c r="I16" s="45">
        <v>19.100000000000001</v>
      </c>
      <c r="J16" s="45">
        <v>19.100000000000001</v>
      </c>
      <c r="K16" s="45">
        <v>19.100000000000001</v>
      </c>
      <c r="L16" s="45">
        <v>19.100000000000001</v>
      </c>
      <c r="M16" s="45">
        <v>19.399999999999999</v>
      </c>
      <c r="N16" s="45">
        <v>19.399999999999999</v>
      </c>
      <c r="O16" s="45">
        <v>19.399999999999999</v>
      </c>
      <c r="P16" s="45">
        <v>19.399999999999999</v>
      </c>
      <c r="Q16" s="45">
        <v>19.399999999999999</v>
      </c>
      <c r="R16" s="45">
        <v>19.399999999999999</v>
      </c>
      <c r="S16" s="45">
        <v>19.399999999999999</v>
      </c>
      <c r="T16" s="45">
        <v>19.399999999999999</v>
      </c>
      <c r="U16" s="45">
        <v>19.399999999999999</v>
      </c>
      <c r="V16" s="45">
        <v>19.399999999999999</v>
      </c>
      <c r="W16" s="45">
        <v>19.399999999999999</v>
      </c>
      <c r="X16" s="45">
        <v>19.399999999999999</v>
      </c>
      <c r="Y16" s="45">
        <v>19.399999999999999</v>
      </c>
      <c r="Z16" s="45">
        <v>19.399999999999999</v>
      </c>
      <c r="AA16" s="45">
        <v>19.399999999999999</v>
      </c>
      <c r="AB16" s="45">
        <v>19.399999999999999</v>
      </c>
      <c r="AC16" s="45">
        <v>19.399999999999999</v>
      </c>
      <c r="AD16" s="45">
        <v>19.399999999999999</v>
      </c>
      <c r="AE16" s="45">
        <v>19.399999999999999</v>
      </c>
      <c r="AF16" s="45">
        <v>19.399999999999999</v>
      </c>
      <c r="AG16" s="49">
        <v>45</v>
      </c>
      <c r="AH16" s="47">
        <f t="shared" si="2"/>
        <v>20.6</v>
      </c>
      <c r="AI16" s="48">
        <f t="shared" si="3"/>
        <v>19.100000000000001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10</v>
      </c>
      <c r="C18" s="45">
        <v>10</v>
      </c>
      <c r="D18" s="45">
        <v>10</v>
      </c>
      <c r="E18" s="45">
        <v>10</v>
      </c>
      <c r="F18" s="45">
        <v>10</v>
      </c>
      <c r="G18" s="45">
        <v>11</v>
      </c>
      <c r="H18" s="45">
        <v>11</v>
      </c>
      <c r="I18" s="45">
        <v>11</v>
      </c>
      <c r="J18" s="45">
        <v>11</v>
      </c>
      <c r="K18" s="45">
        <v>11</v>
      </c>
      <c r="L18" s="45">
        <v>11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10</v>
      </c>
      <c r="T18" s="45">
        <v>10</v>
      </c>
      <c r="U18" s="45">
        <v>10</v>
      </c>
      <c r="V18" s="45">
        <v>10</v>
      </c>
      <c r="W18" s="45">
        <v>10</v>
      </c>
      <c r="X18" s="45">
        <v>10</v>
      </c>
      <c r="Y18" s="45">
        <v>10</v>
      </c>
      <c r="Z18" s="45">
        <v>10</v>
      </c>
      <c r="AA18" s="45">
        <v>10</v>
      </c>
      <c r="AB18" s="45">
        <v>10</v>
      </c>
      <c r="AC18" s="45">
        <v>10</v>
      </c>
      <c r="AD18" s="45">
        <v>10</v>
      </c>
      <c r="AE18" s="45">
        <v>10</v>
      </c>
      <c r="AF18" s="45">
        <v>10</v>
      </c>
      <c r="AG18" s="49">
        <v>42</v>
      </c>
      <c r="AH18" s="47">
        <f t="shared" si="2"/>
        <v>11</v>
      </c>
      <c r="AI18" s="48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12.5</v>
      </c>
      <c r="C20" s="45">
        <v>12.5</v>
      </c>
      <c r="D20" s="45">
        <v>12.5</v>
      </c>
      <c r="E20" s="45">
        <v>12.5</v>
      </c>
      <c r="F20" s="45">
        <v>12.5</v>
      </c>
      <c r="G20" s="45">
        <v>12.5</v>
      </c>
      <c r="H20" s="45">
        <v>12.5</v>
      </c>
      <c r="I20" s="45">
        <v>12.5</v>
      </c>
      <c r="J20" s="45">
        <v>12.5</v>
      </c>
      <c r="K20" s="45">
        <v>12.5</v>
      </c>
      <c r="L20" s="45">
        <v>12.5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12.5</v>
      </c>
      <c r="T20" s="45">
        <v>12.5</v>
      </c>
      <c r="U20" s="45">
        <v>12.5</v>
      </c>
      <c r="V20" s="45">
        <v>12.5</v>
      </c>
      <c r="W20" s="45">
        <v>12.5</v>
      </c>
      <c r="X20" s="45">
        <v>12.5</v>
      </c>
      <c r="Y20" s="45">
        <v>12.5</v>
      </c>
      <c r="Z20" s="45">
        <v>12.5</v>
      </c>
      <c r="AA20" s="45">
        <v>12.5</v>
      </c>
      <c r="AB20" s="45">
        <v>12.5</v>
      </c>
      <c r="AC20" s="45">
        <v>12.5</v>
      </c>
      <c r="AD20" s="45">
        <v>12.5</v>
      </c>
      <c r="AE20" s="45">
        <v>12.5</v>
      </c>
      <c r="AF20" s="45">
        <v>12.5</v>
      </c>
      <c r="AG20" s="49">
        <v>38.46</v>
      </c>
      <c r="AH20" s="47">
        <f t="shared" si="2"/>
        <v>12.5</v>
      </c>
      <c r="AI20" s="48">
        <f t="shared" si="3"/>
        <v>12.5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11.7</v>
      </c>
      <c r="C22" s="45">
        <v>11.7</v>
      </c>
      <c r="D22" s="45">
        <v>11.7</v>
      </c>
      <c r="E22" s="45">
        <v>11.7</v>
      </c>
      <c r="F22" s="45">
        <v>11.7</v>
      </c>
      <c r="G22" s="45">
        <v>11.7</v>
      </c>
      <c r="H22" s="45">
        <v>11.7</v>
      </c>
      <c r="I22" s="45">
        <v>11.7</v>
      </c>
      <c r="J22" s="45">
        <v>11.7</v>
      </c>
      <c r="K22" s="45">
        <v>11.7</v>
      </c>
      <c r="L22" s="45">
        <v>11.7</v>
      </c>
      <c r="M22" s="45">
        <v>11.7</v>
      </c>
      <c r="N22" s="45">
        <v>11.7</v>
      </c>
      <c r="O22" s="45">
        <v>11.7</v>
      </c>
      <c r="P22" s="45">
        <v>11.7</v>
      </c>
      <c r="Q22" s="45">
        <v>11.7</v>
      </c>
      <c r="R22" s="45">
        <v>11.7</v>
      </c>
      <c r="S22" s="45">
        <v>11.7</v>
      </c>
      <c r="T22" s="45">
        <v>11.7</v>
      </c>
      <c r="U22" s="45">
        <v>11.7</v>
      </c>
      <c r="V22" s="45">
        <v>11.7</v>
      </c>
      <c r="W22" s="45">
        <v>11.7</v>
      </c>
      <c r="X22" s="45">
        <v>11.7</v>
      </c>
      <c r="Y22" s="45">
        <v>11.7</v>
      </c>
      <c r="Z22" s="45">
        <v>11.7</v>
      </c>
      <c r="AA22" s="45">
        <v>11.7</v>
      </c>
      <c r="AB22" s="45">
        <v>11.7</v>
      </c>
      <c r="AC22" s="45">
        <v>11.7</v>
      </c>
      <c r="AD22" s="45">
        <v>11.7</v>
      </c>
      <c r="AE22" s="45">
        <v>11.7</v>
      </c>
      <c r="AF22" s="45">
        <v>11.7</v>
      </c>
      <c r="AG22" s="52">
        <v>30</v>
      </c>
      <c r="AH22" s="47">
        <f t="shared" si="2"/>
        <v>11.7</v>
      </c>
      <c r="AI22" s="48">
        <f t="shared" si="3"/>
        <v>11.7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13.5</v>
      </c>
      <c r="C23" s="45">
        <v>13.5</v>
      </c>
      <c r="D23" s="45">
        <v>13.5</v>
      </c>
      <c r="E23" s="45">
        <v>13.5</v>
      </c>
      <c r="F23" s="45">
        <v>13.5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49">
        <v>24.2</v>
      </c>
      <c r="AH23" s="47">
        <f t="shared" si="2"/>
        <v>13.5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11.6</v>
      </c>
      <c r="C24" s="45">
        <v>11.6</v>
      </c>
      <c r="D24" s="45">
        <v>11.6</v>
      </c>
      <c r="E24" s="45">
        <v>11.6</v>
      </c>
      <c r="F24" s="45">
        <v>11.6</v>
      </c>
      <c r="G24" s="45">
        <v>11.4</v>
      </c>
      <c r="H24" s="45">
        <v>11.4</v>
      </c>
      <c r="I24" s="45">
        <v>11.4</v>
      </c>
      <c r="J24" s="45">
        <v>11.4</v>
      </c>
      <c r="K24" s="45">
        <v>11.4</v>
      </c>
      <c r="L24" s="45">
        <v>11.4</v>
      </c>
      <c r="M24" s="45">
        <v>11</v>
      </c>
      <c r="N24" s="45">
        <v>11</v>
      </c>
      <c r="O24" s="45">
        <v>11</v>
      </c>
      <c r="P24" s="45">
        <v>11</v>
      </c>
      <c r="Q24" s="45">
        <v>11</v>
      </c>
      <c r="R24" s="45">
        <v>11</v>
      </c>
      <c r="S24" s="45">
        <v>11</v>
      </c>
      <c r="T24" s="45">
        <v>11</v>
      </c>
      <c r="U24" s="45">
        <v>11</v>
      </c>
      <c r="V24" s="45">
        <v>11</v>
      </c>
      <c r="W24" s="45">
        <v>11</v>
      </c>
      <c r="X24" s="45">
        <v>11</v>
      </c>
      <c r="Y24" s="45">
        <v>11</v>
      </c>
      <c r="Z24" s="45">
        <v>11</v>
      </c>
      <c r="AA24" s="45">
        <v>11</v>
      </c>
      <c r="AB24" s="45">
        <v>11</v>
      </c>
      <c r="AC24" s="45">
        <v>11</v>
      </c>
      <c r="AD24" s="45">
        <v>11</v>
      </c>
      <c r="AE24" s="45">
        <v>11</v>
      </c>
      <c r="AF24" s="45">
        <v>11</v>
      </c>
      <c r="AG24" s="49">
        <v>28</v>
      </c>
      <c r="AH24" s="47">
        <f t="shared" si="2"/>
        <v>11.6</v>
      </c>
      <c r="AI24" s="48">
        <f t="shared" si="3"/>
        <v>11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9</v>
      </c>
      <c r="E25" s="45">
        <v>9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9</v>
      </c>
      <c r="N25" s="45">
        <v>9</v>
      </c>
      <c r="O25" s="45">
        <v>9</v>
      </c>
      <c r="P25" s="45">
        <v>9</v>
      </c>
      <c r="Q25" s="45">
        <v>9</v>
      </c>
      <c r="R25" s="45">
        <v>9</v>
      </c>
      <c r="S25" s="45">
        <v>9</v>
      </c>
      <c r="T25" s="45">
        <v>9</v>
      </c>
      <c r="U25" s="45">
        <v>9</v>
      </c>
      <c r="V25" s="45">
        <v>9</v>
      </c>
      <c r="W25" s="45">
        <v>9</v>
      </c>
      <c r="X25" s="45">
        <v>9</v>
      </c>
      <c r="Y25" s="45">
        <v>9</v>
      </c>
      <c r="Z25" s="45">
        <v>9</v>
      </c>
      <c r="AA25" s="45">
        <v>9</v>
      </c>
      <c r="AB25" s="45">
        <v>9</v>
      </c>
      <c r="AC25" s="45">
        <v>9</v>
      </c>
      <c r="AD25" s="45">
        <v>9</v>
      </c>
      <c r="AE25" s="45">
        <v>9</v>
      </c>
      <c r="AF25" s="45">
        <v>9</v>
      </c>
      <c r="AG25" s="52">
        <v>30</v>
      </c>
      <c r="AH25" s="47">
        <f t="shared" si="2"/>
        <v>9</v>
      </c>
      <c r="AI25" s="48">
        <f t="shared" si="3"/>
        <v>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11.7</v>
      </c>
      <c r="C26" s="45">
        <v>11.7</v>
      </c>
      <c r="D26" s="45">
        <v>11.7</v>
      </c>
      <c r="E26" s="45">
        <v>11.7</v>
      </c>
      <c r="F26" s="45">
        <v>11.7</v>
      </c>
      <c r="G26" s="45">
        <v>10.9</v>
      </c>
      <c r="H26" s="45">
        <v>10.9</v>
      </c>
      <c r="I26" s="45">
        <v>10.9</v>
      </c>
      <c r="J26" s="45">
        <v>10.9</v>
      </c>
      <c r="K26" s="45">
        <v>10.9</v>
      </c>
      <c r="L26" s="45">
        <v>10.9</v>
      </c>
      <c r="M26" s="45">
        <v>10.9</v>
      </c>
      <c r="N26" s="45">
        <v>10.9</v>
      </c>
      <c r="O26" s="45">
        <v>10.9</v>
      </c>
      <c r="P26" s="45">
        <v>10.9</v>
      </c>
      <c r="Q26" s="45">
        <v>10.9</v>
      </c>
      <c r="R26" s="45">
        <v>10.9</v>
      </c>
      <c r="S26" s="45">
        <v>10.9</v>
      </c>
      <c r="T26" s="45">
        <v>10.9</v>
      </c>
      <c r="U26" s="45">
        <v>10.9</v>
      </c>
      <c r="V26" s="45">
        <v>10.9</v>
      </c>
      <c r="W26" s="45">
        <v>10.9</v>
      </c>
      <c r="X26" s="45">
        <v>10.9</v>
      </c>
      <c r="Y26" s="45">
        <v>10.9</v>
      </c>
      <c r="Z26" s="45">
        <v>10.9</v>
      </c>
      <c r="AA26" s="45">
        <v>10.9</v>
      </c>
      <c r="AB26" s="45">
        <v>10.9</v>
      </c>
      <c r="AC26" s="45">
        <v>10.9</v>
      </c>
      <c r="AD26" s="45">
        <v>10.9</v>
      </c>
      <c r="AE26" s="45">
        <v>10.9</v>
      </c>
      <c r="AF26" s="45">
        <v>10.9</v>
      </c>
      <c r="AG26" s="49">
        <v>25</v>
      </c>
      <c r="AH26" s="47">
        <f t="shared" si="2"/>
        <v>11.7</v>
      </c>
      <c r="AI26" s="48">
        <f t="shared" si="3"/>
        <v>10.9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10.8</v>
      </c>
      <c r="C29" s="45">
        <v>10.8</v>
      </c>
      <c r="D29" s="45">
        <v>10.8</v>
      </c>
      <c r="E29" s="45">
        <v>10.8</v>
      </c>
      <c r="F29" s="45">
        <v>10.8</v>
      </c>
      <c r="G29" s="45">
        <v>10.8</v>
      </c>
      <c r="H29" s="45">
        <v>10.8</v>
      </c>
      <c r="I29" s="45">
        <v>10.8</v>
      </c>
      <c r="J29" s="45">
        <v>10.8</v>
      </c>
      <c r="K29" s="45">
        <v>10.8</v>
      </c>
      <c r="L29" s="45">
        <v>10.8</v>
      </c>
      <c r="M29" s="45">
        <v>10.6</v>
      </c>
      <c r="N29" s="45">
        <v>10.6</v>
      </c>
      <c r="O29" s="45">
        <v>10.6</v>
      </c>
      <c r="P29" s="45">
        <v>10.6</v>
      </c>
      <c r="Q29" s="45">
        <v>10.6</v>
      </c>
      <c r="R29" s="45">
        <v>10.6</v>
      </c>
      <c r="S29" s="45">
        <v>10.6</v>
      </c>
      <c r="T29" s="45">
        <v>10.6</v>
      </c>
      <c r="U29" s="45">
        <v>10.6</v>
      </c>
      <c r="V29" s="45">
        <v>10.6</v>
      </c>
      <c r="W29" s="45">
        <v>10.6</v>
      </c>
      <c r="X29" s="45">
        <v>10.6</v>
      </c>
      <c r="Y29" s="45">
        <v>10.6</v>
      </c>
      <c r="Z29" s="45">
        <v>10.6</v>
      </c>
      <c r="AA29" s="45">
        <v>10.6</v>
      </c>
      <c r="AB29" s="45">
        <v>10.6</v>
      </c>
      <c r="AC29" s="45">
        <v>10.6</v>
      </c>
      <c r="AD29" s="45">
        <v>10.6</v>
      </c>
      <c r="AE29" s="45">
        <v>10.6</v>
      </c>
      <c r="AF29" s="45">
        <v>10.6</v>
      </c>
      <c r="AG29" s="49">
        <v>25</v>
      </c>
      <c r="AH29" s="47">
        <f t="shared" si="2"/>
        <v>10.8</v>
      </c>
      <c r="AI29" s="48">
        <f t="shared" si="3"/>
        <v>10.6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</v>
      </c>
      <c r="C30" s="45">
        <v>10</v>
      </c>
      <c r="D30" s="45">
        <v>10</v>
      </c>
      <c r="E30" s="45">
        <v>10</v>
      </c>
      <c r="F30" s="45">
        <v>10</v>
      </c>
      <c r="G30" s="45">
        <v>10</v>
      </c>
      <c r="H30" s="45">
        <v>10</v>
      </c>
      <c r="I30" s="45">
        <v>10</v>
      </c>
      <c r="J30" s="45">
        <v>10</v>
      </c>
      <c r="K30" s="45">
        <v>10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10</v>
      </c>
      <c r="R30" s="45">
        <v>10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10</v>
      </c>
      <c r="AE30" s="45">
        <v>10</v>
      </c>
      <c r="AF30" s="45">
        <v>10</v>
      </c>
      <c r="AG30" s="49">
        <v>23.5</v>
      </c>
      <c r="AH30" s="47">
        <f t="shared" si="2"/>
        <v>10</v>
      </c>
      <c r="AI30" s="48">
        <f t="shared" si="3"/>
        <v>10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6.26</v>
      </c>
      <c r="C33" s="45">
        <v>6.26</v>
      </c>
      <c r="D33" s="45">
        <v>6.26</v>
      </c>
      <c r="E33" s="45">
        <v>6.26</v>
      </c>
      <c r="F33" s="45">
        <v>6.26</v>
      </c>
      <c r="G33" s="45">
        <v>6.26</v>
      </c>
      <c r="H33" s="45">
        <v>6.26</v>
      </c>
      <c r="I33" s="45">
        <v>6.26</v>
      </c>
      <c r="J33" s="45">
        <v>6.26</v>
      </c>
      <c r="K33" s="45">
        <v>6.26</v>
      </c>
      <c r="L33" s="45">
        <v>6.26</v>
      </c>
      <c r="M33" s="45">
        <v>6.26</v>
      </c>
      <c r="N33" s="45">
        <v>6.26</v>
      </c>
      <c r="O33" s="45">
        <v>6.26</v>
      </c>
      <c r="P33" s="45">
        <v>6.26</v>
      </c>
      <c r="Q33" s="45">
        <v>6.26</v>
      </c>
      <c r="R33" s="45">
        <v>6.26</v>
      </c>
      <c r="S33" s="45">
        <v>6.26</v>
      </c>
      <c r="T33" s="45">
        <v>6.26</v>
      </c>
      <c r="U33" s="45">
        <v>6.26</v>
      </c>
      <c r="V33" s="45">
        <v>6.26</v>
      </c>
      <c r="W33" s="45">
        <v>6.26</v>
      </c>
      <c r="X33" s="45">
        <v>6.26</v>
      </c>
      <c r="Y33" s="45">
        <v>6.26</v>
      </c>
      <c r="Z33" s="45">
        <v>6.26</v>
      </c>
      <c r="AA33" s="45">
        <v>6.26</v>
      </c>
      <c r="AB33" s="45">
        <v>6.26</v>
      </c>
      <c r="AC33" s="45">
        <v>6.26</v>
      </c>
      <c r="AD33" s="45">
        <v>6.26</v>
      </c>
      <c r="AE33" s="45">
        <v>6.26</v>
      </c>
      <c r="AF33" s="45">
        <v>6.26</v>
      </c>
      <c r="AG33" s="49">
        <v>22</v>
      </c>
      <c r="AH33" s="47">
        <f t="shared" si="2"/>
        <v>6.26</v>
      </c>
      <c r="AI33" s="48">
        <f t="shared" si="3"/>
        <v>6.26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7.7</v>
      </c>
      <c r="N34" s="45">
        <v>7.7</v>
      </c>
      <c r="O34" s="45">
        <v>7.7</v>
      </c>
      <c r="P34" s="45">
        <v>7.7</v>
      </c>
      <c r="Q34" s="45">
        <v>7.7</v>
      </c>
      <c r="R34" s="45">
        <v>7.7</v>
      </c>
      <c r="S34" s="45">
        <v>7.7</v>
      </c>
      <c r="T34" s="45">
        <v>7.7</v>
      </c>
      <c r="U34" s="45">
        <v>7.7</v>
      </c>
      <c r="V34" s="45">
        <v>7.7</v>
      </c>
      <c r="W34" s="45">
        <v>7.7</v>
      </c>
      <c r="X34" s="45">
        <v>7.7</v>
      </c>
      <c r="Y34" s="45">
        <v>7.7</v>
      </c>
      <c r="Z34" s="45">
        <v>7.7</v>
      </c>
      <c r="AA34" s="45">
        <v>7.7</v>
      </c>
      <c r="AB34" s="45">
        <v>7.7</v>
      </c>
      <c r="AC34" s="45">
        <v>7.7</v>
      </c>
      <c r="AD34" s="45">
        <v>7.7</v>
      </c>
      <c r="AE34" s="45">
        <v>7.7</v>
      </c>
      <c r="AF34" s="45">
        <v>7.7</v>
      </c>
      <c r="AG34" s="49">
        <v>22</v>
      </c>
      <c r="AH34" s="47">
        <f t="shared" si="2"/>
        <v>10</v>
      </c>
      <c r="AI34" s="48">
        <f t="shared" si="3"/>
        <v>7.7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v>33.9</v>
      </c>
      <c r="C57" s="57">
        <v>33.9</v>
      </c>
      <c r="D57" s="57">
        <v>33.9</v>
      </c>
      <c r="E57" s="57">
        <v>32.700000000000003</v>
      </c>
      <c r="F57" s="57">
        <v>32.700000000000003</v>
      </c>
      <c r="G57" s="57">
        <v>34.1</v>
      </c>
      <c r="H57" s="57">
        <v>34.1</v>
      </c>
      <c r="I57" s="57">
        <v>32.1</v>
      </c>
      <c r="J57" s="57">
        <v>31.4</v>
      </c>
      <c r="K57" s="57">
        <v>31.4</v>
      </c>
      <c r="L57" s="57">
        <v>28.6</v>
      </c>
      <c r="M57" s="57">
        <f>7.2+22.2</f>
        <v>29.4</v>
      </c>
      <c r="N57" s="51">
        <f>22.9+7.4</f>
        <v>30.299999999999997</v>
      </c>
      <c r="O57" s="51">
        <f>23.7+7.9</f>
        <v>31.6</v>
      </c>
      <c r="P57" s="51">
        <f>23.7+7.9</f>
        <v>31.6</v>
      </c>
      <c r="Q57" s="51">
        <f>24.3+8.5</f>
        <v>32.799999999999997</v>
      </c>
      <c r="R57" s="51">
        <f>24.3+8.3</f>
        <v>32.6</v>
      </c>
      <c r="S57" s="51">
        <f>24.3+8.3</f>
        <v>32.6</v>
      </c>
      <c r="T57" s="51">
        <v>31.2</v>
      </c>
      <c r="U57" s="51">
        <v>31.2</v>
      </c>
      <c r="V57" s="51">
        <f>6.8+21.1</f>
        <v>27.900000000000002</v>
      </c>
      <c r="W57" s="51">
        <f>6.8+21.1</f>
        <v>27.900000000000002</v>
      </c>
      <c r="X57" s="57">
        <v>26.4</v>
      </c>
      <c r="Y57" s="57">
        <v>26.4</v>
      </c>
      <c r="Z57" s="57">
        <v>26.4</v>
      </c>
      <c r="AA57" s="57">
        <v>26.4</v>
      </c>
      <c r="AB57" s="57">
        <v>26.4</v>
      </c>
      <c r="AC57" s="57">
        <v>26.4</v>
      </c>
      <c r="AD57" s="57">
        <v>26.4</v>
      </c>
      <c r="AE57" s="57">
        <v>26.4</v>
      </c>
      <c r="AF57" s="57">
        <v>26.4</v>
      </c>
      <c r="AG57" s="55">
        <v>240</v>
      </c>
      <c r="AH57" s="47">
        <f t="shared" si="2"/>
        <v>34.1</v>
      </c>
      <c r="AI57" s="48">
        <f t="shared" si="3"/>
        <v>26.4</v>
      </c>
      <c r="AK57" s="50"/>
    </row>
    <row r="58" spans="1:88" ht="15.75" thickBot="1" x14ac:dyDescent="0.3">
      <c r="A58" s="59" t="s">
        <v>58</v>
      </c>
      <c r="B58" s="60">
        <f t="shared" ref="B58:AA58" si="4">SUM(B11:B56)</f>
        <v>629.40000000000009</v>
      </c>
      <c r="C58" s="60">
        <f t="shared" si="4"/>
        <v>629.40000000000009</v>
      </c>
      <c r="D58" s="60">
        <f t="shared" si="4"/>
        <v>629.40000000000009</v>
      </c>
      <c r="E58" s="60">
        <f t="shared" si="4"/>
        <v>629.40000000000009</v>
      </c>
      <c r="F58" s="60">
        <f t="shared" ref="F58" si="5">SUM(F11:F56)</f>
        <v>629.40000000000009</v>
      </c>
      <c r="G58" s="60">
        <f t="shared" si="4"/>
        <v>619.40000000000009</v>
      </c>
      <c r="H58" s="60">
        <f t="shared" si="4"/>
        <v>618.40000000000009</v>
      </c>
      <c r="I58" s="60">
        <f t="shared" si="4"/>
        <v>618.40000000000009</v>
      </c>
      <c r="J58" s="60">
        <f t="shared" si="4"/>
        <v>617.40000000000009</v>
      </c>
      <c r="K58" s="60">
        <f t="shared" ref="K58" si="6">SUM(K11:K56)</f>
        <v>618</v>
      </c>
      <c r="L58" s="60">
        <f t="shared" si="4"/>
        <v>618</v>
      </c>
      <c r="M58" s="60">
        <f t="shared" ref="M58" si="7">SUM(M11:M56)</f>
        <v>613.40000000000009</v>
      </c>
      <c r="N58" s="60">
        <f t="shared" si="4"/>
        <v>613.40000000000009</v>
      </c>
      <c r="O58" s="60">
        <f t="shared" si="4"/>
        <v>612.40000000000009</v>
      </c>
      <c r="P58" s="60">
        <f t="shared" si="4"/>
        <v>611.40000000000009</v>
      </c>
      <c r="Q58" s="60">
        <f t="shared" si="4"/>
        <v>608.6</v>
      </c>
      <c r="R58" s="60">
        <f t="shared" si="4"/>
        <v>614.1</v>
      </c>
      <c r="S58" s="60">
        <f t="shared" si="4"/>
        <v>608.6</v>
      </c>
      <c r="T58" s="60">
        <f t="shared" si="4"/>
        <v>608.6</v>
      </c>
      <c r="U58" s="60">
        <f t="shared" si="4"/>
        <v>608.6</v>
      </c>
      <c r="V58" s="60">
        <f t="shared" si="4"/>
        <v>608.6</v>
      </c>
      <c r="W58" s="60">
        <f t="shared" si="4"/>
        <v>608.6</v>
      </c>
      <c r="X58" s="60">
        <f t="shared" si="4"/>
        <v>608.6</v>
      </c>
      <c r="Y58" s="60">
        <f t="shared" si="4"/>
        <v>608.6</v>
      </c>
      <c r="Z58" s="60">
        <f t="shared" si="4"/>
        <v>608.6</v>
      </c>
      <c r="AA58" s="60">
        <f t="shared" si="4"/>
        <v>608.6</v>
      </c>
      <c r="AB58" s="60">
        <f t="shared" ref="AB58:AC58" si="8">SUM(AB11:AB56)</f>
        <v>608.6</v>
      </c>
      <c r="AC58" s="60">
        <f t="shared" si="8"/>
        <v>608.6</v>
      </c>
      <c r="AD58" s="60">
        <f t="shared" ref="AD58:AE58" si="9">SUM(AD11:AD56)</f>
        <v>608.6</v>
      </c>
      <c r="AE58" s="60">
        <f t="shared" si="9"/>
        <v>608.6</v>
      </c>
      <c r="AF58" s="60">
        <f t="shared" ref="AF58" si="10">SUM(AF11:AF56)</f>
        <v>608.6</v>
      </c>
      <c r="AG58" s="61">
        <f>SUM(AG14:AG56)</f>
        <v>1042.4000000000001</v>
      </c>
      <c r="AH58" s="47">
        <f t="shared" si="2"/>
        <v>629.40000000000009</v>
      </c>
      <c r="AI58" s="48">
        <f t="shared" si="3"/>
        <v>608.6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100</v>
      </c>
      <c r="L59" s="45">
        <v>330</v>
      </c>
      <c r="M59" s="45">
        <v>450</v>
      </c>
      <c r="N59" s="63">
        <v>400</v>
      </c>
      <c r="O59" s="63">
        <v>280</v>
      </c>
      <c r="P59" s="63">
        <v>90</v>
      </c>
      <c r="Q59" s="63">
        <v>0</v>
      </c>
      <c r="R59" s="63">
        <v>0</v>
      </c>
      <c r="S59" s="63">
        <v>0</v>
      </c>
      <c r="T59" s="63">
        <v>0</v>
      </c>
      <c r="U59" s="63">
        <v>15</v>
      </c>
      <c r="V59" s="45">
        <v>270</v>
      </c>
      <c r="W59" s="45">
        <v>290</v>
      </c>
      <c r="X59" s="45">
        <v>420</v>
      </c>
      <c r="Y59" s="45">
        <v>370</v>
      </c>
      <c r="Z59" s="45">
        <v>300</v>
      </c>
      <c r="AA59" s="45">
        <v>300</v>
      </c>
      <c r="AB59" s="45">
        <v>105</v>
      </c>
      <c r="AC59" s="45">
        <v>65</v>
      </c>
      <c r="AD59" s="45">
        <v>65</v>
      </c>
      <c r="AE59" s="45">
        <v>0</v>
      </c>
      <c r="AF59" s="45">
        <v>0</v>
      </c>
      <c r="AG59" s="52">
        <v>456</v>
      </c>
      <c r="AH59" s="47">
        <f t="shared" si="2"/>
        <v>450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37</v>
      </c>
      <c r="C60" s="65">
        <v>37</v>
      </c>
      <c r="D60" s="65">
        <v>37</v>
      </c>
      <c r="E60" s="65">
        <v>37</v>
      </c>
      <c r="F60" s="65">
        <v>37</v>
      </c>
      <c r="G60" s="65">
        <v>37</v>
      </c>
      <c r="H60" s="65">
        <v>37</v>
      </c>
      <c r="I60" s="65">
        <v>37</v>
      </c>
      <c r="J60" s="65">
        <v>37</v>
      </c>
      <c r="K60" s="65">
        <v>37</v>
      </c>
      <c r="L60" s="65">
        <v>37</v>
      </c>
      <c r="M60" s="65">
        <v>37</v>
      </c>
      <c r="N60" s="65">
        <v>37</v>
      </c>
      <c r="O60" s="65">
        <v>37</v>
      </c>
      <c r="P60" s="65">
        <v>37</v>
      </c>
      <c r="Q60" s="65">
        <v>37</v>
      </c>
      <c r="R60" s="65">
        <v>37</v>
      </c>
      <c r="S60" s="65">
        <v>37</v>
      </c>
      <c r="T60" s="65">
        <v>37</v>
      </c>
      <c r="U60" s="65">
        <v>37</v>
      </c>
      <c r="V60" s="65">
        <v>37</v>
      </c>
      <c r="W60" s="65">
        <v>37</v>
      </c>
      <c r="X60" s="65">
        <v>37</v>
      </c>
      <c r="Y60" s="65">
        <v>37</v>
      </c>
      <c r="Z60" s="65">
        <v>37</v>
      </c>
      <c r="AA60" s="65">
        <v>37</v>
      </c>
      <c r="AB60" s="65">
        <v>37</v>
      </c>
      <c r="AC60" s="65">
        <v>37</v>
      </c>
      <c r="AD60" s="65">
        <v>37</v>
      </c>
      <c r="AE60" s="65">
        <v>37</v>
      </c>
      <c r="AF60" s="65">
        <v>37</v>
      </c>
      <c r="AG60" s="55">
        <v>60</v>
      </c>
      <c r="AH60" s="47">
        <f t="shared" si="2"/>
        <v>37</v>
      </c>
      <c r="AI60" s="48">
        <f t="shared" si="3"/>
        <v>37</v>
      </c>
      <c r="AK60" s="50"/>
    </row>
    <row r="61" spans="1:88" ht="15.75" thickBot="1" x14ac:dyDescent="0.3">
      <c r="A61" s="66" t="s">
        <v>61</v>
      </c>
      <c r="B61" s="67">
        <v>13.1</v>
      </c>
      <c r="C61" s="67">
        <v>13.1</v>
      </c>
      <c r="D61" s="67">
        <v>13.1</v>
      </c>
      <c r="E61" s="67">
        <v>13.1</v>
      </c>
      <c r="F61" s="67">
        <v>13.1</v>
      </c>
      <c r="G61" s="67">
        <v>12.2</v>
      </c>
      <c r="H61" s="67">
        <v>12.2</v>
      </c>
      <c r="I61" s="67">
        <v>12.2</v>
      </c>
      <c r="J61" s="67">
        <v>12.2</v>
      </c>
      <c r="K61" s="67">
        <v>15.1</v>
      </c>
      <c r="L61" s="67">
        <v>15.2</v>
      </c>
      <c r="M61" s="67">
        <v>15.1</v>
      </c>
      <c r="N61" s="67">
        <v>15.1</v>
      </c>
      <c r="O61" s="67">
        <v>15.1</v>
      </c>
      <c r="P61" s="67">
        <v>12.2</v>
      </c>
      <c r="Q61" s="67">
        <v>12.2</v>
      </c>
      <c r="R61" s="67">
        <v>12.2</v>
      </c>
      <c r="S61" s="67">
        <v>12.2</v>
      </c>
      <c r="T61" s="67">
        <v>12.2</v>
      </c>
      <c r="U61" s="67">
        <v>12.2</v>
      </c>
      <c r="V61" s="67">
        <v>11.2</v>
      </c>
      <c r="W61" s="67">
        <v>11.2</v>
      </c>
      <c r="X61" s="67">
        <v>11.2</v>
      </c>
      <c r="Y61" s="67">
        <v>11.2</v>
      </c>
      <c r="Z61" s="67">
        <v>11.2</v>
      </c>
      <c r="AA61" s="67">
        <v>11.2</v>
      </c>
      <c r="AB61" s="67">
        <v>11.2</v>
      </c>
      <c r="AC61" s="67">
        <v>11.2</v>
      </c>
      <c r="AD61" s="67">
        <v>11.2</v>
      </c>
      <c r="AE61" s="67">
        <v>11.2</v>
      </c>
      <c r="AF61" s="67">
        <v>11.2</v>
      </c>
      <c r="AG61" s="68">
        <v>22.1</v>
      </c>
      <c r="AH61" s="47">
        <f t="shared" si="2"/>
        <v>15.2</v>
      </c>
      <c r="AI61" s="48">
        <f t="shared" si="3"/>
        <v>11.2</v>
      </c>
      <c r="AK61" s="50"/>
    </row>
    <row r="62" spans="1:88" ht="15.75" thickBot="1" x14ac:dyDescent="0.3">
      <c r="A62" s="69" t="s">
        <v>62</v>
      </c>
      <c r="B62" s="60">
        <f t="shared" ref="B62:AG62" si="11">SUM(B59:B61)</f>
        <v>50.1</v>
      </c>
      <c r="C62" s="60">
        <f t="shared" si="11"/>
        <v>50.1</v>
      </c>
      <c r="D62" s="60">
        <f t="shared" si="11"/>
        <v>50.1</v>
      </c>
      <c r="E62" s="60">
        <f t="shared" si="11"/>
        <v>50.1</v>
      </c>
      <c r="F62" s="60">
        <f t="shared" ref="F62" si="12">SUM(F59:F61)</f>
        <v>50.1</v>
      </c>
      <c r="G62" s="60">
        <f t="shared" si="11"/>
        <v>49.2</v>
      </c>
      <c r="H62" s="60">
        <f t="shared" si="11"/>
        <v>49.2</v>
      </c>
      <c r="I62" s="60">
        <f t="shared" si="11"/>
        <v>49.2</v>
      </c>
      <c r="J62" s="60">
        <f t="shared" si="11"/>
        <v>49.2</v>
      </c>
      <c r="K62" s="60">
        <f t="shared" ref="K62" si="13">SUM(K59:K61)</f>
        <v>152.1</v>
      </c>
      <c r="L62" s="60">
        <f t="shared" si="11"/>
        <v>382.2</v>
      </c>
      <c r="M62" s="60">
        <f t="shared" ref="M62" si="14">SUM(M59:M61)</f>
        <v>502.1</v>
      </c>
      <c r="N62" s="60">
        <f t="shared" si="11"/>
        <v>452.1</v>
      </c>
      <c r="O62" s="60">
        <f t="shared" si="11"/>
        <v>332.1</v>
      </c>
      <c r="P62" s="60">
        <f t="shared" si="11"/>
        <v>139.19999999999999</v>
      </c>
      <c r="Q62" s="60">
        <f t="shared" si="11"/>
        <v>49.2</v>
      </c>
      <c r="R62" s="60">
        <f t="shared" si="11"/>
        <v>49.2</v>
      </c>
      <c r="S62" s="60">
        <f t="shared" si="11"/>
        <v>49.2</v>
      </c>
      <c r="T62" s="60">
        <f t="shared" si="11"/>
        <v>49.2</v>
      </c>
      <c r="U62" s="60">
        <f t="shared" si="11"/>
        <v>64.2</v>
      </c>
      <c r="V62" s="60">
        <f t="shared" si="11"/>
        <v>318.2</v>
      </c>
      <c r="W62" s="60">
        <f t="shared" si="11"/>
        <v>338.2</v>
      </c>
      <c r="X62" s="60">
        <f t="shared" si="11"/>
        <v>468.2</v>
      </c>
      <c r="Y62" s="60">
        <f t="shared" si="11"/>
        <v>418.2</v>
      </c>
      <c r="Z62" s="60">
        <f t="shared" si="11"/>
        <v>348.2</v>
      </c>
      <c r="AA62" s="60">
        <f t="shared" si="11"/>
        <v>348.2</v>
      </c>
      <c r="AB62" s="60">
        <f t="shared" ref="AB62:AC62" si="15">SUM(AB59:AB61)</f>
        <v>153.19999999999999</v>
      </c>
      <c r="AC62" s="60">
        <f t="shared" si="15"/>
        <v>113.2</v>
      </c>
      <c r="AD62" s="60">
        <f t="shared" ref="AD62:AE62" si="16">SUM(AD59:AD61)</f>
        <v>113.2</v>
      </c>
      <c r="AE62" s="60">
        <f t="shared" si="16"/>
        <v>48.2</v>
      </c>
      <c r="AF62" s="60">
        <f t="shared" ref="AF62" si="17">SUM(AF59:AF61)</f>
        <v>48.2</v>
      </c>
      <c r="AG62" s="61">
        <f t="shared" si="11"/>
        <v>538.1</v>
      </c>
      <c r="AH62" s="47">
        <f t="shared" si="2"/>
        <v>502.1</v>
      </c>
      <c r="AI62" s="48">
        <f t="shared" si="3"/>
        <v>48.2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25</v>
      </c>
      <c r="J63" s="45">
        <v>30</v>
      </c>
      <c r="K63" s="45">
        <v>91.65</v>
      </c>
      <c r="L63" s="45">
        <v>140</v>
      </c>
      <c r="M63" s="45">
        <v>145.19999999999999</v>
      </c>
      <c r="N63" s="45">
        <v>145.19999999999999</v>
      </c>
      <c r="O63" s="45">
        <v>145.19999999999999</v>
      </c>
      <c r="P63" s="45">
        <v>143.6</v>
      </c>
      <c r="Q63" s="45">
        <v>122.1</v>
      </c>
      <c r="R63" s="45">
        <v>60</v>
      </c>
      <c r="S63" s="45">
        <v>40.9</v>
      </c>
      <c r="T63" s="45">
        <v>83.4</v>
      </c>
      <c r="U63" s="45">
        <v>97.3</v>
      </c>
      <c r="V63" s="45">
        <v>117.1</v>
      </c>
      <c r="W63" s="45">
        <v>117.1</v>
      </c>
      <c r="X63" s="45">
        <v>142.9</v>
      </c>
      <c r="Y63" s="45">
        <v>142.9</v>
      </c>
      <c r="Z63" s="45">
        <v>142.9</v>
      </c>
      <c r="AA63" s="45">
        <v>100</v>
      </c>
      <c r="AB63" s="45">
        <v>81</v>
      </c>
      <c r="AC63" s="45">
        <v>70</v>
      </c>
      <c r="AD63" s="45">
        <v>70</v>
      </c>
      <c r="AE63" s="45">
        <v>30</v>
      </c>
      <c r="AF63" s="45">
        <v>0</v>
      </c>
      <c r="AG63" s="52">
        <v>144</v>
      </c>
      <c r="AH63" s="47">
        <f t="shared" si="2"/>
        <v>145.19999999999999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25.2</v>
      </c>
      <c r="I64" s="65">
        <v>25</v>
      </c>
      <c r="J64" s="65">
        <v>46.9</v>
      </c>
      <c r="K64" s="65">
        <v>60.1</v>
      </c>
      <c r="L64" s="65">
        <v>70.099999999999994</v>
      </c>
      <c r="M64" s="65">
        <v>69.099999999999994</v>
      </c>
      <c r="N64" s="65">
        <v>69.099999999999994</v>
      </c>
      <c r="O64" s="65">
        <v>69.099999999999994</v>
      </c>
      <c r="P64" s="65">
        <v>66.8</v>
      </c>
      <c r="Q64" s="65">
        <v>47.9</v>
      </c>
      <c r="R64" s="65">
        <v>50</v>
      </c>
      <c r="S64" s="65">
        <v>54.9</v>
      </c>
      <c r="T64" s="65">
        <v>51</v>
      </c>
      <c r="U64" s="65">
        <v>51</v>
      </c>
      <c r="V64" s="45">
        <v>45.6</v>
      </c>
      <c r="W64" s="45">
        <v>45.6</v>
      </c>
      <c r="X64" s="45">
        <v>63.3</v>
      </c>
      <c r="Y64" s="45">
        <v>67.099999999999994</v>
      </c>
      <c r="Z64" s="45">
        <v>35</v>
      </c>
      <c r="AA64" s="45">
        <v>35</v>
      </c>
      <c r="AB64" s="45">
        <v>35</v>
      </c>
      <c r="AC64" s="45">
        <v>35</v>
      </c>
      <c r="AD64" s="45">
        <v>35</v>
      </c>
      <c r="AE64" s="45">
        <v>25</v>
      </c>
      <c r="AF64" s="45">
        <v>25</v>
      </c>
      <c r="AG64" s="55">
        <v>70</v>
      </c>
      <c r="AH64" s="47">
        <f t="shared" si="2"/>
        <v>70.099999999999994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22.1</v>
      </c>
      <c r="H65" s="65">
        <v>16.100000000000001</v>
      </c>
      <c r="I65" s="65">
        <v>17</v>
      </c>
      <c r="J65" s="65">
        <v>36</v>
      </c>
      <c r="K65" s="65">
        <v>36</v>
      </c>
      <c r="L65" s="65">
        <v>66</v>
      </c>
      <c r="M65" s="65">
        <v>69</v>
      </c>
      <c r="N65" s="65">
        <v>69</v>
      </c>
      <c r="O65" s="65">
        <v>69</v>
      </c>
      <c r="P65" s="65">
        <v>61.2</v>
      </c>
      <c r="Q65" s="65">
        <v>49.6</v>
      </c>
      <c r="R65" s="65">
        <v>33.700000000000003</v>
      </c>
      <c r="S65" s="65">
        <v>33.700000000000003</v>
      </c>
      <c r="T65" s="65">
        <v>42</v>
      </c>
      <c r="U65" s="65">
        <v>57.5</v>
      </c>
      <c r="V65" s="45">
        <v>62.9</v>
      </c>
      <c r="W65" s="45">
        <v>62.9</v>
      </c>
      <c r="X65" s="45">
        <v>65.2</v>
      </c>
      <c r="Y65" s="45">
        <v>65.2</v>
      </c>
      <c r="Z65" s="45">
        <v>65.2</v>
      </c>
      <c r="AA65" s="45">
        <v>65.2</v>
      </c>
      <c r="AB65" s="45">
        <v>65.2</v>
      </c>
      <c r="AC65" s="45">
        <v>65.2</v>
      </c>
      <c r="AD65" s="45">
        <v>65.2</v>
      </c>
      <c r="AE65" s="45">
        <v>39</v>
      </c>
      <c r="AF65" s="45">
        <v>33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52.1</v>
      </c>
      <c r="C66" s="65">
        <v>52.1</v>
      </c>
      <c r="D66" s="65">
        <v>52.1</v>
      </c>
      <c r="E66" s="65">
        <v>52.1</v>
      </c>
      <c r="F66" s="65">
        <v>51.4</v>
      </c>
      <c r="G66" s="65">
        <v>51.1</v>
      </c>
      <c r="H66" s="65">
        <v>51.1</v>
      </c>
      <c r="I66" s="65">
        <v>51.1</v>
      </c>
      <c r="J66" s="65">
        <v>51.2</v>
      </c>
      <c r="K66" s="65">
        <v>51.2</v>
      </c>
      <c r="L66" s="57">
        <v>50</v>
      </c>
      <c r="M66" s="57">
        <v>50.2</v>
      </c>
      <c r="N66" s="57">
        <v>50.2</v>
      </c>
      <c r="O66" s="57">
        <v>50.2</v>
      </c>
      <c r="P66" s="65">
        <v>50.2</v>
      </c>
      <c r="Q66" s="65">
        <v>50.4</v>
      </c>
      <c r="R66" s="65">
        <v>50.4</v>
      </c>
      <c r="S66" s="65">
        <v>45.1</v>
      </c>
      <c r="T66" s="65">
        <v>48</v>
      </c>
      <c r="U66" s="65">
        <v>48</v>
      </c>
      <c r="V66" s="45">
        <v>47.8</v>
      </c>
      <c r="W66" s="45">
        <v>47.8</v>
      </c>
      <c r="X66" s="45">
        <v>47.8</v>
      </c>
      <c r="Y66" s="45">
        <v>47.8</v>
      </c>
      <c r="Z66" s="45">
        <v>47.8</v>
      </c>
      <c r="AA66" s="45">
        <v>48.1</v>
      </c>
      <c r="AB66" s="45">
        <v>51</v>
      </c>
      <c r="AC66" s="45">
        <v>51</v>
      </c>
      <c r="AD66" s="45">
        <v>51</v>
      </c>
      <c r="AE66" s="45">
        <v>55</v>
      </c>
      <c r="AF66" s="45">
        <v>55</v>
      </c>
      <c r="AG66" s="55">
        <v>60</v>
      </c>
      <c r="AH66" s="47">
        <f t="shared" si="2"/>
        <v>55</v>
      </c>
      <c r="AI66" s="48">
        <f t="shared" si="3"/>
        <v>45.1</v>
      </c>
      <c r="AK66" s="50"/>
    </row>
    <row r="67" spans="1:41" x14ac:dyDescent="0.25">
      <c r="A67" s="54" t="s">
        <v>67</v>
      </c>
      <c r="B67" s="65">
        <v>10</v>
      </c>
      <c r="C67" s="65">
        <v>10</v>
      </c>
      <c r="D67" s="65">
        <v>10</v>
      </c>
      <c r="E67" s="65">
        <v>0</v>
      </c>
      <c r="F67" s="65">
        <v>0</v>
      </c>
      <c r="G67" s="65">
        <v>0</v>
      </c>
      <c r="H67" s="65">
        <v>0</v>
      </c>
      <c r="I67" s="65">
        <v>10</v>
      </c>
      <c r="J67" s="65">
        <v>15</v>
      </c>
      <c r="K67" s="65">
        <v>15</v>
      </c>
      <c r="L67" s="57">
        <v>15</v>
      </c>
      <c r="M67" s="57">
        <v>22</v>
      </c>
      <c r="N67" s="57">
        <v>28</v>
      </c>
      <c r="O67" s="57">
        <v>28</v>
      </c>
      <c r="P67" s="65">
        <v>10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15</v>
      </c>
      <c r="X67" s="45">
        <v>30</v>
      </c>
      <c r="Y67" s="45">
        <v>30</v>
      </c>
      <c r="Z67" s="45">
        <v>28</v>
      </c>
      <c r="AA67" s="45">
        <v>28</v>
      </c>
      <c r="AB67" s="45">
        <v>23</v>
      </c>
      <c r="AC67" s="45">
        <v>23</v>
      </c>
      <c r="AD67" s="45">
        <v>15</v>
      </c>
      <c r="AE67" s="45">
        <v>10</v>
      </c>
      <c r="AF67" s="45">
        <v>10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0.3</v>
      </c>
      <c r="M68" s="65">
        <v>0.7</v>
      </c>
      <c r="N68" s="65">
        <v>2.2999999999999998</v>
      </c>
      <c r="O68" s="65">
        <v>3.9</v>
      </c>
      <c r="P68" s="65">
        <v>14.9</v>
      </c>
      <c r="Q68" s="65">
        <v>16.3</v>
      </c>
      <c r="R68" s="65">
        <v>15.5</v>
      </c>
      <c r="S68" s="65">
        <v>12</v>
      </c>
      <c r="T68" s="65">
        <v>5.6</v>
      </c>
      <c r="U68" s="65">
        <v>2.8</v>
      </c>
      <c r="V68" s="65">
        <v>2.8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16</v>
      </c>
      <c r="AI69" s="48">
        <f t="shared" si="3"/>
        <v>16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11.5</v>
      </c>
      <c r="C71" s="65">
        <v>11.5</v>
      </c>
      <c r="D71" s="65">
        <v>11.5</v>
      </c>
      <c r="E71" s="65">
        <v>11.5</v>
      </c>
      <c r="F71" s="65">
        <v>11.5</v>
      </c>
      <c r="G71" s="65">
        <v>11.5</v>
      </c>
      <c r="H71" s="65">
        <v>11.5</v>
      </c>
      <c r="I71" s="65">
        <v>11.5</v>
      </c>
      <c r="J71" s="65">
        <v>11.5</v>
      </c>
      <c r="K71" s="65">
        <v>11.5</v>
      </c>
      <c r="L71" s="65">
        <v>10</v>
      </c>
      <c r="M71" s="65">
        <v>11.9</v>
      </c>
      <c r="N71" s="65">
        <v>11.9</v>
      </c>
      <c r="O71" s="65">
        <v>11.9</v>
      </c>
      <c r="P71" s="65">
        <v>11.9</v>
      </c>
      <c r="Q71" s="65">
        <v>11.9</v>
      </c>
      <c r="R71" s="65">
        <v>11.9</v>
      </c>
      <c r="S71" s="65">
        <v>11.9</v>
      </c>
      <c r="T71" s="65">
        <v>11.9</v>
      </c>
      <c r="U71" s="65">
        <v>11.9</v>
      </c>
      <c r="V71" s="65">
        <v>11.9</v>
      </c>
      <c r="W71" s="65">
        <v>11.9</v>
      </c>
      <c r="X71" s="65">
        <v>11.9</v>
      </c>
      <c r="Y71" s="65">
        <v>11.9</v>
      </c>
      <c r="Z71" s="65">
        <v>11.9</v>
      </c>
      <c r="AA71" s="65">
        <v>11.9</v>
      </c>
      <c r="AB71" s="65">
        <v>11.9</v>
      </c>
      <c r="AC71" s="65">
        <v>11.9</v>
      </c>
      <c r="AD71" s="65">
        <v>11.9</v>
      </c>
      <c r="AE71" s="65">
        <v>11.9</v>
      </c>
      <c r="AF71" s="65">
        <v>11.9</v>
      </c>
      <c r="AG71" s="55">
        <v>14.1</v>
      </c>
      <c r="AH71" s="47">
        <f t="shared" si="2"/>
        <v>11.9</v>
      </c>
      <c r="AI71" s="48">
        <f t="shared" si="3"/>
        <v>10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</v>
      </c>
      <c r="C72" s="65">
        <v>5</v>
      </c>
      <c r="D72" s="65">
        <v>5</v>
      </c>
      <c r="E72" s="65">
        <v>5</v>
      </c>
      <c r="F72" s="65">
        <v>5</v>
      </c>
      <c r="G72" s="65">
        <v>5</v>
      </c>
      <c r="H72" s="65">
        <v>5</v>
      </c>
      <c r="I72" s="65">
        <v>5</v>
      </c>
      <c r="J72" s="65">
        <v>5</v>
      </c>
      <c r="K72" s="65">
        <v>5</v>
      </c>
      <c r="L72" s="65">
        <v>5.0999999999999996</v>
      </c>
      <c r="M72" s="65">
        <v>4.9000000000000004</v>
      </c>
      <c r="N72" s="65">
        <v>4.9000000000000004</v>
      </c>
      <c r="O72" s="65">
        <v>4.9000000000000004</v>
      </c>
      <c r="P72" s="65">
        <v>4.9000000000000004</v>
      </c>
      <c r="Q72" s="65">
        <v>4.9000000000000004</v>
      </c>
      <c r="R72" s="65">
        <v>4.9000000000000004</v>
      </c>
      <c r="S72" s="65">
        <v>4.9000000000000004</v>
      </c>
      <c r="T72" s="65">
        <v>4.9000000000000004</v>
      </c>
      <c r="U72" s="65">
        <v>4.9000000000000004</v>
      </c>
      <c r="V72" s="65">
        <v>4.9000000000000004</v>
      </c>
      <c r="W72" s="65">
        <v>4.9000000000000004</v>
      </c>
      <c r="X72" s="65">
        <v>4.9000000000000004</v>
      </c>
      <c r="Y72" s="65">
        <v>4.9000000000000004</v>
      </c>
      <c r="Z72" s="65">
        <v>4.9000000000000004</v>
      </c>
      <c r="AA72" s="65">
        <v>4.9000000000000004</v>
      </c>
      <c r="AB72" s="65">
        <v>4.9000000000000004</v>
      </c>
      <c r="AC72" s="65">
        <v>4.9000000000000004</v>
      </c>
      <c r="AD72" s="65">
        <v>4.9000000000000004</v>
      </c>
      <c r="AE72" s="65">
        <v>4.9000000000000004</v>
      </c>
      <c r="AF72" s="65">
        <v>4.9000000000000004</v>
      </c>
      <c r="AG72" s="55">
        <v>14</v>
      </c>
      <c r="AH72" s="47">
        <f t="shared" si="2"/>
        <v>5.0999999999999996</v>
      </c>
      <c r="AI72" s="48">
        <f t="shared" si="3"/>
        <v>4.9000000000000004</v>
      </c>
      <c r="AK72" s="50"/>
    </row>
    <row r="73" spans="1:41" x14ac:dyDescent="0.25">
      <c r="A73" s="54" t="s">
        <v>73</v>
      </c>
      <c r="B73" s="65">
        <v>6</v>
      </c>
      <c r="C73" s="65">
        <v>6</v>
      </c>
      <c r="D73" s="65">
        <v>6</v>
      </c>
      <c r="E73" s="65">
        <v>6</v>
      </c>
      <c r="F73" s="65">
        <v>6</v>
      </c>
      <c r="G73" s="65">
        <v>6</v>
      </c>
      <c r="H73" s="65">
        <v>6</v>
      </c>
      <c r="I73" s="65">
        <v>6</v>
      </c>
      <c r="J73" s="65">
        <v>6</v>
      </c>
      <c r="K73" s="65">
        <v>6</v>
      </c>
      <c r="L73" s="65">
        <v>6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6</v>
      </c>
      <c r="V73" s="65">
        <v>6</v>
      </c>
      <c r="W73" s="65">
        <v>6</v>
      </c>
      <c r="X73" s="65">
        <v>6</v>
      </c>
      <c r="Y73" s="65">
        <v>6</v>
      </c>
      <c r="Z73" s="65">
        <v>6</v>
      </c>
      <c r="AA73" s="65">
        <v>6</v>
      </c>
      <c r="AB73" s="65">
        <v>6</v>
      </c>
      <c r="AC73" s="65">
        <v>6</v>
      </c>
      <c r="AD73" s="65">
        <v>6</v>
      </c>
      <c r="AE73" s="65">
        <v>6</v>
      </c>
      <c r="AF73" s="65">
        <v>6</v>
      </c>
      <c r="AG73" s="55">
        <v>10.050000000000001</v>
      </c>
      <c r="AH73" s="47">
        <f t="shared" si="2"/>
        <v>6</v>
      </c>
      <c r="AI73" s="48">
        <f t="shared" si="3"/>
        <v>6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AG250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8">SUM(B63:B75)</f>
        <v>111.14</v>
      </c>
      <c r="C76" s="60">
        <f t="shared" si="18"/>
        <v>111.14</v>
      </c>
      <c r="D76" s="60">
        <f t="shared" si="18"/>
        <v>111.14</v>
      </c>
      <c r="E76" s="60">
        <f t="shared" si="18"/>
        <v>101.14</v>
      </c>
      <c r="F76" s="60">
        <f t="shared" si="18"/>
        <v>100.44000000000001</v>
      </c>
      <c r="G76" s="60">
        <f t="shared" si="18"/>
        <v>122.24000000000001</v>
      </c>
      <c r="H76" s="60">
        <f t="shared" si="18"/>
        <v>141.44</v>
      </c>
      <c r="I76" s="60">
        <f t="shared" si="18"/>
        <v>177.14</v>
      </c>
      <c r="J76" s="60">
        <f t="shared" si="18"/>
        <v>228.14000000000001</v>
      </c>
      <c r="K76" s="60">
        <f t="shared" si="18"/>
        <v>302.99</v>
      </c>
      <c r="L76" s="60">
        <f t="shared" si="18"/>
        <v>389.04000000000008</v>
      </c>
      <c r="M76" s="60">
        <f t="shared" ref="M76" si="19">SUM(M63:M75)</f>
        <v>405.53999999999991</v>
      </c>
      <c r="N76" s="60">
        <f t="shared" si="18"/>
        <v>413.13999999999993</v>
      </c>
      <c r="O76" s="60">
        <f t="shared" si="18"/>
        <v>414.7399999999999</v>
      </c>
      <c r="P76" s="60">
        <f t="shared" si="18"/>
        <v>396.03999999999991</v>
      </c>
      <c r="Q76" s="60">
        <f t="shared" si="18"/>
        <v>335.64</v>
      </c>
      <c r="R76" s="60">
        <f t="shared" si="18"/>
        <v>258.94</v>
      </c>
      <c r="S76" s="60">
        <f t="shared" si="18"/>
        <v>235.94</v>
      </c>
      <c r="T76" s="60">
        <f t="shared" si="18"/>
        <v>279.33999999999997</v>
      </c>
      <c r="U76" s="60">
        <f t="shared" si="18"/>
        <v>305.94</v>
      </c>
      <c r="V76" s="60">
        <f t="shared" si="18"/>
        <v>325.53999999999996</v>
      </c>
      <c r="W76" s="60">
        <f t="shared" si="18"/>
        <v>337.73999999999995</v>
      </c>
      <c r="X76" s="60">
        <f t="shared" si="18"/>
        <v>398.53999999999996</v>
      </c>
      <c r="Y76" s="60">
        <f t="shared" si="18"/>
        <v>402.34</v>
      </c>
      <c r="Z76" s="60">
        <f t="shared" si="18"/>
        <v>368.24</v>
      </c>
      <c r="AA76" s="60">
        <f t="shared" si="18"/>
        <v>325.63999999999993</v>
      </c>
      <c r="AB76" s="60">
        <f t="shared" ref="AB76:AC76" si="20">SUM(AB63:AB75)</f>
        <v>304.53999999999996</v>
      </c>
      <c r="AC76" s="60">
        <f t="shared" si="20"/>
        <v>293.53999999999996</v>
      </c>
      <c r="AD76" s="60">
        <f t="shared" ref="AD76:AE76" si="21">SUM(AD63:AD75)</f>
        <v>285.53999999999996</v>
      </c>
      <c r="AE76" s="60">
        <f t="shared" si="21"/>
        <v>208.34</v>
      </c>
      <c r="AF76" s="60">
        <f t="shared" ref="AF76" si="22">SUM(AF63:AF75)</f>
        <v>172.34</v>
      </c>
      <c r="AG76" s="61">
        <f t="shared" si="18"/>
        <v>489.91</v>
      </c>
      <c r="AH76" s="47">
        <f t="shared" si="2"/>
        <v>414.7399999999999</v>
      </c>
      <c r="AI76" s="48">
        <f t="shared" si="3"/>
        <v>100.44000000000001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>
        <v>60</v>
      </c>
      <c r="W77" s="45">
        <v>60</v>
      </c>
      <c r="X77" s="45">
        <v>60</v>
      </c>
      <c r="Y77" s="45">
        <v>60</v>
      </c>
      <c r="Z77" s="45">
        <v>60</v>
      </c>
      <c r="AA77" s="45">
        <v>59.6</v>
      </c>
      <c r="AB77" s="45">
        <v>59.6</v>
      </c>
      <c r="AC77" s="45">
        <v>59.6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>
        <v>27.9</v>
      </c>
      <c r="W78" s="65">
        <v>27.9</v>
      </c>
      <c r="X78" s="65">
        <v>27.9</v>
      </c>
      <c r="Y78" s="65">
        <v>27.9</v>
      </c>
      <c r="Z78" s="65">
        <v>27.9</v>
      </c>
      <c r="AA78" s="65">
        <v>27.6</v>
      </c>
      <c r="AB78" s="65">
        <v>27.6</v>
      </c>
      <c r="AC78" s="65">
        <v>27.6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27.9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>
        <v>10.199999999999999</v>
      </c>
      <c r="W79" s="67">
        <v>10.199999999999999</v>
      </c>
      <c r="X79" s="67">
        <v>10.199999999999999</v>
      </c>
      <c r="Y79" s="67">
        <v>10.199999999999999</v>
      </c>
      <c r="Z79" s="67">
        <v>10.199999999999999</v>
      </c>
      <c r="AA79" s="67">
        <v>10.1</v>
      </c>
      <c r="AB79" s="67">
        <v>10.1</v>
      </c>
      <c r="AC79" s="67">
        <v>10.1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10.199999999999999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A80" si="23">B77+B78+B79</f>
        <v>0</v>
      </c>
      <c r="C80" s="60">
        <f t="shared" si="23"/>
        <v>0</v>
      </c>
      <c r="D80" s="60">
        <f t="shared" si="23"/>
        <v>0</v>
      </c>
      <c r="E80" s="60">
        <f t="shared" si="23"/>
        <v>0</v>
      </c>
      <c r="F80" s="60">
        <f t="shared" si="23"/>
        <v>0</v>
      </c>
      <c r="G80" s="60">
        <f t="shared" si="23"/>
        <v>0</v>
      </c>
      <c r="H80" s="60">
        <f t="shared" si="23"/>
        <v>0</v>
      </c>
      <c r="I80" s="60">
        <f t="shared" si="23"/>
        <v>0</v>
      </c>
      <c r="J80" s="60">
        <f t="shared" si="23"/>
        <v>0</v>
      </c>
      <c r="K80" s="60">
        <f t="shared" si="23"/>
        <v>0</v>
      </c>
      <c r="L80" s="60">
        <f t="shared" si="23"/>
        <v>0</v>
      </c>
      <c r="M80" s="60">
        <f t="shared" ref="M80" si="24">M77+M78+M79</f>
        <v>0</v>
      </c>
      <c r="N80" s="60">
        <f t="shared" si="23"/>
        <v>0</v>
      </c>
      <c r="O80" s="60">
        <f t="shared" si="23"/>
        <v>0</v>
      </c>
      <c r="P80" s="60">
        <f t="shared" si="23"/>
        <v>0</v>
      </c>
      <c r="Q80" s="60">
        <f t="shared" si="23"/>
        <v>0</v>
      </c>
      <c r="R80" s="60">
        <f t="shared" si="23"/>
        <v>0</v>
      </c>
      <c r="S80" s="60">
        <f t="shared" si="23"/>
        <v>0</v>
      </c>
      <c r="T80" s="60">
        <f t="shared" si="23"/>
        <v>0</v>
      </c>
      <c r="U80" s="60">
        <f t="shared" si="23"/>
        <v>0</v>
      </c>
      <c r="V80" s="60">
        <f t="shared" si="23"/>
        <v>98.100000000000009</v>
      </c>
      <c r="W80" s="60">
        <f t="shared" si="23"/>
        <v>98.100000000000009</v>
      </c>
      <c r="X80" s="60">
        <f t="shared" si="23"/>
        <v>98.100000000000009</v>
      </c>
      <c r="Y80" s="60">
        <f t="shared" si="23"/>
        <v>98.100000000000009</v>
      </c>
      <c r="Z80" s="60">
        <f t="shared" si="23"/>
        <v>98.100000000000009</v>
      </c>
      <c r="AA80" s="60">
        <f t="shared" si="23"/>
        <v>97.3</v>
      </c>
      <c r="AB80" s="60">
        <f t="shared" ref="AB80:AC80" si="25">AB77+AB78+AB79</f>
        <v>97.3</v>
      </c>
      <c r="AC80" s="60">
        <f t="shared" si="25"/>
        <v>97.3</v>
      </c>
      <c r="AD80" s="60">
        <f t="shared" ref="AD80:AE80" si="26">AD77+AD78+AD79</f>
        <v>0</v>
      </c>
      <c r="AE80" s="60">
        <f t="shared" si="26"/>
        <v>0</v>
      </c>
      <c r="AF80" s="60">
        <f t="shared" ref="AF80" si="27">AF77+AF78+AF79</f>
        <v>0</v>
      </c>
      <c r="AG80" s="61">
        <f>SUM(AG77:AG79)</f>
        <v>106</v>
      </c>
      <c r="AH80" s="47">
        <f t="shared" si="2"/>
        <v>98.100000000000009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33</v>
      </c>
      <c r="C81" s="45">
        <v>46</v>
      </c>
      <c r="D81" s="45">
        <v>56</v>
      </c>
      <c r="E81" s="45">
        <v>52</v>
      </c>
      <c r="F81" s="45">
        <v>62</v>
      </c>
      <c r="G81" s="45">
        <v>62.2</v>
      </c>
      <c r="H81" s="45">
        <v>63</v>
      </c>
      <c r="I81" s="45">
        <v>62</v>
      </c>
      <c r="J81" s="45">
        <v>61.8</v>
      </c>
      <c r="K81" s="45">
        <v>57.1</v>
      </c>
      <c r="L81" s="45">
        <v>42</v>
      </c>
      <c r="M81" s="45">
        <v>30.4</v>
      </c>
      <c r="N81" s="45">
        <v>20.399999999999999</v>
      </c>
      <c r="O81" s="45">
        <v>25</v>
      </c>
      <c r="P81" s="45">
        <v>35</v>
      </c>
      <c r="Q81" s="45">
        <v>47.5</v>
      </c>
      <c r="R81" s="45">
        <v>62.1</v>
      </c>
      <c r="S81" s="45">
        <v>61.5</v>
      </c>
      <c r="T81" s="45">
        <v>58</v>
      </c>
      <c r="U81" s="45">
        <v>62.5</v>
      </c>
      <c r="V81" s="45">
        <v>37.299999999999997</v>
      </c>
      <c r="W81" s="45">
        <v>23.2</v>
      </c>
      <c r="X81" s="45">
        <v>35</v>
      </c>
      <c r="Y81" s="45">
        <v>41.2</v>
      </c>
      <c r="Z81" s="45">
        <v>46.6</v>
      </c>
      <c r="AA81" s="45">
        <v>44.6</v>
      </c>
      <c r="AB81" s="45">
        <v>40</v>
      </c>
      <c r="AC81" s="45">
        <v>38</v>
      </c>
      <c r="AD81" s="45">
        <v>52</v>
      </c>
      <c r="AE81" s="45">
        <v>52</v>
      </c>
      <c r="AF81" s="45">
        <v>48</v>
      </c>
      <c r="AG81" s="52"/>
      <c r="AH81" s="47">
        <f t="shared" si="2"/>
        <v>63</v>
      </c>
      <c r="AI81" s="48">
        <f t="shared" si="3"/>
        <v>20.399999999999999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211</v>
      </c>
      <c r="C83" s="65">
        <v>140</v>
      </c>
      <c r="D83" s="65">
        <v>138</v>
      </c>
      <c r="E83" s="65">
        <v>155</v>
      </c>
      <c r="F83" s="65">
        <v>144.69999999999999</v>
      </c>
      <c r="G83" s="65">
        <v>187</v>
      </c>
      <c r="H83" s="65">
        <v>241</v>
      </c>
      <c r="I83" s="65">
        <v>351</v>
      </c>
      <c r="J83" s="65">
        <v>356</v>
      </c>
      <c r="K83" s="65">
        <v>399</v>
      </c>
      <c r="L83" s="65">
        <v>180</v>
      </c>
      <c r="M83" s="65">
        <v>55.7</v>
      </c>
      <c r="N83" s="65">
        <v>11.4</v>
      </c>
      <c r="O83" s="65">
        <v>45</v>
      </c>
      <c r="P83" s="65">
        <v>205</v>
      </c>
      <c r="Q83" s="65">
        <v>291.39999999999998</v>
      </c>
      <c r="R83" s="65">
        <v>338</v>
      </c>
      <c r="S83" s="65">
        <v>362.3</v>
      </c>
      <c r="T83" s="65">
        <v>374</v>
      </c>
      <c r="U83" s="65">
        <v>355.3</v>
      </c>
      <c r="V83" s="65">
        <v>34.700000000000003</v>
      </c>
      <c r="W83" s="65">
        <v>68</v>
      </c>
      <c r="X83" s="65">
        <v>57</v>
      </c>
      <c r="Y83" s="65">
        <v>65.599999999999994</v>
      </c>
      <c r="Z83" s="65">
        <v>89.8</v>
      </c>
      <c r="AA83" s="65">
        <v>168</v>
      </c>
      <c r="AB83" s="65">
        <v>210</v>
      </c>
      <c r="AC83" s="65">
        <v>247</v>
      </c>
      <c r="AD83" s="65">
        <v>259</v>
      </c>
      <c r="AE83" s="65">
        <v>265</v>
      </c>
      <c r="AF83" s="65">
        <v>180</v>
      </c>
      <c r="AG83" s="75"/>
      <c r="AH83" s="47">
        <f t="shared" si="2"/>
        <v>399</v>
      </c>
      <c r="AI83" s="48">
        <f t="shared" si="3"/>
        <v>11.4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28">MAX(B85:AF85)</f>
        <v>0</v>
      </c>
      <c r="AI85" s="48">
        <f t="shared" ref="AI85:AI130" si="29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8"/>
        <v>0</v>
      </c>
      <c r="AI86" s="48">
        <f t="shared" si="29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8"/>
        <v>0</v>
      </c>
      <c r="AI87" s="48">
        <f t="shared" si="29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8"/>
        <v>0</v>
      </c>
      <c r="AI88" s="48">
        <f t="shared" si="29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8"/>
        <v>0</v>
      </c>
      <c r="AI89" s="48">
        <f t="shared" si="29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8"/>
        <v>0</v>
      </c>
      <c r="AI90" s="48">
        <f t="shared" si="29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28"/>
        <v>0</v>
      </c>
      <c r="AI91" s="48">
        <f t="shared" si="29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A92" si="30">SUMIF(B81:B91,"&gt;0")</f>
        <v>244</v>
      </c>
      <c r="C92" s="60">
        <f t="shared" si="30"/>
        <v>186</v>
      </c>
      <c r="D92" s="60">
        <f t="shared" si="30"/>
        <v>194</v>
      </c>
      <c r="E92" s="60">
        <f t="shared" si="30"/>
        <v>207</v>
      </c>
      <c r="F92" s="60">
        <f t="shared" si="30"/>
        <v>206.7</v>
      </c>
      <c r="G92" s="60">
        <f t="shared" si="30"/>
        <v>249.2</v>
      </c>
      <c r="H92" s="60">
        <f t="shared" si="30"/>
        <v>304</v>
      </c>
      <c r="I92" s="60">
        <f t="shared" si="30"/>
        <v>413</v>
      </c>
      <c r="J92" s="60">
        <f t="shared" si="30"/>
        <v>417.8</v>
      </c>
      <c r="K92" s="60">
        <f t="shared" si="30"/>
        <v>456.1</v>
      </c>
      <c r="L92" s="60">
        <f t="shared" si="30"/>
        <v>222</v>
      </c>
      <c r="M92" s="60">
        <f t="shared" ref="M92" si="31">SUMIF(M81:M91,"&gt;0")</f>
        <v>86.1</v>
      </c>
      <c r="N92" s="60">
        <f t="shared" si="30"/>
        <v>31.799999999999997</v>
      </c>
      <c r="O92" s="60">
        <f t="shared" si="30"/>
        <v>70</v>
      </c>
      <c r="P92" s="60">
        <f t="shared" si="30"/>
        <v>240</v>
      </c>
      <c r="Q92" s="60">
        <f t="shared" si="30"/>
        <v>338.9</v>
      </c>
      <c r="R92" s="60">
        <f t="shared" si="30"/>
        <v>400.1</v>
      </c>
      <c r="S92" s="60">
        <f t="shared" si="30"/>
        <v>423.8</v>
      </c>
      <c r="T92" s="60">
        <f t="shared" si="30"/>
        <v>432</v>
      </c>
      <c r="U92" s="60">
        <f t="shared" si="30"/>
        <v>417.8</v>
      </c>
      <c r="V92" s="60">
        <f t="shared" si="30"/>
        <v>72</v>
      </c>
      <c r="W92" s="60">
        <f t="shared" si="30"/>
        <v>91.2</v>
      </c>
      <c r="X92" s="60">
        <f t="shared" si="30"/>
        <v>92</v>
      </c>
      <c r="Y92" s="60">
        <f t="shared" si="30"/>
        <v>106.8</v>
      </c>
      <c r="Z92" s="60">
        <f t="shared" si="30"/>
        <v>136.4</v>
      </c>
      <c r="AA92" s="60">
        <f t="shared" si="30"/>
        <v>212.6</v>
      </c>
      <c r="AB92" s="60">
        <f t="shared" ref="AB92:AC92" si="32">SUMIF(AB81:AB91,"&gt;0")</f>
        <v>250</v>
      </c>
      <c r="AC92" s="60">
        <f t="shared" si="32"/>
        <v>285</v>
      </c>
      <c r="AD92" s="60">
        <f t="shared" ref="AD92:AE92" si="33">SUMIF(AD81:AD91,"&gt;0")</f>
        <v>311</v>
      </c>
      <c r="AE92" s="60">
        <f t="shared" si="33"/>
        <v>317</v>
      </c>
      <c r="AF92" s="60">
        <f t="shared" ref="AF92" si="34">SUMIF(AF81:AF91,"&gt;0")</f>
        <v>228</v>
      </c>
      <c r="AG92" s="88">
        <f>SUM(AG81:AG91)</f>
        <v>0</v>
      </c>
      <c r="AH92" s="47">
        <f t="shared" si="28"/>
        <v>456.1</v>
      </c>
      <c r="AI92" s="48">
        <f t="shared" si="29"/>
        <v>31.799999999999997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8"/>
        <v>0</v>
      </c>
      <c r="AI93" s="48">
        <f t="shared" si="29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8"/>
        <v>0</v>
      </c>
      <c r="AI94" s="48">
        <f t="shared" si="29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8"/>
        <v>0</v>
      </c>
      <c r="AI95" s="48">
        <f t="shared" si="29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8"/>
        <v>0</v>
      </c>
      <c r="AI96" s="48">
        <f t="shared" si="29"/>
        <v>0</v>
      </c>
    </row>
    <row r="97" spans="1:37" ht="15.75" thickBot="1" x14ac:dyDescent="0.3">
      <c r="A97" s="74" t="s">
        <v>100</v>
      </c>
      <c r="B97" s="95">
        <f t="shared" ref="B97:AG97" si="35">B58+B62+B80+B76+B92+B96</f>
        <v>1034.6400000000001</v>
      </c>
      <c r="C97" s="95">
        <f t="shared" si="35"/>
        <v>976.6400000000001</v>
      </c>
      <c r="D97" s="95">
        <f t="shared" si="35"/>
        <v>984.6400000000001</v>
      </c>
      <c r="E97" s="95">
        <f t="shared" si="35"/>
        <v>987.6400000000001</v>
      </c>
      <c r="F97" s="95">
        <f t="shared" si="35"/>
        <v>986.6400000000001</v>
      </c>
      <c r="G97" s="95">
        <f t="shared" si="35"/>
        <v>1040.0400000000002</v>
      </c>
      <c r="H97" s="95">
        <f t="shared" si="35"/>
        <v>1113.0400000000002</v>
      </c>
      <c r="I97" s="95">
        <f t="shared" si="35"/>
        <v>1257.7400000000002</v>
      </c>
      <c r="J97" s="95">
        <f t="shared" si="35"/>
        <v>1312.5400000000002</v>
      </c>
      <c r="K97" s="95">
        <f t="shared" si="35"/>
        <v>1529.19</v>
      </c>
      <c r="L97" s="95">
        <f t="shared" si="35"/>
        <v>1611.2400000000002</v>
      </c>
      <c r="M97" s="95">
        <f t="shared" ref="M97" si="36">M58+M62+M80+M76+M92+M96</f>
        <v>1607.1399999999999</v>
      </c>
      <c r="N97" s="95">
        <f t="shared" si="35"/>
        <v>1510.4399999999998</v>
      </c>
      <c r="O97" s="95">
        <f t="shared" si="35"/>
        <v>1429.24</v>
      </c>
      <c r="P97" s="95">
        <f t="shared" si="35"/>
        <v>1386.64</v>
      </c>
      <c r="Q97" s="95">
        <f t="shared" si="35"/>
        <v>1332.3400000000001</v>
      </c>
      <c r="R97" s="95">
        <f t="shared" si="35"/>
        <v>1322.3400000000001</v>
      </c>
      <c r="S97" s="95">
        <f t="shared" si="35"/>
        <v>1317.54</v>
      </c>
      <c r="T97" s="95">
        <f t="shared" si="35"/>
        <v>1369.14</v>
      </c>
      <c r="U97" s="95">
        <f t="shared" si="35"/>
        <v>1396.54</v>
      </c>
      <c r="V97" s="95">
        <f t="shared" si="35"/>
        <v>1422.4399999999998</v>
      </c>
      <c r="W97" s="95">
        <f t="shared" si="35"/>
        <v>1473.84</v>
      </c>
      <c r="X97" s="95">
        <f t="shared" si="35"/>
        <v>1665.4399999999998</v>
      </c>
      <c r="Y97" s="95">
        <f t="shared" si="35"/>
        <v>1634.0399999999997</v>
      </c>
      <c r="Z97" s="95">
        <f t="shared" si="35"/>
        <v>1559.54</v>
      </c>
      <c r="AA97" s="95">
        <f t="shared" si="35"/>
        <v>1592.3399999999997</v>
      </c>
      <c r="AB97" s="95">
        <f t="shared" ref="AB97:AC97" si="37">AB58+AB62+AB80+AB76+AB92+AB96</f>
        <v>1413.6399999999999</v>
      </c>
      <c r="AC97" s="95">
        <f t="shared" si="37"/>
        <v>1397.6399999999999</v>
      </c>
      <c r="AD97" s="95">
        <f t="shared" ref="AD97:AE97" si="38">AD58+AD62+AD80+AD76+AD92+AD96</f>
        <v>1318.3400000000001</v>
      </c>
      <c r="AE97" s="95">
        <f t="shared" si="38"/>
        <v>1182.1400000000001</v>
      </c>
      <c r="AF97" s="95">
        <f t="shared" ref="AF97" si="39">AF58+AF62+AF80+AF76+AF92+AF96</f>
        <v>1057.1400000000001</v>
      </c>
      <c r="AG97" s="61">
        <f t="shared" si="35"/>
        <v>2231.81</v>
      </c>
      <c r="AH97" s="47">
        <f t="shared" si="28"/>
        <v>1665.4399999999998</v>
      </c>
      <c r="AI97" s="48">
        <f t="shared" si="29"/>
        <v>976.6400000000001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>
        <v>50</v>
      </c>
      <c r="K98" s="97">
        <v>80</v>
      </c>
      <c r="L98" s="97">
        <v>80</v>
      </c>
      <c r="M98" s="97">
        <v>80</v>
      </c>
      <c r="N98" s="97">
        <v>80</v>
      </c>
      <c r="O98" s="97">
        <v>80</v>
      </c>
      <c r="P98" s="97"/>
      <c r="Q98" s="97"/>
      <c r="R98" s="97"/>
      <c r="S98" s="97"/>
      <c r="T98" s="97"/>
      <c r="U98" s="97"/>
      <c r="V98" s="97">
        <v>80</v>
      </c>
      <c r="W98" s="97">
        <v>80</v>
      </c>
      <c r="X98" s="97">
        <v>80</v>
      </c>
      <c r="Y98" s="97">
        <v>80</v>
      </c>
      <c r="Z98" s="97">
        <v>80</v>
      </c>
      <c r="AA98" s="97">
        <v>80</v>
      </c>
      <c r="AB98" s="97">
        <v>50</v>
      </c>
      <c r="AC98" s="97">
        <v>0</v>
      </c>
      <c r="AD98" s="97">
        <v>0</v>
      </c>
      <c r="AE98" s="97">
        <v>0</v>
      </c>
      <c r="AF98" s="97">
        <v>0</v>
      </c>
      <c r="AG98" s="88"/>
      <c r="AH98" s="47">
        <f t="shared" si="28"/>
        <v>80</v>
      </c>
      <c r="AI98" s="48">
        <f t="shared" si="29"/>
        <v>0</v>
      </c>
    </row>
    <row r="99" spans="1:37" ht="15.75" thickBot="1" x14ac:dyDescent="0.3">
      <c r="A99" s="74" t="s">
        <v>102</v>
      </c>
      <c r="B99" s="95">
        <f t="shared" ref="B99:AA99" si="40">B97+B98</f>
        <v>1034.6400000000001</v>
      </c>
      <c r="C99" s="95">
        <f t="shared" si="40"/>
        <v>976.6400000000001</v>
      </c>
      <c r="D99" s="95">
        <f t="shared" si="40"/>
        <v>984.6400000000001</v>
      </c>
      <c r="E99" s="95">
        <f t="shared" si="40"/>
        <v>987.6400000000001</v>
      </c>
      <c r="F99" s="95">
        <f t="shared" si="40"/>
        <v>986.6400000000001</v>
      </c>
      <c r="G99" s="95">
        <f t="shared" si="40"/>
        <v>1040.0400000000002</v>
      </c>
      <c r="H99" s="95">
        <f t="shared" si="40"/>
        <v>1113.0400000000002</v>
      </c>
      <c r="I99" s="95">
        <f t="shared" si="40"/>
        <v>1257.7400000000002</v>
      </c>
      <c r="J99" s="95">
        <f t="shared" si="40"/>
        <v>1362.5400000000002</v>
      </c>
      <c r="K99" s="95">
        <f t="shared" si="40"/>
        <v>1609.19</v>
      </c>
      <c r="L99" s="95">
        <f t="shared" si="40"/>
        <v>1691.2400000000002</v>
      </c>
      <c r="M99" s="95">
        <f t="shared" ref="M99" si="41">M97+M98</f>
        <v>1687.1399999999999</v>
      </c>
      <c r="N99" s="95">
        <f t="shared" si="40"/>
        <v>1590.4399999999998</v>
      </c>
      <c r="O99" s="95">
        <f t="shared" si="40"/>
        <v>1509.24</v>
      </c>
      <c r="P99" s="95">
        <f t="shared" si="40"/>
        <v>1386.64</v>
      </c>
      <c r="Q99" s="95">
        <f t="shared" si="40"/>
        <v>1332.3400000000001</v>
      </c>
      <c r="R99" s="95">
        <f t="shared" si="40"/>
        <v>1322.3400000000001</v>
      </c>
      <c r="S99" s="95">
        <f t="shared" si="40"/>
        <v>1317.54</v>
      </c>
      <c r="T99" s="95">
        <f t="shared" si="40"/>
        <v>1369.14</v>
      </c>
      <c r="U99" s="95">
        <f t="shared" si="40"/>
        <v>1396.54</v>
      </c>
      <c r="V99" s="95">
        <f t="shared" si="40"/>
        <v>1502.4399999999998</v>
      </c>
      <c r="W99" s="95">
        <f t="shared" si="40"/>
        <v>1553.84</v>
      </c>
      <c r="X99" s="95">
        <f t="shared" si="40"/>
        <v>1745.4399999999998</v>
      </c>
      <c r="Y99" s="95">
        <f t="shared" si="40"/>
        <v>1714.0399999999997</v>
      </c>
      <c r="Z99" s="95">
        <f t="shared" si="40"/>
        <v>1639.54</v>
      </c>
      <c r="AA99" s="95">
        <f t="shared" si="40"/>
        <v>1672.3399999999997</v>
      </c>
      <c r="AB99" s="95">
        <f t="shared" ref="AB99:AC99" si="42">AB97+AB98</f>
        <v>1463.6399999999999</v>
      </c>
      <c r="AC99" s="95">
        <f t="shared" si="42"/>
        <v>1397.6399999999999</v>
      </c>
      <c r="AD99" s="95">
        <f t="shared" ref="AD99:AE99" si="43">AD97+AD98</f>
        <v>1318.3400000000001</v>
      </c>
      <c r="AE99" s="95">
        <f t="shared" si="43"/>
        <v>1182.1400000000001</v>
      </c>
      <c r="AF99" s="95">
        <f t="shared" ref="AF99" si="44">AF97+AF98</f>
        <v>1057.1400000000001</v>
      </c>
      <c r="AG99" s="88">
        <f>AG96+AG92+AG80+AG76+AG58+AG98</f>
        <v>1693.71</v>
      </c>
      <c r="AH99" s="47">
        <f t="shared" si="28"/>
        <v>1745.4399999999998</v>
      </c>
      <c r="AI99" s="48">
        <f t="shared" si="29"/>
        <v>976.6400000000001</v>
      </c>
    </row>
    <row r="100" spans="1:37" ht="15.75" thickBot="1" x14ac:dyDescent="0.3">
      <c r="A100" s="74" t="s">
        <v>103</v>
      </c>
      <c r="B100" s="95">
        <f t="shared" ref="B100:L100" si="45">B99-(B107)</f>
        <v>1034.6400000000001</v>
      </c>
      <c r="C100" s="95">
        <f t="shared" si="45"/>
        <v>976.6400000000001</v>
      </c>
      <c r="D100" s="95">
        <f t="shared" si="45"/>
        <v>984.6400000000001</v>
      </c>
      <c r="E100" s="95">
        <f t="shared" si="45"/>
        <v>987.6400000000001</v>
      </c>
      <c r="F100" s="95">
        <f t="shared" si="45"/>
        <v>986.6400000000001</v>
      </c>
      <c r="G100" s="95">
        <f t="shared" si="45"/>
        <v>1040.0400000000002</v>
      </c>
      <c r="H100" s="95">
        <f t="shared" si="45"/>
        <v>1113.0400000000002</v>
      </c>
      <c r="I100" s="95">
        <f t="shared" si="45"/>
        <v>1257.7400000000002</v>
      </c>
      <c r="J100" s="95">
        <f t="shared" si="45"/>
        <v>1362.5400000000002</v>
      </c>
      <c r="K100" s="95">
        <f t="shared" si="45"/>
        <v>1609.19</v>
      </c>
      <c r="L100" s="95">
        <f t="shared" si="45"/>
        <v>1691.2400000000002</v>
      </c>
      <c r="M100" s="95">
        <f t="shared" ref="M100" si="46">M99-(M107)</f>
        <v>1686.1399999999999</v>
      </c>
      <c r="N100" s="95">
        <f>N99-(N107)</f>
        <v>1590.4399999999998</v>
      </c>
      <c r="O100" s="95">
        <f t="shared" ref="O100:AA100" si="47">O99-(O107)</f>
        <v>1509.24</v>
      </c>
      <c r="P100" s="95">
        <f t="shared" si="47"/>
        <v>1386.64</v>
      </c>
      <c r="Q100" s="95">
        <f t="shared" si="47"/>
        <v>1332.3400000000001</v>
      </c>
      <c r="R100" s="95">
        <f t="shared" si="47"/>
        <v>1322.3400000000001</v>
      </c>
      <c r="S100" s="95">
        <f t="shared" si="47"/>
        <v>1317.54</v>
      </c>
      <c r="T100" s="95">
        <f t="shared" si="47"/>
        <v>1369.14</v>
      </c>
      <c r="U100" s="95">
        <f t="shared" si="47"/>
        <v>1396.54</v>
      </c>
      <c r="V100" s="95">
        <f t="shared" si="47"/>
        <v>1502.4399999999998</v>
      </c>
      <c r="W100" s="95">
        <f t="shared" si="47"/>
        <v>1553.84</v>
      </c>
      <c r="X100" s="95">
        <f t="shared" si="47"/>
        <v>1745.4399999999998</v>
      </c>
      <c r="Y100" s="95">
        <f t="shared" si="47"/>
        <v>1714.0399999999997</v>
      </c>
      <c r="Z100" s="95">
        <f t="shared" si="47"/>
        <v>1639.54</v>
      </c>
      <c r="AA100" s="95">
        <f t="shared" si="47"/>
        <v>1672.3399999999997</v>
      </c>
      <c r="AB100" s="95">
        <f t="shared" ref="AB100:AC100" si="48">AB99-(AB107)</f>
        <v>1462.6399999999999</v>
      </c>
      <c r="AC100" s="95">
        <f t="shared" si="48"/>
        <v>1395.6399999999999</v>
      </c>
      <c r="AD100" s="95">
        <f t="shared" ref="AD100:AE100" si="49">AD99-(AD107)</f>
        <v>1315.3400000000001</v>
      </c>
      <c r="AE100" s="95">
        <f t="shared" si="49"/>
        <v>1178.1400000000001</v>
      </c>
      <c r="AF100" s="95">
        <f t="shared" ref="AF100" si="50">AF99-(AF107)</f>
        <v>1052.1400000000001</v>
      </c>
      <c r="AG100" s="88"/>
      <c r="AH100" s="47">
        <f t="shared" si="28"/>
        <v>1745.4399999999998</v>
      </c>
      <c r="AI100" s="48">
        <f t="shared" si="29"/>
        <v>976.6400000000001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A101" si="51">IF(C84&lt;0,C84*-1,0)</f>
        <v>0</v>
      </c>
      <c r="D101" s="76">
        <f t="shared" si="51"/>
        <v>0</v>
      </c>
      <c r="E101" s="76">
        <f t="shared" si="51"/>
        <v>0</v>
      </c>
      <c r="F101" s="76">
        <f t="shared" si="51"/>
        <v>0</v>
      </c>
      <c r="G101" s="76">
        <f t="shared" si="51"/>
        <v>0</v>
      </c>
      <c r="H101" s="76">
        <f t="shared" si="51"/>
        <v>0</v>
      </c>
      <c r="I101" s="76">
        <f t="shared" si="51"/>
        <v>0</v>
      </c>
      <c r="J101" s="76">
        <f t="shared" si="51"/>
        <v>0</v>
      </c>
      <c r="K101" s="76">
        <f t="shared" si="51"/>
        <v>0</v>
      </c>
      <c r="L101" s="76">
        <f t="shared" si="51"/>
        <v>0</v>
      </c>
      <c r="M101" s="76">
        <f t="shared" ref="M101" si="52">IF(M84&lt;0,M84*-1,0)</f>
        <v>0</v>
      </c>
      <c r="N101" s="76">
        <f t="shared" si="51"/>
        <v>0</v>
      </c>
      <c r="O101" s="76">
        <f t="shared" si="51"/>
        <v>0</v>
      </c>
      <c r="P101" s="76">
        <f t="shared" si="51"/>
        <v>0</v>
      </c>
      <c r="Q101" s="76">
        <f t="shared" si="51"/>
        <v>0</v>
      </c>
      <c r="R101" s="76">
        <f t="shared" si="51"/>
        <v>0</v>
      </c>
      <c r="S101" s="76">
        <f t="shared" si="51"/>
        <v>0</v>
      </c>
      <c r="T101" s="76">
        <f t="shared" si="51"/>
        <v>0</v>
      </c>
      <c r="U101" s="76">
        <f t="shared" si="51"/>
        <v>0</v>
      </c>
      <c r="V101" s="76">
        <f t="shared" si="51"/>
        <v>0</v>
      </c>
      <c r="W101" s="76">
        <f t="shared" si="51"/>
        <v>0</v>
      </c>
      <c r="X101" s="76">
        <f t="shared" si="51"/>
        <v>0</v>
      </c>
      <c r="Y101" s="76">
        <f t="shared" si="51"/>
        <v>0</v>
      </c>
      <c r="Z101" s="76">
        <f t="shared" si="51"/>
        <v>0</v>
      </c>
      <c r="AA101" s="76">
        <f t="shared" si="51"/>
        <v>0</v>
      </c>
      <c r="AB101" s="76">
        <f t="shared" ref="AB101:AC101" si="53">IF(AB84&lt;0,AB84*-1,0)</f>
        <v>0</v>
      </c>
      <c r="AC101" s="76">
        <f t="shared" si="53"/>
        <v>0</v>
      </c>
      <c r="AD101" s="76">
        <f t="shared" ref="AD101:AE101" si="54">IF(AD84&lt;0,AD84*-1,0)</f>
        <v>0</v>
      </c>
      <c r="AE101" s="76">
        <f t="shared" si="54"/>
        <v>0</v>
      </c>
      <c r="AF101" s="76">
        <f t="shared" ref="AF101" si="55">IF(AF84&lt;0,AF84*-1,0)</f>
        <v>0</v>
      </c>
      <c r="AG101" s="52"/>
      <c r="AH101" s="47">
        <f t="shared" si="28"/>
        <v>0</v>
      </c>
      <c r="AI101" s="48">
        <f t="shared" si="29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A102" si="56">IF(C82&lt;0,C82*-1,0)</f>
        <v>0</v>
      </c>
      <c r="D102" s="76">
        <f t="shared" si="56"/>
        <v>0</v>
      </c>
      <c r="E102" s="76">
        <f t="shared" si="56"/>
        <v>0</v>
      </c>
      <c r="F102" s="76">
        <f t="shared" si="56"/>
        <v>0</v>
      </c>
      <c r="G102" s="76">
        <f t="shared" si="56"/>
        <v>0</v>
      </c>
      <c r="H102" s="76">
        <f t="shared" si="56"/>
        <v>0</v>
      </c>
      <c r="I102" s="76">
        <f t="shared" si="56"/>
        <v>0</v>
      </c>
      <c r="J102" s="76">
        <f t="shared" si="56"/>
        <v>0</v>
      </c>
      <c r="K102" s="76">
        <f t="shared" si="56"/>
        <v>0</v>
      </c>
      <c r="L102" s="76">
        <f t="shared" si="56"/>
        <v>0</v>
      </c>
      <c r="M102" s="76">
        <f t="shared" ref="M102" si="57">IF(M82&lt;0,M82*-1,0)</f>
        <v>0</v>
      </c>
      <c r="N102" s="76">
        <f t="shared" si="56"/>
        <v>0</v>
      </c>
      <c r="O102" s="76">
        <f t="shared" si="56"/>
        <v>0</v>
      </c>
      <c r="P102" s="76">
        <f t="shared" si="56"/>
        <v>0</v>
      </c>
      <c r="Q102" s="76">
        <f t="shared" si="56"/>
        <v>0</v>
      </c>
      <c r="R102" s="76">
        <f t="shared" si="56"/>
        <v>0</v>
      </c>
      <c r="S102" s="76">
        <f t="shared" si="56"/>
        <v>0</v>
      </c>
      <c r="T102" s="76">
        <f t="shared" si="56"/>
        <v>0</v>
      </c>
      <c r="U102" s="76">
        <f t="shared" si="56"/>
        <v>0</v>
      </c>
      <c r="V102" s="76">
        <f t="shared" si="56"/>
        <v>0</v>
      </c>
      <c r="W102" s="76">
        <f t="shared" si="56"/>
        <v>0</v>
      </c>
      <c r="X102" s="76">
        <f t="shared" si="56"/>
        <v>0</v>
      </c>
      <c r="Y102" s="76">
        <f t="shared" si="56"/>
        <v>0</v>
      </c>
      <c r="Z102" s="76">
        <f t="shared" si="56"/>
        <v>0</v>
      </c>
      <c r="AA102" s="76">
        <f t="shared" si="56"/>
        <v>0</v>
      </c>
      <c r="AB102" s="76">
        <f t="shared" ref="AB102:AC102" si="58">IF(AB82&lt;0,AB82*-1,0)</f>
        <v>0</v>
      </c>
      <c r="AC102" s="76">
        <f t="shared" si="58"/>
        <v>0</v>
      </c>
      <c r="AD102" s="76">
        <f t="shared" ref="AD102:AE102" si="59">IF(AD82&lt;0,AD82*-1,0)</f>
        <v>0</v>
      </c>
      <c r="AE102" s="76">
        <f t="shared" si="59"/>
        <v>0</v>
      </c>
      <c r="AF102" s="76">
        <f t="shared" ref="AF102" si="60">IF(AF82&lt;0,AF82*-1,0)</f>
        <v>0</v>
      </c>
      <c r="AG102" s="55"/>
      <c r="AH102" s="47">
        <f t="shared" si="28"/>
        <v>0</v>
      </c>
      <c r="AI102" s="48">
        <f t="shared" si="29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A103" si="61">IF(C85&lt;0,C85*-1,0)</f>
        <v>0</v>
      </c>
      <c r="D103" s="76">
        <f t="shared" si="61"/>
        <v>0</v>
      </c>
      <c r="E103" s="76">
        <f t="shared" si="61"/>
        <v>0</v>
      </c>
      <c r="F103" s="76">
        <f t="shared" si="61"/>
        <v>0</v>
      </c>
      <c r="G103" s="76">
        <f t="shared" si="61"/>
        <v>0</v>
      </c>
      <c r="H103" s="76">
        <f t="shared" si="61"/>
        <v>0</v>
      </c>
      <c r="I103" s="76">
        <f t="shared" si="61"/>
        <v>0</v>
      </c>
      <c r="J103" s="76">
        <f t="shared" si="61"/>
        <v>0</v>
      </c>
      <c r="K103" s="76">
        <f t="shared" si="61"/>
        <v>0</v>
      </c>
      <c r="L103" s="76">
        <f t="shared" si="61"/>
        <v>0</v>
      </c>
      <c r="M103" s="76">
        <f t="shared" ref="M103" si="62">IF(M85&lt;0,M85*-1,0)</f>
        <v>0</v>
      </c>
      <c r="N103" s="76">
        <f t="shared" si="61"/>
        <v>0</v>
      </c>
      <c r="O103" s="76">
        <f t="shared" si="61"/>
        <v>0</v>
      </c>
      <c r="P103" s="76">
        <f t="shared" si="61"/>
        <v>0</v>
      </c>
      <c r="Q103" s="76">
        <f t="shared" si="61"/>
        <v>0</v>
      </c>
      <c r="R103" s="76">
        <f t="shared" si="61"/>
        <v>0</v>
      </c>
      <c r="S103" s="76">
        <f t="shared" si="61"/>
        <v>0</v>
      </c>
      <c r="T103" s="76">
        <f t="shared" si="61"/>
        <v>0</v>
      </c>
      <c r="U103" s="76">
        <f t="shared" si="61"/>
        <v>0</v>
      </c>
      <c r="V103" s="76">
        <f t="shared" si="61"/>
        <v>0</v>
      </c>
      <c r="W103" s="76">
        <f t="shared" si="61"/>
        <v>0</v>
      </c>
      <c r="X103" s="76">
        <f t="shared" si="61"/>
        <v>0</v>
      </c>
      <c r="Y103" s="76">
        <f t="shared" si="61"/>
        <v>0</v>
      </c>
      <c r="Z103" s="76">
        <f t="shared" si="61"/>
        <v>0</v>
      </c>
      <c r="AA103" s="76">
        <f t="shared" si="61"/>
        <v>0</v>
      </c>
      <c r="AB103" s="76">
        <f t="shared" ref="AB103:AC103" si="63">IF(AB85&lt;0,AB85*-1,0)</f>
        <v>0</v>
      </c>
      <c r="AC103" s="76">
        <f t="shared" si="63"/>
        <v>0</v>
      </c>
      <c r="AD103" s="76">
        <f t="shared" ref="AD103:AE103" si="64">IF(AD85&lt;0,AD85*-1,0)</f>
        <v>0</v>
      </c>
      <c r="AE103" s="76">
        <f t="shared" si="64"/>
        <v>0</v>
      </c>
      <c r="AF103" s="76">
        <f t="shared" ref="AF103" si="65">IF(AF85&lt;0,AF85*-1,0)</f>
        <v>0</v>
      </c>
      <c r="AG103" s="98"/>
      <c r="AH103" s="47">
        <f t="shared" si="28"/>
        <v>0</v>
      </c>
      <c r="AI103" s="48">
        <f t="shared" si="29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A104" si="66">IF(C83&lt;0,C83*-1,0)</f>
        <v>0</v>
      </c>
      <c r="D104" s="76">
        <f t="shared" si="66"/>
        <v>0</v>
      </c>
      <c r="E104" s="76">
        <f t="shared" si="66"/>
        <v>0</v>
      </c>
      <c r="F104" s="76">
        <f t="shared" si="66"/>
        <v>0</v>
      </c>
      <c r="G104" s="76">
        <f t="shared" si="66"/>
        <v>0</v>
      </c>
      <c r="H104" s="76">
        <f t="shared" si="66"/>
        <v>0</v>
      </c>
      <c r="I104" s="76">
        <f t="shared" si="66"/>
        <v>0</v>
      </c>
      <c r="J104" s="76">
        <f t="shared" si="66"/>
        <v>0</v>
      </c>
      <c r="K104" s="76">
        <f t="shared" si="66"/>
        <v>0</v>
      </c>
      <c r="L104" s="76">
        <f t="shared" si="66"/>
        <v>0</v>
      </c>
      <c r="M104" s="76">
        <f t="shared" ref="M104" si="67">IF(M83&lt;0,M83*-1,0)</f>
        <v>0</v>
      </c>
      <c r="N104" s="76">
        <f t="shared" si="66"/>
        <v>0</v>
      </c>
      <c r="O104" s="76">
        <f t="shared" si="66"/>
        <v>0</v>
      </c>
      <c r="P104" s="76">
        <f t="shared" si="66"/>
        <v>0</v>
      </c>
      <c r="Q104" s="76">
        <f t="shared" si="66"/>
        <v>0</v>
      </c>
      <c r="R104" s="76">
        <f t="shared" si="66"/>
        <v>0</v>
      </c>
      <c r="S104" s="76">
        <f t="shared" si="66"/>
        <v>0</v>
      </c>
      <c r="T104" s="76">
        <f t="shared" si="66"/>
        <v>0</v>
      </c>
      <c r="U104" s="76">
        <f t="shared" si="66"/>
        <v>0</v>
      </c>
      <c r="V104" s="76">
        <f t="shared" si="66"/>
        <v>0</v>
      </c>
      <c r="W104" s="76">
        <f t="shared" si="66"/>
        <v>0</v>
      </c>
      <c r="X104" s="76">
        <f t="shared" si="66"/>
        <v>0</v>
      </c>
      <c r="Y104" s="76">
        <f t="shared" si="66"/>
        <v>0</v>
      </c>
      <c r="Z104" s="76">
        <f t="shared" si="66"/>
        <v>0</v>
      </c>
      <c r="AA104" s="76">
        <f t="shared" si="66"/>
        <v>0</v>
      </c>
      <c r="AB104" s="76">
        <f t="shared" ref="AB104:AC104" si="68">IF(AB83&lt;0,AB83*-1,0)</f>
        <v>0</v>
      </c>
      <c r="AC104" s="76">
        <f t="shared" si="68"/>
        <v>0</v>
      </c>
      <c r="AD104" s="76">
        <f t="shared" ref="AD104:AE104" si="69">IF(AD83&lt;0,AD83*-1,0)</f>
        <v>0</v>
      </c>
      <c r="AE104" s="76">
        <f t="shared" si="69"/>
        <v>0</v>
      </c>
      <c r="AF104" s="76">
        <f t="shared" ref="AF104" si="70">IF(AF83&lt;0,AF83*-1,0)</f>
        <v>0</v>
      </c>
      <c r="AG104" s="98"/>
      <c r="AH104" s="47">
        <f t="shared" si="28"/>
        <v>0</v>
      </c>
      <c r="AI104" s="48">
        <f t="shared" si="29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A105" si="71">IF(C81&lt;0,C81*-1,0)</f>
        <v>0</v>
      </c>
      <c r="D105" s="76">
        <f t="shared" si="71"/>
        <v>0</v>
      </c>
      <c r="E105" s="76">
        <f t="shared" si="71"/>
        <v>0</v>
      </c>
      <c r="F105" s="76">
        <f t="shared" si="71"/>
        <v>0</v>
      </c>
      <c r="G105" s="76">
        <f t="shared" si="71"/>
        <v>0</v>
      </c>
      <c r="H105" s="76">
        <f t="shared" si="71"/>
        <v>0</v>
      </c>
      <c r="I105" s="76">
        <f t="shared" si="71"/>
        <v>0</v>
      </c>
      <c r="J105" s="76">
        <f t="shared" si="71"/>
        <v>0</v>
      </c>
      <c r="K105" s="76">
        <f t="shared" si="71"/>
        <v>0</v>
      </c>
      <c r="L105" s="76">
        <f t="shared" si="71"/>
        <v>0</v>
      </c>
      <c r="M105" s="76">
        <f t="shared" ref="M105" si="72">IF(M81&lt;0,M81*-1,0)</f>
        <v>0</v>
      </c>
      <c r="N105" s="76">
        <f t="shared" si="71"/>
        <v>0</v>
      </c>
      <c r="O105" s="76">
        <f t="shared" si="71"/>
        <v>0</v>
      </c>
      <c r="P105" s="76">
        <f t="shared" si="71"/>
        <v>0</v>
      </c>
      <c r="Q105" s="76">
        <f t="shared" si="71"/>
        <v>0</v>
      </c>
      <c r="R105" s="76">
        <f t="shared" si="71"/>
        <v>0</v>
      </c>
      <c r="S105" s="76">
        <f t="shared" si="71"/>
        <v>0</v>
      </c>
      <c r="T105" s="76">
        <f t="shared" si="71"/>
        <v>0</v>
      </c>
      <c r="U105" s="76">
        <f t="shared" si="71"/>
        <v>0</v>
      </c>
      <c r="V105" s="76">
        <f t="shared" si="71"/>
        <v>0</v>
      </c>
      <c r="W105" s="76">
        <f t="shared" si="71"/>
        <v>0</v>
      </c>
      <c r="X105" s="76">
        <f t="shared" si="71"/>
        <v>0</v>
      </c>
      <c r="Y105" s="76">
        <f t="shared" si="71"/>
        <v>0</v>
      </c>
      <c r="Z105" s="76">
        <f t="shared" si="71"/>
        <v>0</v>
      </c>
      <c r="AA105" s="76">
        <f t="shared" si="71"/>
        <v>0</v>
      </c>
      <c r="AB105" s="76">
        <f t="shared" ref="AB105:AC105" si="73">IF(AB81&lt;0,AB81*-1,0)</f>
        <v>0</v>
      </c>
      <c r="AC105" s="76">
        <f t="shared" si="73"/>
        <v>0</v>
      </c>
      <c r="AD105" s="76">
        <f t="shared" ref="AD105:AE105" si="74">IF(AD81&lt;0,AD81*-1,0)</f>
        <v>0</v>
      </c>
      <c r="AE105" s="76">
        <f t="shared" si="74"/>
        <v>0</v>
      </c>
      <c r="AF105" s="76">
        <f t="shared" ref="AF105" si="75">IF(AF81&lt;0,AF81*-1,0)</f>
        <v>0</v>
      </c>
      <c r="AG105" s="98"/>
      <c r="AH105" s="47">
        <f t="shared" si="28"/>
        <v>0</v>
      </c>
      <c r="AI105" s="48">
        <f t="shared" si="29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1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1</v>
      </c>
      <c r="AC106" s="94">
        <v>2</v>
      </c>
      <c r="AD106" s="94">
        <v>3</v>
      </c>
      <c r="AE106" s="94">
        <v>4</v>
      </c>
      <c r="AF106" s="94">
        <v>5</v>
      </c>
      <c r="AG106" s="85"/>
      <c r="AH106" s="47">
        <f t="shared" si="28"/>
        <v>5</v>
      </c>
      <c r="AI106" s="48">
        <f t="shared" si="29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A107" si="76">SUM(C101:C106)</f>
        <v>0</v>
      </c>
      <c r="D107" s="60">
        <f t="shared" si="76"/>
        <v>0</v>
      </c>
      <c r="E107" s="60">
        <f t="shared" si="76"/>
        <v>0</v>
      </c>
      <c r="F107" s="60">
        <f t="shared" si="76"/>
        <v>0</v>
      </c>
      <c r="G107" s="60">
        <f t="shared" si="76"/>
        <v>0</v>
      </c>
      <c r="H107" s="60">
        <f t="shared" si="76"/>
        <v>0</v>
      </c>
      <c r="I107" s="60">
        <f t="shared" si="76"/>
        <v>0</v>
      </c>
      <c r="J107" s="60">
        <f t="shared" si="76"/>
        <v>0</v>
      </c>
      <c r="K107" s="60">
        <f t="shared" si="76"/>
        <v>0</v>
      </c>
      <c r="L107" s="60">
        <f t="shared" si="76"/>
        <v>0</v>
      </c>
      <c r="M107" s="60">
        <f t="shared" ref="M107" si="77">SUM(M101:M106)</f>
        <v>1</v>
      </c>
      <c r="N107" s="60">
        <f t="shared" si="76"/>
        <v>0</v>
      </c>
      <c r="O107" s="60">
        <f t="shared" si="76"/>
        <v>0</v>
      </c>
      <c r="P107" s="60">
        <f t="shared" si="76"/>
        <v>0</v>
      </c>
      <c r="Q107" s="60">
        <f t="shared" si="76"/>
        <v>0</v>
      </c>
      <c r="R107" s="60">
        <f t="shared" si="76"/>
        <v>0</v>
      </c>
      <c r="S107" s="60">
        <f t="shared" si="76"/>
        <v>0</v>
      </c>
      <c r="T107" s="60">
        <f t="shared" si="76"/>
        <v>0</v>
      </c>
      <c r="U107" s="60">
        <f t="shared" si="76"/>
        <v>0</v>
      </c>
      <c r="V107" s="60">
        <f t="shared" si="76"/>
        <v>0</v>
      </c>
      <c r="W107" s="60">
        <f t="shared" si="76"/>
        <v>0</v>
      </c>
      <c r="X107" s="60">
        <f t="shared" si="76"/>
        <v>0</v>
      </c>
      <c r="Y107" s="60">
        <f t="shared" si="76"/>
        <v>0</v>
      </c>
      <c r="Z107" s="60">
        <f t="shared" si="76"/>
        <v>0</v>
      </c>
      <c r="AA107" s="60">
        <f t="shared" si="76"/>
        <v>0</v>
      </c>
      <c r="AB107" s="60">
        <f t="shared" ref="AB107:AC107" si="78">SUM(AB101:AB106)</f>
        <v>1</v>
      </c>
      <c r="AC107" s="60">
        <f t="shared" si="78"/>
        <v>2</v>
      </c>
      <c r="AD107" s="60">
        <f t="shared" ref="AD107:AE107" si="79">SUM(AD101:AD106)</f>
        <v>3</v>
      </c>
      <c r="AE107" s="60">
        <f t="shared" si="79"/>
        <v>4</v>
      </c>
      <c r="AF107" s="60">
        <f t="shared" ref="AF107" si="80">SUM(AF101:AF106)</f>
        <v>5</v>
      </c>
      <c r="AG107" s="88"/>
      <c r="AH107" s="47">
        <f t="shared" si="28"/>
        <v>5</v>
      </c>
      <c r="AI107" s="48">
        <f t="shared" si="29"/>
        <v>0</v>
      </c>
      <c r="AK107" s="50"/>
    </row>
    <row r="108" spans="1:37" ht="15.75" thickBot="1" x14ac:dyDescent="0.3">
      <c r="A108" s="74" t="s">
        <v>108</v>
      </c>
      <c r="B108" s="60">
        <f t="shared" ref="B108:AA108" si="81">B92-B107</f>
        <v>244</v>
      </c>
      <c r="C108" s="60">
        <f t="shared" si="81"/>
        <v>186</v>
      </c>
      <c r="D108" s="60">
        <f t="shared" si="81"/>
        <v>194</v>
      </c>
      <c r="E108" s="60">
        <f t="shared" si="81"/>
        <v>207</v>
      </c>
      <c r="F108" s="60">
        <f t="shared" si="81"/>
        <v>206.7</v>
      </c>
      <c r="G108" s="60">
        <f t="shared" si="81"/>
        <v>249.2</v>
      </c>
      <c r="H108" s="60">
        <f t="shared" si="81"/>
        <v>304</v>
      </c>
      <c r="I108" s="60">
        <f t="shared" si="81"/>
        <v>413</v>
      </c>
      <c r="J108" s="60">
        <f t="shared" si="81"/>
        <v>417.8</v>
      </c>
      <c r="K108" s="60">
        <f t="shared" si="81"/>
        <v>456.1</v>
      </c>
      <c r="L108" s="60">
        <f t="shared" si="81"/>
        <v>222</v>
      </c>
      <c r="M108" s="60">
        <f t="shared" ref="M108" si="82">M92-M107</f>
        <v>85.1</v>
      </c>
      <c r="N108" s="60">
        <f t="shared" si="81"/>
        <v>31.799999999999997</v>
      </c>
      <c r="O108" s="60">
        <f t="shared" si="81"/>
        <v>70</v>
      </c>
      <c r="P108" s="60">
        <f t="shared" si="81"/>
        <v>240</v>
      </c>
      <c r="Q108" s="60">
        <f t="shared" si="81"/>
        <v>338.9</v>
      </c>
      <c r="R108" s="60">
        <f t="shared" si="81"/>
        <v>400.1</v>
      </c>
      <c r="S108" s="60">
        <f t="shared" si="81"/>
        <v>423.8</v>
      </c>
      <c r="T108" s="60">
        <f t="shared" si="81"/>
        <v>432</v>
      </c>
      <c r="U108" s="60">
        <f t="shared" si="81"/>
        <v>417.8</v>
      </c>
      <c r="V108" s="60">
        <f t="shared" si="81"/>
        <v>72</v>
      </c>
      <c r="W108" s="60">
        <f t="shared" si="81"/>
        <v>91.2</v>
      </c>
      <c r="X108" s="60">
        <f t="shared" si="81"/>
        <v>92</v>
      </c>
      <c r="Y108" s="60">
        <f t="shared" si="81"/>
        <v>106.8</v>
      </c>
      <c r="Z108" s="60">
        <f t="shared" si="81"/>
        <v>136.4</v>
      </c>
      <c r="AA108" s="60">
        <f t="shared" si="81"/>
        <v>212.6</v>
      </c>
      <c r="AB108" s="60">
        <f t="shared" ref="AB108:AC108" si="83">AB92-AB107</f>
        <v>249</v>
      </c>
      <c r="AC108" s="60">
        <f t="shared" si="83"/>
        <v>283</v>
      </c>
      <c r="AD108" s="60">
        <f t="shared" ref="AD108:AE108" si="84">AD92-AD107</f>
        <v>308</v>
      </c>
      <c r="AE108" s="60">
        <f t="shared" si="84"/>
        <v>313</v>
      </c>
      <c r="AF108" s="60">
        <f t="shared" ref="AF108" si="85">AF92-AF107</f>
        <v>223</v>
      </c>
      <c r="AG108" s="88"/>
      <c r="AH108" s="47">
        <f t="shared" si="28"/>
        <v>456.1</v>
      </c>
      <c r="AI108" s="48">
        <f t="shared" si="29"/>
        <v>31.799999999999997</v>
      </c>
    </row>
    <row r="109" spans="1:37" x14ac:dyDescent="0.25">
      <c r="A109" s="100" t="s">
        <v>109</v>
      </c>
      <c r="B109" s="101">
        <v>50.002000000000002</v>
      </c>
      <c r="C109" s="101">
        <v>49.972999999999999</v>
      </c>
      <c r="D109" s="101">
        <v>49.951999999999998</v>
      </c>
      <c r="E109" s="101">
        <v>50.000999999999998</v>
      </c>
      <c r="F109" s="101">
        <v>50.012999999999998</v>
      </c>
      <c r="G109" s="101">
        <v>49.957000000000001</v>
      </c>
      <c r="H109" s="101">
        <v>49.927</v>
      </c>
      <c r="I109" s="101">
        <v>50.11</v>
      </c>
      <c r="J109" s="101">
        <v>50.027999999999999</v>
      </c>
      <c r="K109" s="101">
        <v>50.006999999999998</v>
      </c>
      <c r="L109" s="101">
        <v>50.026000000000003</v>
      </c>
      <c r="M109" s="101">
        <v>50.05</v>
      </c>
      <c r="N109" s="101">
        <v>50.030999999999999</v>
      </c>
      <c r="O109" s="101">
        <v>49.942999999999998</v>
      </c>
      <c r="P109" s="101">
        <v>49.987000000000002</v>
      </c>
      <c r="Q109" s="101">
        <v>50.045999999999999</v>
      </c>
      <c r="R109" s="101">
        <v>49.875999999999998</v>
      </c>
      <c r="S109" s="101">
        <v>49.991</v>
      </c>
      <c r="T109" s="101">
        <v>50.033999999999999</v>
      </c>
      <c r="U109" s="101">
        <v>50.048000000000002</v>
      </c>
      <c r="V109" s="101">
        <v>49.957000000000001</v>
      </c>
      <c r="W109" s="101">
        <v>49.92</v>
      </c>
      <c r="X109" s="101">
        <v>50.006</v>
      </c>
      <c r="Y109" s="101">
        <v>50</v>
      </c>
      <c r="Z109" s="101">
        <v>49.978000000000002</v>
      </c>
      <c r="AA109" s="101">
        <v>49.938000000000002</v>
      </c>
      <c r="AB109" s="101">
        <v>49.95</v>
      </c>
      <c r="AC109" s="101">
        <v>49.95</v>
      </c>
      <c r="AD109" s="101">
        <v>49.95</v>
      </c>
      <c r="AE109" s="101">
        <v>49.98</v>
      </c>
      <c r="AF109" s="101">
        <v>50.045999999999999</v>
      </c>
      <c r="AG109" s="102"/>
      <c r="AH109" s="47">
        <f t="shared" si="28"/>
        <v>50.11</v>
      </c>
      <c r="AI109" s="48">
        <f t="shared" si="29"/>
        <v>49.875999999999998</v>
      </c>
    </row>
    <row r="110" spans="1:37" x14ac:dyDescent="0.25">
      <c r="A110" s="103" t="s">
        <v>110</v>
      </c>
      <c r="B110" s="65">
        <v>132.30000000000001</v>
      </c>
      <c r="C110" s="65">
        <v>132.30000000000001</v>
      </c>
      <c r="D110" s="65">
        <v>132.4</v>
      </c>
      <c r="E110" s="65">
        <v>132.80000000000001</v>
      </c>
      <c r="F110" s="65">
        <v>132.9</v>
      </c>
      <c r="G110" s="65">
        <v>131.9</v>
      </c>
      <c r="H110" s="65">
        <v>130.5</v>
      </c>
      <c r="I110" s="65">
        <v>128.9</v>
      </c>
      <c r="J110" s="65">
        <v>127.9</v>
      </c>
      <c r="K110" s="65">
        <v>124.7</v>
      </c>
      <c r="L110" s="65">
        <v>122.8</v>
      </c>
      <c r="M110" s="65">
        <v>123.2</v>
      </c>
      <c r="N110" s="65">
        <v>125.6</v>
      </c>
      <c r="O110" s="65">
        <v>125.8</v>
      </c>
      <c r="P110" s="65">
        <v>126.3</v>
      </c>
      <c r="Q110" s="65">
        <v>126.7</v>
      </c>
      <c r="R110" s="65">
        <v>126.1</v>
      </c>
      <c r="S110" s="65">
        <v>124.9</v>
      </c>
      <c r="T110" s="65">
        <v>124.9</v>
      </c>
      <c r="U110" s="65">
        <v>125.9</v>
      </c>
      <c r="V110" s="65">
        <v>130.30000000000001</v>
      </c>
      <c r="W110" s="65">
        <v>130.30000000000001</v>
      </c>
      <c r="X110" s="65">
        <v>127.2</v>
      </c>
      <c r="Y110" s="65">
        <v>128</v>
      </c>
      <c r="Z110" s="65">
        <v>129</v>
      </c>
      <c r="AA110" s="65">
        <v>129.4</v>
      </c>
      <c r="AB110" s="65">
        <v>129.4</v>
      </c>
      <c r="AC110" s="65">
        <v>129.4</v>
      </c>
      <c r="AD110" s="65">
        <v>128</v>
      </c>
      <c r="AE110" s="65">
        <v>130</v>
      </c>
      <c r="AF110" s="65">
        <v>130</v>
      </c>
      <c r="AG110" s="104"/>
      <c r="AH110" s="47">
        <f t="shared" si="28"/>
        <v>132.9</v>
      </c>
      <c r="AI110" s="48">
        <f t="shared" si="29"/>
        <v>122.8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28"/>
        <v>0</v>
      </c>
      <c r="AI111" s="48">
        <f t="shared" si="29"/>
        <v>0</v>
      </c>
    </row>
    <row r="112" spans="1:37" x14ac:dyDescent="0.25">
      <c r="A112" s="103" t="s">
        <v>112</v>
      </c>
      <c r="B112" s="65">
        <v>130.19999999999999</v>
      </c>
      <c r="C112" s="65">
        <v>131.80000000000001</v>
      </c>
      <c r="D112" s="65">
        <v>132.1</v>
      </c>
      <c r="E112" s="65">
        <v>130.80000000000001</v>
      </c>
      <c r="F112" s="65">
        <v>130.80000000000001</v>
      </c>
      <c r="G112" s="65">
        <v>128.69999999999999</v>
      </c>
      <c r="H112" s="65">
        <v>126.8</v>
      </c>
      <c r="I112" s="65">
        <v>130.19999999999999</v>
      </c>
      <c r="J112" s="65">
        <v>125.3</v>
      </c>
      <c r="K112" s="65">
        <v>125.3</v>
      </c>
      <c r="L112" s="65">
        <v>126.6</v>
      </c>
      <c r="M112" s="65">
        <v>125.4</v>
      </c>
      <c r="N112" s="65">
        <v>128.69999999999999</v>
      </c>
      <c r="O112" s="65">
        <v>130</v>
      </c>
      <c r="P112" s="65">
        <v>129.69999999999999</v>
      </c>
      <c r="Q112" s="65"/>
      <c r="R112" s="65">
        <v>130</v>
      </c>
      <c r="S112" s="65">
        <v>129</v>
      </c>
      <c r="T112" s="65"/>
      <c r="U112" s="65">
        <v>130.19999999999999</v>
      </c>
      <c r="V112" s="65">
        <v>129</v>
      </c>
      <c r="W112" s="65">
        <v>126.3</v>
      </c>
      <c r="X112" s="65">
        <v>126.6</v>
      </c>
      <c r="Y112" s="65">
        <v>132.5</v>
      </c>
      <c r="Z112" s="65">
        <v>132.1</v>
      </c>
      <c r="AA112" s="65">
        <v>131.9</v>
      </c>
      <c r="AB112" s="65">
        <v>131.9</v>
      </c>
      <c r="AC112" s="65">
        <v>131.9</v>
      </c>
      <c r="AD112" s="65">
        <v>129</v>
      </c>
      <c r="AE112" s="65">
        <v>131</v>
      </c>
      <c r="AF112" s="65">
        <v>131</v>
      </c>
      <c r="AG112" s="104"/>
      <c r="AH112" s="47">
        <f t="shared" si="28"/>
        <v>132.5</v>
      </c>
      <c r="AI112" s="48">
        <f t="shared" si="29"/>
        <v>125.3</v>
      </c>
    </row>
    <row r="113" spans="1:35" x14ac:dyDescent="0.25">
      <c r="A113" s="105" t="s">
        <v>113</v>
      </c>
      <c r="B113" s="65">
        <v>132.5</v>
      </c>
      <c r="C113" s="65">
        <v>133.9</v>
      </c>
      <c r="D113" s="65">
        <v>132.5</v>
      </c>
      <c r="E113" s="65">
        <v>133.6</v>
      </c>
      <c r="F113" s="65">
        <v>132.80000000000001</v>
      </c>
      <c r="G113" s="65">
        <v>131.69999999999999</v>
      </c>
      <c r="H113" s="65">
        <v>129.1</v>
      </c>
      <c r="I113" s="65">
        <v>132.69999999999999</v>
      </c>
      <c r="J113" s="65">
        <v>128</v>
      </c>
      <c r="K113" s="65">
        <v>127.1</v>
      </c>
      <c r="L113" s="65">
        <v>126.8</v>
      </c>
      <c r="M113" s="65">
        <v>126.2</v>
      </c>
      <c r="N113" s="65">
        <v>130.1</v>
      </c>
      <c r="O113" s="65">
        <v>131.4</v>
      </c>
      <c r="P113" s="65">
        <v>131.1</v>
      </c>
      <c r="Q113" s="65">
        <v>133.80000000000001</v>
      </c>
      <c r="R113" s="65">
        <v>132.80000000000001</v>
      </c>
      <c r="S113" s="65">
        <v>131.30000000000001</v>
      </c>
      <c r="T113" s="65">
        <v>130.6</v>
      </c>
      <c r="U113" s="65">
        <v>132.30000000000001</v>
      </c>
      <c r="V113" s="65">
        <v>130</v>
      </c>
      <c r="W113" s="65">
        <v>127.3</v>
      </c>
      <c r="X113" s="65">
        <v>126.8</v>
      </c>
      <c r="Y113" s="65">
        <v>132.9</v>
      </c>
      <c r="Z113" s="65">
        <v>131.6</v>
      </c>
      <c r="AA113" s="65">
        <v>131.9</v>
      </c>
      <c r="AB113" s="65">
        <v>131.9</v>
      </c>
      <c r="AC113" s="65">
        <v>131.9</v>
      </c>
      <c r="AD113" s="65">
        <v>130</v>
      </c>
      <c r="AE113" s="65">
        <v>131.9</v>
      </c>
      <c r="AF113" s="65">
        <v>131.9</v>
      </c>
      <c r="AG113" s="104"/>
      <c r="AH113" s="47">
        <f t="shared" si="28"/>
        <v>133.9</v>
      </c>
      <c r="AI113" s="48">
        <f t="shared" si="29"/>
        <v>126.2</v>
      </c>
    </row>
    <row r="114" spans="1:35" x14ac:dyDescent="0.25">
      <c r="A114" s="105" t="s">
        <v>114</v>
      </c>
      <c r="B114" s="106">
        <v>137</v>
      </c>
      <c r="C114" s="106">
        <v>136.5</v>
      </c>
      <c r="D114" s="106">
        <v>136.80000000000001</v>
      </c>
      <c r="E114" s="106">
        <v>135.69999999999999</v>
      </c>
      <c r="F114" s="106">
        <v>136.5</v>
      </c>
      <c r="G114" s="106">
        <v>135.30000000000001</v>
      </c>
      <c r="H114" s="106">
        <v>135.80000000000001</v>
      </c>
      <c r="I114" s="106">
        <v>135</v>
      </c>
      <c r="J114" s="106">
        <v>134.69999999999999</v>
      </c>
      <c r="K114" s="106">
        <v>132.1</v>
      </c>
      <c r="L114" s="106">
        <v>131.6</v>
      </c>
      <c r="M114" s="106">
        <v>132.6</v>
      </c>
      <c r="N114" s="106">
        <v>133.19999999999999</v>
      </c>
      <c r="O114" s="106">
        <v>133.19999999999999</v>
      </c>
      <c r="P114" s="106">
        <v>133.4</v>
      </c>
      <c r="Q114" s="106">
        <v>133.6</v>
      </c>
      <c r="R114" s="106">
        <v>131.80000000000001</v>
      </c>
      <c r="S114" s="106">
        <v>129.80000000000001</v>
      </c>
      <c r="T114" s="106">
        <v>132.6</v>
      </c>
      <c r="U114" s="106">
        <v>133.5</v>
      </c>
      <c r="V114" s="106">
        <v>136.6</v>
      </c>
      <c r="W114" s="106">
        <v>136.1</v>
      </c>
      <c r="X114" s="106">
        <v>132.80000000000001</v>
      </c>
      <c r="Y114" s="106">
        <v>134</v>
      </c>
      <c r="Z114" s="106">
        <v>136.1</v>
      </c>
      <c r="AA114" s="106">
        <v>136.4</v>
      </c>
      <c r="AB114" s="106">
        <v>136.4</v>
      </c>
      <c r="AC114" s="106">
        <v>136.4</v>
      </c>
      <c r="AD114" s="106">
        <v>136.69999999999999</v>
      </c>
      <c r="AE114" s="106">
        <v>136.19999999999999</v>
      </c>
      <c r="AF114" s="106">
        <v>136.19999999999999</v>
      </c>
      <c r="AG114" s="107"/>
      <c r="AH114" s="47">
        <f t="shared" si="28"/>
        <v>137</v>
      </c>
      <c r="AI114" s="48">
        <f t="shared" si="29"/>
        <v>129.80000000000001</v>
      </c>
    </row>
    <row r="115" spans="1:35" x14ac:dyDescent="0.25">
      <c r="A115" s="103" t="s">
        <v>115</v>
      </c>
      <c r="B115" s="65">
        <v>132.30000000000001</v>
      </c>
      <c r="C115" s="65">
        <v>131.80000000000001</v>
      </c>
      <c r="D115" s="65">
        <v>132.9</v>
      </c>
      <c r="E115" s="65">
        <v>132.1</v>
      </c>
      <c r="F115" s="65">
        <v>128.19999999999999</v>
      </c>
      <c r="G115" s="65">
        <v>131.30000000000001</v>
      </c>
      <c r="H115" s="65">
        <v>127.2</v>
      </c>
      <c r="I115" s="65">
        <v>127.3</v>
      </c>
      <c r="J115" s="65">
        <v>131</v>
      </c>
      <c r="K115" s="65">
        <v>133.9</v>
      </c>
      <c r="L115" s="65">
        <v>132.6</v>
      </c>
      <c r="M115" s="65">
        <v>133.5</v>
      </c>
      <c r="N115" s="65">
        <v>128.6</v>
      </c>
      <c r="O115" s="65">
        <v>125</v>
      </c>
      <c r="P115" s="65">
        <v>131.80000000000001</v>
      </c>
      <c r="Q115" s="65">
        <v>131.80000000000001</v>
      </c>
      <c r="R115" s="65">
        <v>129.80000000000001</v>
      </c>
      <c r="S115" s="65">
        <v>132.69999999999999</v>
      </c>
      <c r="T115" s="65">
        <v>130.1</v>
      </c>
      <c r="U115" s="65">
        <v>133.6</v>
      </c>
      <c r="V115" s="65">
        <v>137.30000000000001</v>
      </c>
      <c r="W115" s="65">
        <v>131.30000000000001</v>
      </c>
      <c r="X115" s="65">
        <v>132.69999999999999</v>
      </c>
      <c r="Y115" s="65">
        <v>131.5</v>
      </c>
      <c r="Z115" s="65">
        <v>127.7</v>
      </c>
      <c r="AA115" s="65">
        <v>128.1</v>
      </c>
      <c r="AB115" s="65">
        <v>128.1</v>
      </c>
      <c r="AC115" s="65">
        <v>128.1</v>
      </c>
      <c r="AD115" s="65">
        <v>128.1</v>
      </c>
      <c r="AE115" s="65">
        <v>132</v>
      </c>
      <c r="AF115" s="65">
        <v>132</v>
      </c>
      <c r="AG115" s="104"/>
      <c r="AH115" s="47">
        <f t="shared" si="28"/>
        <v>137.30000000000001</v>
      </c>
      <c r="AI115" s="48">
        <f t="shared" si="29"/>
        <v>125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28"/>
        <v>0</v>
      </c>
      <c r="AI116" s="48">
        <f t="shared" si="29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8"/>
        <v>0</v>
      </c>
      <c r="AI117" s="48">
        <f t="shared" si="29"/>
        <v>0</v>
      </c>
    </row>
    <row r="118" spans="1:35" ht="15.75" thickBot="1" x14ac:dyDescent="0.3">
      <c r="A118" s="110" t="s">
        <v>118</v>
      </c>
      <c r="B118" s="111">
        <f t="shared" ref="B118:O118" si="86">SUM(B22,B28,B31:B32,B66,B68:B69,B71,B73,B119:B123,B153,B159,B165,B174,B176,B188,B195,B198:B199,B206,B208,B210,B214:B216,B218:B220,B225,B231:B232,B234:B236,B244,B249)</f>
        <v>66.540000000000006</v>
      </c>
      <c r="C118" s="111">
        <f t="shared" si="86"/>
        <v>68.240000000000009</v>
      </c>
      <c r="D118" s="111">
        <f t="shared" si="86"/>
        <v>66.44</v>
      </c>
      <c r="E118" s="111">
        <f t="shared" si="86"/>
        <v>84.74</v>
      </c>
      <c r="F118" s="111">
        <f t="shared" si="86"/>
        <v>89.44</v>
      </c>
      <c r="G118" s="111">
        <f t="shared" si="86"/>
        <v>109.54000000000002</v>
      </c>
      <c r="H118" s="111">
        <f t="shared" si="86"/>
        <v>133.14000000000001</v>
      </c>
      <c r="I118" s="111">
        <f t="shared" si="86"/>
        <v>207.84000000000003</v>
      </c>
      <c r="J118" s="111">
        <f t="shared" si="86"/>
        <v>224.83199999999999</v>
      </c>
      <c r="K118" s="111">
        <f t="shared" si="86"/>
        <v>310.44</v>
      </c>
      <c r="L118" s="111">
        <f t="shared" si="86"/>
        <v>403.94</v>
      </c>
      <c r="M118" s="111">
        <f t="shared" ref="M118" si="87">SUM(M22,M28,M31:M32,M66,M68:M69,M71,M73,M119:M123,M153,M159,M165,M174,M176,M188,M195,M198:M199,M206,M208,M210,M214:M216,M218:M220,M225,M231:M232,M234:M236,M244,M249)</f>
        <v>341.84000000000003</v>
      </c>
      <c r="N118" s="111">
        <f t="shared" si="86"/>
        <v>235.24</v>
      </c>
      <c r="O118" s="111">
        <f t="shared" si="86"/>
        <v>245.74</v>
      </c>
      <c r="P118" s="111">
        <v>42</v>
      </c>
      <c r="Q118" s="111">
        <f t="shared" ref="Q118:AA118" si="88">SUM(Q22,Q28,Q31:Q32,Q66,Q68:Q69,Q71,Q73,Q119:Q123,Q153,Q159,Q165,Q174,Q176,Q188,Q195,Q198:Q199,Q206,Q208,Q210,Q214:Q216,Q218:Q220,Q225,Q231:Q232,Q234:Q236,Q244,Q249)</f>
        <v>212.44</v>
      </c>
      <c r="R118" s="111">
        <f t="shared" si="88"/>
        <v>173.14</v>
      </c>
      <c r="S118" s="111">
        <f t="shared" si="88"/>
        <v>249.32000000000002</v>
      </c>
      <c r="T118" s="111">
        <f t="shared" si="88"/>
        <v>253.34000000000003</v>
      </c>
      <c r="U118" s="111">
        <f t="shared" si="88"/>
        <v>256.04000000000002</v>
      </c>
      <c r="V118" s="111">
        <f t="shared" si="88"/>
        <v>263.685</v>
      </c>
      <c r="W118" s="111">
        <f t="shared" si="88"/>
        <v>282.95499999999998</v>
      </c>
      <c r="X118" s="111">
        <f t="shared" si="88"/>
        <v>339.34</v>
      </c>
      <c r="Y118" s="111">
        <f t="shared" si="88"/>
        <v>339.44</v>
      </c>
      <c r="Z118" s="111">
        <f t="shared" si="88"/>
        <v>327.33999999999997</v>
      </c>
      <c r="AA118" s="111">
        <f t="shared" si="88"/>
        <v>317.98</v>
      </c>
      <c r="AB118" s="111">
        <f t="shared" ref="AB118:AC118" si="89">SUM(AB22,AB28,AB31:AB32,AB66,AB68:AB69,AB71,AB73,AB119:AB123,AB153,AB159,AB165,AB174,AB176,AB188,AB195,AB198:AB199,AB206,AB208,AB210,AB214:AB216,AB218:AB220,AB225,AB231:AB232,AB234:AB236,AB244,AB249)</f>
        <v>238.04000000000002</v>
      </c>
      <c r="AC118" s="111">
        <f t="shared" si="89"/>
        <v>238.04000000000002</v>
      </c>
      <c r="AD118" s="111">
        <f t="shared" ref="AD118:AE118" si="90">SUM(AD22,AD28,AD31:AD32,AD66,AD68:AD69,AD71,AD73,AD119:AD123,AD153,AD159,AD165,AD174,AD176,AD188,AD195,AD198:AD199,AD206,AD208,AD210,AD214:AD216,AD218:AD220,AD225,AD231:AD232,AD234:AD236,AD244,AD249)</f>
        <v>233.04000000000002</v>
      </c>
      <c r="AE118" s="111">
        <f t="shared" si="90"/>
        <v>178.04000000000002</v>
      </c>
      <c r="AF118" s="111">
        <f t="shared" ref="AF118" si="91">SUM(AF22,AF28,AF31:AF32,AF66,AF68:AF69,AF71,AF73,AF119:AF123,AF153,AF159,AF165,AF174,AF176,AF188,AF195,AF198:AF199,AF206,AF208,AF210,AF214:AF216,AF218:AF220,AF225,AF231:AF232,AF234:AF236,AF244,AF249)</f>
        <v>127.04000000000002</v>
      </c>
      <c r="AG118" s="112"/>
      <c r="AH118" s="47">
        <f t="shared" si="28"/>
        <v>403.94</v>
      </c>
      <c r="AI118" s="48">
        <f t="shared" si="29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>
        <f>128/5</f>
        <v>25.6</v>
      </c>
      <c r="L119" s="113">
        <f>166/5</f>
        <v>33.200000000000003</v>
      </c>
      <c r="M119" s="113">
        <v>35.299999999999997</v>
      </c>
      <c r="N119" s="113">
        <v>-52.4</v>
      </c>
      <c r="O119" s="113">
        <v>-23.2</v>
      </c>
      <c r="P119" s="113">
        <v>-29.9</v>
      </c>
      <c r="Q119" s="113">
        <v>-33.799999999999997</v>
      </c>
      <c r="R119" s="113">
        <v>-60.6</v>
      </c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28"/>
        <v>35.299999999999997</v>
      </c>
      <c r="AI119" s="48">
        <f t="shared" si="29"/>
        <v>-60.6</v>
      </c>
    </row>
    <row r="120" spans="1:35" x14ac:dyDescent="0.25">
      <c r="A120" s="182" t="s">
        <v>120</v>
      </c>
      <c r="B120" s="115">
        <v>-5.2</v>
      </c>
      <c r="C120" s="115">
        <v>-5.3</v>
      </c>
      <c r="D120" s="115">
        <v>-6.2</v>
      </c>
      <c r="E120" s="115">
        <v>-7.4</v>
      </c>
      <c r="F120" s="115">
        <v>-5.5</v>
      </c>
      <c r="G120" s="115">
        <v>-3.6</v>
      </c>
      <c r="H120" s="115">
        <v>2.8</v>
      </c>
      <c r="I120" s="115">
        <v>-1.3</v>
      </c>
      <c r="J120" s="115">
        <v>12.6</v>
      </c>
      <c r="K120" s="115">
        <v>23</v>
      </c>
      <c r="L120" s="115">
        <v>35</v>
      </c>
      <c r="M120" s="115">
        <v>35</v>
      </c>
      <c r="N120" s="115">
        <v>39.5</v>
      </c>
      <c r="O120" s="115">
        <v>50.8</v>
      </c>
      <c r="P120" s="115">
        <v>52.7</v>
      </c>
      <c r="Q120" s="115">
        <v>43</v>
      </c>
      <c r="R120" s="115">
        <v>28.3</v>
      </c>
      <c r="S120" s="115">
        <v>21</v>
      </c>
      <c r="T120" s="115">
        <v>27.6</v>
      </c>
      <c r="U120" s="115">
        <v>37.200000000000003</v>
      </c>
      <c r="V120" s="115">
        <v>39.9</v>
      </c>
      <c r="W120" s="115">
        <v>41.3</v>
      </c>
      <c r="X120" s="115">
        <v>34.5</v>
      </c>
      <c r="Y120" s="115">
        <v>40.200000000000003</v>
      </c>
      <c r="Z120" s="115">
        <v>41.5</v>
      </c>
      <c r="AA120" s="115">
        <v>35.6</v>
      </c>
      <c r="AB120" s="115">
        <v>29</v>
      </c>
      <c r="AC120" s="115">
        <v>29</v>
      </c>
      <c r="AD120" s="115">
        <v>36</v>
      </c>
      <c r="AE120" s="115">
        <v>17</v>
      </c>
      <c r="AF120" s="115">
        <v>9</v>
      </c>
      <c r="AG120" s="114">
        <v>240</v>
      </c>
      <c r="AH120" s="47">
        <f t="shared" si="28"/>
        <v>52.7</v>
      </c>
      <c r="AI120" s="48">
        <f t="shared" si="29"/>
        <v>-7.4</v>
      </c>
    </row>
    <row r="121" spans="1:35" x14ac:dyDescent="0.25">
      <c r="A121" s="182" t="s">
        <v>121</v>
      </c>
      <c r="B121" s="115">
        <v>-48</v>
      </c>
      <c r="C121" s="115">
        <v>-46.2</v>
      </c>
      <c r="D121" s="115">
        <v>-47.1</v>
      </c>
      <c r="E121" s="115">
        <v>-44.9</v>
      </c>
      <c r="F121" s="115">
        <v>-43.7</v>
      </c>
      <c r="G121" s="115">
        <v>-36.5</v>
      </c>
      <c r="H121" s="115">
        <v>-27.4</v>
      </c>
      <c r="I121" s="115">
        <v>-12.6</v>
      </c>
      <c r="J121" s="115">
        <v>-9.6</v>
      </c>
      <c r="K121" s="115">
        <v>11.8</v>
      </c>
      <c r="L121" s="115">
        <v>15.4</v>
      </c>
      <c r="M121" s="115">
        <f>4.3+5.2</f>
        <v>9.5</v>
      </c>
      <c r="N121" s="115">
        <f>2.1+2.5</f>
        <v>4.5999999999999996</v>
      </c>
      <c r="O121" s="115"/>
      <c r="P121" s="115">
        <f>-5.5-6.6</f>
        <v>-12.1</v>
      </c>
      <c r="Q121" s="115">
        <f>-3.8-4.5</f>
        <v>-8.3000000000000007</v>
      </c>
      <c r="R121" s="115">
        <f>-5-6</f>
        <v>-11</v>
      </c>
      <c r="S121" s="115">
        <v>-4.5</v>
      </c>
      <c r="T121" s="115">
        <v>-1.5</v>
      </c>
      <c r="U121" s="115">
        <v>-4</v>
      </c>
      <c r="V121" s="115">
        <f>14.3+7.3</f>
        <v>21.6</v>
      </c>
      <c r="W121" s="115">
        <v>25</v>
      </c>
      <c r="X121" s="115">
        <v>45</v>
      </c>
      <c r="Y121" s="115">
        <v>49</v>
      </c>
      <c r="Z121" s="115">
        <v>50</v>
      </c>
      <c r="AA121" s="115">
        <v>52</v>
      </c>
      <c r="AB121" s="115">
        <v>15</v>
      </c>
      <c r="AC121" s="115">
        <v>15</v>
      </c>
      <c r="AD121" s="115">
        <v>8</v>
      </c>
      <c r="AE121" s="115">
        <v>-16</v>
      </c>
      <c r="AF121" s="115">
        <v>-40</v>
      </c>
      <c r="AG121" s="114">
        <v>240</v>
      </c>
      <c r="AH121" s="47">
        <f t="shared" si="28"/>
        <v>52</v>
      </c>
      <c r="AI121" s="48">
        <f t="shared" si="29"/>
        <v>-48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>
        <f>220/5</f>
        <v>44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28"/>
        <v>44</v>
      </c>
      <c r="AI122" s="48">
        <f t="shared" si="29"/>
        <v>44</v>
      </c>
    </row>
    <row r="123" spans="1:35" x14ac:dyDescent="0.25">
      <c r="A123" s="181" t="s">
        <v>267</v>
      </c>
      <c r="B123" s="117"/>
      <c r="C123" s="117"/>
      <c r="D123" s="117"/>
      <c r="E123" s="117">
        <v>17.3</v>
      </c>
      <c r="F123" s="117">
        <v>19.600000000000001</v>
      </c>
      <c r="G123" s="117">
        <v>30.9</v>
      </c>
      <c r="H123" s="117">
        <v>39</v>
      </c>
      <c r="I123" s="117">
        <f>103/62.7*62.7</f>
        <v>103</v>
      </c>
      <c r="J123" s="117">
        <f>1.64*62.8</f>
        <v>102.99199999999999</v>
      </c>
      <c r="K123" s="117">
        <f>1.64*80</f>
        <v>131.19999999999999</v>
      </c>
      <c r="L123" s="117">
        <f>1.64*97.5</f>
        <v>159.89999999999998</v>
      </c>
      <c r="M123" s="117">
        <f>95.4*1.5</f>
        <v>143.10000000000002</v>
      </c>
      <c r="N123" s="117">
        <f>82*1.5</f>
        <v>123</v>
      </c>
      <c r="O123" s="117">
        <f>64*1.5</f>
        <v>96</v>
      </c>
      <c r="P123" s="117">
        <f>50*1.5</f>
        <v>75</v>
      </c>
      <c r="Q123" s="117">
        <f>51.2*1.5</f>
        <v>76.800000000000011</v>
      </c>
      <c r="R123" s="117">
        <f>55*1.5</f>
        <v>82.5</v>
      </c>
      <c r="S123" s="117">
        <f>67.3*1.6</f>
        <v>107.68</v>
      </c>
      <c r="T123" s="117">
        <f>66*1.6</f>
        <v>105.60000000000001</v>
      </c>
      <c r="U123" s="117">
        <f>65*1.6</f>
        <v>104</v>
      </c>
      <c r="V123" s="117">
        <f>53.9*1.55</f>
        <v>83.545000000000002</v>
      </c>
      <c r="W123" s="117">
        <f>61.1*1.65</f>
        <v>100.815</v>
      </c>
      <c r="X123" s="117">
        <f>90*1.6</f>
        <v>144</v>
      </c>
      <c r="Y123" s="117">
        <f>84*1.6</f>
        <v>134.4</v>
      </c>
      <c r="Z123" s="117">
        <f>75*1.6</f>
        <v>120</v>
      </c>
      <c r="AA123" s="117">
        <f>71.4*1.6</f>
        <v>114.24000000000001</v>
      </c>
      <c r="AB123" s="117">
        <v>75</v>
      </c>
      <c r="AC123" s="117">
        <v>75</v>
      </c>
      <c r="AD123" s="117">
        <v>70</v>
      </c>
      <c r="AE123" s="117">
        <v>54</v>
      </c>
      <c r="AF123" s="117">
        <v>35</v>
      </c>
      <c r="AG123" s="118">
        <v>120</v>
      </c>
      <c r="AH123" s="47">
        <f t="shared" si="28"/>
        <v>159.89999999999998</v>
      </c>
      <c r="AI123" s="48">
        <f t="shared" si="29"/>
        <v>17.3</v>
      </c>
    </row>
    <row r="124" spans="1:35" x14ac:dyDescent="0.25">
      <c r="A124" s="182" t="s">
        <v>266</v>
      </c>
      <c r="B124" s="117">
        <v>52</v>
      </c>
      <c r="C124" s="117">
        <v>49</v>
      </c>
      <c r="D124" s="117">
        <v>47.36</v>
      </c>
      <c r="E124" s="117">
        <v>46.3</v>
      </c>
      <c r="F124" s="117">
        <v>46.6</v>
      </c>
      <c r="G124" s="117">
        <v>55.3</v>
      </c>
      <c r="H124" s="117">
        <v>62.2</v>
      </c>
      <c r="I124" s="117">
        <v>81.2</v>
      </c>
      <c r="J124" s="117">
        <v>81.599999999999994</v>
      </c>
      <c r="K124" s="117">
        <v>96</v>
      </c>
      <c r="L124" s="117">
        <v>108</v>
      </c>
      <c r="M124" s="117">
        <v>107.9</v>
      </c>
      <c r="N124" s="117">
        <v>96.5</v>
      </c>
      <c r="O124" s="117">
        <v>81.599999999999994</v>
      </c>
      <c r="P124" s="117">
        <v>70.3</v>
      </c>
      <c r="Q124" s="117">
        <v>71.8</v>
      </c>
      <c r="R124" s="117">
        <v>73.099999999999994</v>
      </c>
      <c r="S124" s="117">
        <v>83</v>
      </c>
      <c r="T124" s="117">
        <v>83</v>
      </c>
      <c r="U124" s="117">
        <v>81</v>
      </c>
      <c r="V124" s="117">
        <v>76.099999999999994</v>
      </c>
      <c r="W124" s="117">
        <v>81.2</v>
      </c>
      <c r="X124" s="117">
        <v>104</v>
      </c>
      <c r="Y124" s="117">
        <v>100</v>
      </c>
      <c r="Z124" s="117">
        <v>91.2</v>
      </c>
      <c r="AA124" s="117">
        <v>89</v>
      </c>
      <c r="AB124" s="117">
        <v>83</v>
      </c>
      <c r="AC124" s="117">
        <v>83</v>
      </c>
      <c r="AD124" s="117">
        <v>81</v>
      </c>
      <c r="AE124" s="117">
        <v>71</v>
      </c>
      <c r="AF124" s="117">
        <v>54</v>
      </c>
      <c r="AG124" s="118"/>
      <c r="AH124" s="47">
        <f t="shared" si="28"/>
        <v>108</v>
      </c>
      <c r="AI124" s="48">
        <f t="shared" si="29"/>
        <v>46.3</v>
      </c>
    </row>
    <row r="125" spans="1:35" x14ac:dyDescent="0.25">
      <c r="A125" s="182" t="s">
        <v>263</v>
      </c>
      <c r="B125" s="117">
        <v>27</v>
      </c>
      <c r="C125" s="117">
        <v>28</v>
      </c>
      <c r="D125" s="117">
        <v>29</v>
      </c>
      <c r="E125" s="117">
        <v>31.4</v>
      </c>
      <c r="F125" s="117">
        <v>28.3</v>
      </c>
      <c r="G125" s="117">
        <v>27.5</v>
      </c>
      <c r="H125" s="117">
        <v>17</v>
      </c>
      <c r="I125" s="117">
        <v>22</v>
      </c>
      <c r="J125" s="117">
        <v>-3.7</v>
      </c>
      <c r="K125" s="117">
        <v>-17.3</v>
      </c>
      <c r="L125" s="117">
        <v>-22.3</v>
      </c>
      <c r="M125" s="117">
        <v>-24.7</v>
      </c>
      <c r="N125" s="117">
        <v>-23.2</v>
      </c>
      <c r="O125" s="117">
        <v>-38.6</v>
      </c>
      <c r="P125" s="117">
        <v>-33.9</v>
      </c>
      <c r="Q125" s="117">
        <v>-14.8</v>
      </c>
      <c r="R125" s="117">
        <v>-4.5999999999999996</v>
      </c>
      <c r="S125" s="117">
        <v>8</v>
      </c>
      <c r="T125" s="117">
        <v>-3.5</v>
      </c>
      <c r="U125" s="117">
        <v>-14</v>
      </c>
      <c r="V125" s="117">
        <v>-52.8</v>
      </c>
      <c r="W125" s="117">
        <v>-56</v>
      </c>
      <c r="X125" s="117">
        <v>-35</v>
      </c>
      <c r="Y125" s="117">
        <v>-46</v>
      </c>
      <c r="Z125" s="117">
        <v>-54</v>
      </c>
      <c r="AA125" s="117">
        <v>-51</v>
      </c>
      <c r="AB125" s="117">
        <v>-41</v>
      </c>
      <c r="AC125" s="117">
        <v>-41</v>
      </c>
      <c r="AD125" s="117">
        <v>-28</v>
      </c>
      <c r="AE125" s="117">
        <v>3</v>
      </c>
      <c r="AF125" s="117">
        <v>15</v>
      </c>
      <c r="AG125" s="118"/>
      <c r="AH125" s="47">
        <f t="shared" si="28"/>
        <v>31.4</v>
      </c>
      <c r="AI125" s="48">
        <f t="shared" si="29"/>
        <v>-56</v>
      </c>
    </row>
    <row r="126" spans="1:35" ht="15.75" thickBot="1" x14ac:dyDescent="0.3">
      <c r="A126" s="182" t="s">
        <v>260</v>
      </c>
      <c r="B126" s="117">
        <v>40</v>
      </c>
      <c r="C126" s="117">
        <v>38</v>
      </c>
      <c r="D126" s="117">
        <v>37.799999999999997</v>
      </c>
      <c r="E126" s="117">
        <v>36.6</v>
      </c>
      <c r="F126" s="117">
        <v>36.6</v>
      </c>
      <c r="G126" s="117">
        <v>50.5</v>
      </c>
      <c r="H126" s="117">
        <v>61.5</v>
      </c>
      <c r="I126" s="117">
        <v>80.3</v>
      </c>
      <c r="J126" s="117">
        <v>77.7</v>
      </c>
      <c r="K126" s="117">
        <v>105</v>
      </c>
      <c r="L126" s="117">
        <v>91.8</v>
      </c>
      <c r="M126" s="117">
        <v>89.7</v>
      </c>
      <c r="N126" s="117">
        <v>76.7</v>
      </c>
      <c r="O126" s="117">
        <v>59.8</v>
      </c>
      <c r="P126" s="117">
        <v>60.1</v>
      </c>
      <c r="Q126" s="117">
        <v>72.900000000000006</v>
      </c>
      <c r="R126" s="117">
        <v>71.2</v>
      </c>
      <c r="S126" s="117">
        <v>84</v>
      </c>
      <c r="T126" s="117">
        <v>84</v>
      </c>
      <c r="U126" s="117">
        <v>81</v>
      </c>
      <c r="V126" s="117">
        <v>45.3</v>
      </c>
      <c r="W126" s="117">
        <v>49.3</v>
      </c>
      <c r="X126" s="117">
        <v>81</v>
      </c>
      <c r="Y126" s="117">
        <v>71</v>
      </c>
      <c r="Z126" s="117">
        <v>69</v>
      </c>
      <c r="AA126" s="117">
        <v>71</v>
      </c>
      <c r="AB126" s="117">
        <v>72</v>
      </c>
      <c r="AC126" s="117">
        <v>72</v>
      </c>
      <c r="AD126" s="117">
        <v>70</v>
      </c>
      <c r="AE126" s="117">
        <v>65</v>
      </c>
      <c r="AF126" s="117">
        <v>45</v>
      </c>
      <c r="AG126" s="114"/>
      <c r="AH126" s="47">
        <f t="shared" si="28"/>
        <v>105</v>
      </c>
      <c r="AI126" s="48">
        <f t="shared" si="29"/>
        <v>36.6</v>
      </c>
    </row>
    <row r="127" spans="1:35" x14ac:dyDescent="0.25">
      <c r="A127" s="181" t="s">
        <v>264</v>
      </c>
      <c r="B127" s="117">
        <v>19</v>
      </c>
      <c r="C127" s="117">
        <v>18</v>
      </c>
      <c r="D127" s="117">
        <v>17</v>
      </c>
      <c r="E127" s="117">
        <v>17.3</v>
      </c>
      <c r="F127" s="117">
        <v>15.4</v>
      </c>
      <c r="G127" s="117">
        <v>21.7</v>
      </c>
      <c r="H127" s="117">
        <v>17.3</v>
      </c>
      <c r="I127" s="117">
        <v>22.1</v>
      </c>
      <c r="J127" s="117">
        <v>19.3</v>
      </c>
      <c r="K127" s="117">
        <v>11.7</v>
      </c>
      <c r="L127" s="117">
        <v>4.0999999999999996</v>
      </c>
      <c r="M127" s="117">
        <v>1.5</v>
      </c>
      <c r="N127" s="117">
        <v>1.2</v>
      </c>
      <c r="O127" s="117">
        <v>-3.7</v>
      </c>
      <c r="P127" s="117">
        <v>-7.4</v>
      </c>
      <c r="Q127" s="117">
        <v>2.4</v>
      </c>
      <c r="R127" s="117">
        <v>1.6</v>
      </c>
      <c r="S127" s="117">
        <v>14</v>
      </c>
      <c r="T127" s="117">
        <v>5.2</v>
      </c>
      <c r="U127" s="117">
        <v>5.3</v>
      </c>
      <c r="V127" s="117">
        <v>3.8</v>
      </c>
      <c r="W127" s="117">
        <v>0</v>
      </c>
      <c r="X127" s="117">
        <v>11</v>
      </c>
      <c r="Y127" s="117">
        <v>8</v>
      </c>
      <c r="Z127" s="117">
        <v>1.2</v>
      </c>
      <c r="AA127" s="117">
        <v>12</v>
      </c>
      <c r="AB127" s="117">
        <v>17</v>
      </c>
      <c r="AC127" s="117">
        <v>17</v>
      </c>
      <c r="AD127" s="117">
        <v>11</v>
      </c>
      <c r="AE127" s="117">
        <v>20</v>
      </c>
      <c r="AF127" s="117">
        <v>23</v>
      </c>
      <c r="AG127" s="114"/>
      <c r="AH127" s="47">
        <f t="shared" si="28"/>
        <v>23</v>
      </c>
      <c r="AI127" s="48">
        <f t="shared" si="29"/>
        <v>-7.4</v>
      </c>
    </row>
    <row r="128" spans="1:35" x14ac:dyDescent="0.25">
      <c r="A128" s="182" t="s">
        <v>126</v>
      </c>
      <c r="B128" s="106">
        <v>3.5</v>
      </c>
      <c r="C128" s="106">
        <v>7.4</v>
      </c>
      <c r="D128" s="106">
        <v>6</v>
      </c>
      <c r="E128" s="106">
        <v>3.8</v>
      </c>
      <c r="F128" s="106">
        <v>3.3</v>
      </c>
      <c r="G128" s="106">
        <v>3.4</v>
      </c>
      <c r="H128" s="106">
        <v>-2.6</v>
      </c>
      <c r="I128" s="106">
        <v>-10.6</v>
      </c>
      <c r="J128" s="106">
        <v>-16.600000000000001</v>
      </c>
      <c r="K128" s="106">
        <v>-21.1</v>
      </c>
      <c r="L128" s="106">
        <v>-28.1</v>
      </c>
      <c r="M128" s="106">
        <v>-28.8</v>
      </c>
      <c r="N128" s="106">
        <v>-17.600000000000001</v>
      </c>
      <c r="O128" s="106">
        <v>-11.6</v>
      </c>
      <c r="P128" s="106">
        <v>-11</v>
      </c>
      <c r="Q128" s="106"/>
      <c r="R128" s="106">
        <v>-1.5</v>
      </c>
      <c r="S128" s="106">
        <v>-6.4</v>
      </c>
      <c r="T128" s="106"/>
      <c r="U128" s="106">
        <v>-13.2</v>
      </c>
      <c r="V128" s="106">
        <v>-33.4</v>
      </c>
      <c r="W128" s="106">
        <v>-37</v>
      </c>
      <c r="X128" s="106">
        <v>-45</v>
      </c>
      <c r="Y128" s="106">
        <v>-40</v>
      </c>
      <c r="Z128" s="106">
        <v>-32</v>
      </c>
      <c r="AA128" s="106">
        <v>-27</v>
      </c>
      <c r="AB128" s="106">
        <v>-18</v>
      </c>
      <c r="AC128" s="106">
        <v>-18</v>
      </c>
      <c r="AD128" s="106">
        <v>-11</v>
      </c>
      <c r="AE128" s="106">
        <v>-4</v>
      </c>
      <c r="AF128" s="106">
        <v>1</v>
      </c>
      <c r="AG128" s="114"/>
      <c r="AH128" s="47">
        <f t="shared" si="28"/>
        <v>7.4</v>
      </c>
      <c r="AI128" s="48">
        <f t="shared" si="29"/>
        <v>-45</v>
      </c>
    </row>
    <row r="129" spans="1:37" x14ac:dyDescent="0.25">
      <c r="A129" s="182" t="s">
        <v>268</v>
      </c>
      <c r="B129" s="106">
        <v>32</v>
      </c>
      <c r="C129" s="106">
        <v>29.6</v>
      </c>
      <c r="D129" s="106">
        <v>29</v>
      </c>
      <c r="E129" s="106">
        <v>25.4</v>
      </c>
      <c r="F129" s="106">
        <v>25.5</v>
      </c>
      <c r="G129" s="106">
        <v>19.3</v>
      </c>
      <c r="H129" s="106">
        <v>13.7</v>
      </c>
      <c r="I129" s="106">
        <v>3.2</v>
      </c>
      <c r="J129" s="106">
        <v>2.2000000000000002</v>
      </c>
      <c r="K129" s="106">
        <v>-9.6999999999999993</v>
      </c>
      <c r="L129" s="106">
        <v>-7.6</v>
      </c>
      <c r="M129" s="106">
        <v>-4</v>
      </c>
      <c r="N129" s="106">
        <v>0</v>
      </c>
      <c r="O129" s="106">
        <v>11</v>
      </c>
      <c r="P129" s="106">
        <v>24.8</v>
      </c>
      <c r="Q129" s="106">
        <v>15.8</v>
      </c>
      <c r="R129" s="106">
        <v>13.3</v>
      </c>
      <c r="S129" s="106">
        <v>4.7</v>
      </c>
      <c r="T129" s="106">
        <v>8</v>
      </c>
      <c r="U129" s="106">
        <v>13.2</v>
      </c>
      <c r="V129" s="106">
        <v>24.7</v>
      </c>
      <c r="W129" s="106">
        <v>24.6</v>
      </c>
      <c r="X129" s="106">
        <v>-2</v>
      </c>
      <c r="Y129" s="106">
        <v>2</v>
      </c>
      <c r="Z129" s="106">
        <v>3.2</v>
      </c>
      <c r="AA129" s="106">
        <v>0</v>
      </c>
      <c r="AB129" s="106">
        <v>8</v>
      </c>
      <c r="AC129" s="106">
        <v>8</v>
      </c>
      <c r="AD129" s="106">
        <v>16</v>
      </c>
      <c r="AE129" s="106">
        <v>17</v>
      </c>
      <c r="AF129" s="106">
        <v>28</v>
      </c>
      <c r="AG129" s="114"/>
      <c r="AH129" s="47">
        <f t="shared" si="28"/>
        <v>32</v>
      </c>
      <c r="AI129" s="48">
        <f t="shared" si="29"/>
        <v>-9.6999999999999993</v>
      </c>
    </row>
    <row r="130" spans="1:37" ht="15.75" thickBot="1" x14ac:dyDescent="0.3">
      <c r="A130" s="182" t="s">
        <v>265</v>
      </c>
      <c r="B130" s="106">
        <v>69</v>
      </c>
      <c r="C130" s="106">
        <v>56</v>
      </c>
      <c r="D130" s="106">
        <v>50</v>
      </c>
      <c r="E130" s="106">
        <v>48.3</v>
      </c>
      <c r="F130" s="106">
        <v>52.2</v>
      </c>
      <c r="G130" s="106">
        <v>54</v>
      </c>
      <c r="H130" s="106">
        <v>61.9</v>
      </c>
      <c r="I130" s="106">
        <v>70.400000000000006</v>
      </c>
      <c r="J130" s="106">
        <v>80.900000000000006</v>
      </c>
      <c r="K130" s="106">
        <v>91.5</v>
      </c>
      <c r="L130" s="106">
        <v>89.5</v>
      </c>
      <c r="M130" s="106">
        <v>105.8</v>
      </c>
      <c r="N130" s="106">
        <v>93.7</v>
      </c>
      <c r="O130" s="106">
        <v>92.7</v>
      </c>
      <c r="P130" s="106">
        <v>91.8</v>
      </c>
      <c r="Q130" s="106">
        <v>82.9</v>
      </c>
      <c r="R130" s="106">
        <v>86.2</v>
      </c>
      <c r="S130" s="106">
        <v>89.8</v>
      </c>
      <c r="T130" s="106">
        <v>94.2</v>
      </c>
      <c r="U130" s="106">
        <v>95.6</v>
      </c>
      <c r="V130" s="106">
        <v>106.2</v>
      </c>
      <c r="W130" s="106">
        <v>111</v>
      </c>
      <c r="X130" s="106">
        <v>117</v>
      </c>
      <c r="Y130" s="106">
        <v>108</v>
      </c>
      <c r="Z130" s="106">
        <v>98</v>
      </c>
      <c r="AA130" s="106">
        <v>91</v>
      </c>
      <c r="AB130" s="106">
        <v>69</v>
      </c>
      <c r="AC130" s="106">
        <v>69</v>
      </c>
      <c r="AD130" s="106">
        <v>89</v>
      </c>
      <c r="AE130" s="106">
        <v>78</v>
      </c>
      <c r="AF130" s="106">
        <v>75</v>
      </c>
      <c r="AG130" s="114"/>
      <c r="AH130" s="47">
        <f t="shared" si="28"/>
        <v>117</v>
      </c>
      <c r="AI130" s="48">
        <f t="shared" si="29"/>
        <v>48.3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243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244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245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ht="15.75" thickBot="1" x14ac:dyDescent="0.3">
      <c r="A135" s="199" t="s">
        <v>246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9"/>
      <c r="AG135" s="153"/>
      <c r="AH135" s="47"/>
      <c r="AI135" s="48"/>
    </row>
    <row r="136" spans="1:37" ht="15.75" thickBot="1" x14ac:dyDescent="0.3">
      <c r="A136" s="122" t="s">
        <v>129</v>
      </c>
      <c r="B136" s="123"/>
      <c r="C136" s="123"/>
      <c r="D136" s="123"/>
      <c r="E136" s="123"/>
      <c r="F136" s="176" t="s">
        <v>258</v>
      </c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83"/>
      <c r="AH136" s="47"/>
      <c r="AI136" s="48"/>
      <c r="AK136" s="50"/>
    </row>
    <row r="137" spans="1:37" x14ac:dyDescent="0.25">
      <c r="A137" s="125" t="s">
        <v>130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>
        <v>9.94</v>
      </c>
      <c r="AH137" s="47"/>
      <c r="AI137" s="48"/>
      <c r="AK137" s="50"/>
    </row>
    <row r="138" spans="1:37" x14ac:dyDescent="0.25">
      <c r="A138" s="103" t="s">
        <v>131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132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133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134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135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136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137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138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139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140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141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142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143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144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145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146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1">
        <v>9.9</v>
      </c>
      <c r="AH153" s="47"/>
      <c r="AI153" s="48"/>
      <c r="AK153" s="50"/>
    </row>
    <row r="154" spans="1:37" x14ac:dyDescent="0.25">
      <c r="A154" s="116" t="s">
        <v>147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9.6579999999999995</v>
      </c>
      <c r="AH154" s="47"/>
      <c r="AI154" s="48"/>
      <c r="AK154" s="50"/>
    </row>
    <row r="155" spans="1:37" x14ac:dyDescent="0.25">
      <c r="A155" s="116" t="s">
        <v>148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9.6</v>
      </c>
      <c r="AH155" s="47"/>
      <c r="AI155" s="48"/>
      <c r="AK155" s="50"/>
    </row>
    <row r="156" spans="1:37" x14ac:dyDescent="0.25">
      <c r="A156" s="116" t="s">
        <v>149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9.51</v>
      </c>
      <c r="AH156" s="47"/>
      <c r="AI156" s="48"/>
      <c r="AK156" s="50"/>
    </row>
    <row r="157" spans="1:37" x14ac:dyDescent="0.25">
      <c r="A157" s="116" t="s">
        <v>150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9.4</v>
      </c>
      <c r="AH157" s="47"/>
      <c r="AI157" s="48"/>
      <c r="AK157" s="50"/>
    </row>
    <row r="158" spans="1:37" x14ac:dyDescent="0.25">
      <c r="A158" s="116" t="s">
        <v>151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8.8000000000000007</v>
      </c>
      <c r="AH158" s="47"/>
      <c r="AI158" s="48"/>
      <c r="AK158" s="50"/>
    </row>
    <row r="159" spans="1:37" x14ac:dyDescent="0.25">
      <c r="A159" s="116" t="s">
        <v>152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8.5</v>
      </c>
      <c r="AH159" s="47"/>
      <c r="AI159" s="48"/>
      <c r="AK159" s="50"/>
    </row>
    <row r="160" spans="1:37" x14ac:dyDescent="0.25">
      <c r="A160" s="116" t="s">
        <v>153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8.5</v>
      </c>
      <c r="AH160" s="47"/>
      <c r="AI160" s="48"/>
      <c r="AK160" s="50"/>
    </row>
    <row r="161" spans="1:37" x14ac:dyDescent="0.25">
      <c r="A161" s="116" t="s">
        <v>154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8.4</v>
      </c>
      <c r="AH161" s="47"/>
      <c r="AI161" s="48"/>
      <c r="AK161" s="50"/>
    </row>
    <row r="162" spans="1:37" ht="13.5" customHeight="1" x14ac:dyDescent="0.25">
      <c r="A162" s="116" t="s">
        <v>155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</v>
      </c>
      <c r="AH162" s="47"/>
      <c r="AI162" s="48"/>
      <c r="AK162" s="50"/>
    </row>
    <row r="163" spans="1:37" x14ac:dyDescent="0.25">
      <c r="A163" s="116" t="s">
        <v>156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</v>
      </c>
      <c r="AH163" s="47"/>
      <c r="AI163" s="48"/>
      <c r="AK163" s="50"/>
    </row>
    <row r="164" spans="1:37" x14ac:dyDescent="0.25">
      <c r="A164" s="116" t="s">
        <v>157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158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7.8</v>
      </c>
      <c r="AH165" s="47"/>
      <c r="AI165" s="48"/>
      <c r="AK165" s="50"/>
    </row>
    <row r="166" spans="1:37" x14ac:dyDescent="0.25">
      <c r="A166" s="116" t="s">
        <v>159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7.6</v>
      </c>
      <c r="AH166" s="47"/>
      <c r="AI166" s="48"/>
      <c r="AK166" s="50"/>
    </row>
    <row r="167" spans="1:37" x14ac:dyDescent="0.25">
      <c r="A167" s="116" t="s">
        <v>160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7.5</v>
      </c>
      <c r="AH167" s="47"/>
      <c r="AI167" s="48"/>
      <c r="AK167" s="50"/>
    </row>
    <row r="168" spans="1:37" x14ac:dyDescent="0.25">
      <c r="A168" s="116" t="s">
        <v>161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7.5</v>
      </c>
      <c r="AH168" s="47"/>
      <c r="AI168" s="48"/>
      <c r="AK168" s="50"/>
    </row>
    <row r="169" spans="1:37" x14ac:dyDescent="0.25">
      <c r="A169" s="116" t="s">
        <v>162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</v>
      </c>
      <c r="AH169" s="47"/>
      <c r="AI169" s="48"/>
      <c r="AK169" s="50"/>
    </row>
    <row r="170" spans="1:37" x14ac:dyDescent="0.25">
      <c r="A170" s="116" t="s">
        <v>163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</v>
      </c>
      <c r="AH170" s="47"/>
      <c r="AI170" s="48"/>
      <c r="AK170" s="50"/>
    </row>
    <row r="171" spans="1:37" x14ac:dyDescent="0.25">
      <c r="A171" s="116" t="s">
        <v>164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165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166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6.6</v>
      </c>
      <c r="AH173" s="47"/>
      <c r="AI173" s="48"/>
      <c r="AK173" s="50"/>
    </row>
    <row r="174" spans="1:37" x14ac:dyDescent="0.25">
      <c r="A174" s="116" t="s">
        <v>167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6.6</v>
      </c>
      <c r="AH174" s="47"/>
      <c r="AI174" s="48"/>
      <c r="AK174" s="50"/>
    </row>
    <row r="175" spans="1:37" x14ac:dyDescent="0.25">
      <c r="A175" s="116" t="s">
        <v>168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6.4</v>
      </c>
      <c r="AH175" s="47"/>
      <c r="AI175" s="48"/>
      <c r="AK175" s="50"/>
    </row>
    <row r="176" spans="1:37" x14ac:dyDescent="0.25">
      <c r="A176" s="116" t="s">
        <v>169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</v>
      </c>
      <c r="AH176" s="47"/>
      <c r="AI176" s="48"/>
      <c r="AK176" s="50"/>
    </row>
    <row r="177" spans="1:37" x14ac:dyDescent="0.25">
      <c r="A177" s="116" t="s">
        <v>170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5.0999999999999996</v>
      </c>
      <c r="AH177" s="47"/>
      <c r="AI177" s="48"/>
      <c r="AK177" s="50"/>
    </row>
    <row r="178" spans="1:37" x14ac:dyDescent="0.25">
      <c r="A178" s="116" t="s">
        <v>171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03" t="s">
        <v>172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1">
        <v>5</v>
      </c>
      <c r="AH179" s="47"/>
      <c r="AI179" s="48"/>
      <c r="AK179" s="50"/>
    </row>
    <row r="180" spans="1:37" x14ac:dyDescent="0.25">
      <c r="A180" s="116" t="s">
        <v>173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16" t="s">
        <v>174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5</v>
      </c>
      <c r="AH181" s="47"/>
      <c r="AI181" s="48"/>
      <c r="AK181" s="50"/>
    </row>
    <row r="182" spans="1:37" x14ac:dyDescent="0.25">
      <c r="A182" s="116" t="s">
        <v>175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176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177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178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4.9930000000000003</v>
      </c>
      <c r="AH185" s="47"/>
      <c r="AI185" s="48"/>
      <c r="AK185" s="50"/>
    </row>
    <row r="186" spans="1:37" x14ac:dyDescent="0.25">
      <c r="A186" s="116" t="s">
        <v>179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4.9800000000000004</v>
      </c>
      <c r="AH186" s="47"/>
      <c r="AI186" s="48"/>
      <c r="AK186" s="50"/>
    </row>
    <row r="187" spans="1:37" x14ac:dyDescent="0.25">
      <c r="A187" s="116" t="s">
        <v>180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4.95</v>
      </c>
      <c r="AH187" s="47"/>
      <c r="AI187" s="48"/>
      <c r="AK187" s="50"/>
    </row>
    <row r="188" spans="1:37" x14ac:dyDescent="0.25">
      <c r="A188" s="116" t="s">
        <v>181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4.95</v>
      </c>
      <c r="AH188" s="47"/>
      <c r="AI188" s="48"/>
      <c r="AK188" s="50"/>
    </row>
    <row r="189" spans="1:37" x14ac:dyDescent="0.25">
      <c r="A189" s="116" t="s">
        <v>182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4.8</v>
      </c>
      <c r="AH189" s="47"/>
      <c r="AI189" s="48"/>
      <c r="AK189" s="50"/>
    </row>
    <row r="190" spans="1:37" x14ac:dyDescent="0.25">
      <c r="A190" s="116" t="s">
        <v>183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4.8</v>
      </c>
      <c r="AH190" s="47"/>
      <c r="AI190" s="48"/>
      <c r="AK190" s="50"/>
    </row>
    <row r="191" spans="1:37" x14ac:dyDescent="0.25">
      <c r="A191" s="116" t="s">
        <v>184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185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4.5</v>
      </c>
      <c r="AH192" s="47"/>
      <c r="AI192" s="48"/>
      <c r="AK192" s="50"/>
    </row>
    <row r="193" spans="1:37" x14ac:dyDescent="0.25">
      <c r="A193" s="116" t="s">
        <v>186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4.5</v>
      </c>
      <c r="AH193" s="47"/>
      <c r="AI193" s="48"/>
      <c r="AK193" s="50"/>
    </row>
    <row r="194" spans="1:37" x14ac:dyDescent="0.25">
      <c r="A194" s="116" t="s">
        <v>187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4.4550000000000001</v>
      </c>
      <c r="AH194" s="47"/>
      <c r="AI194" s="48"/>
      <c r="AK194" s="50"/>
    </row>
    <row r="195" spans="1:37" x14ac:dyDescent="0.25">
      <c r="A195" s="116" t="s">
        <v>188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4.41</v>
      </c>
      <c r="AH195" s="47"/>
      <c r="AI195" s="48"/>
      <c r="AK195" s="50"/>
    </row>
    <row r="196" spans="1:37" x14ac:dyDescent="0.25">
      <c r="A196" s="116" t="s">
        <v>189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4.4000000000000004</v>
      </c>
      <c r="AH196" s="47"/>
      <c r="AI196" s="48"/>
      <c r="AK196" s="50"/>
    </row>
    <row r="197" spans="1:37" x14ac:dyDescent="0.25">
      <c r="A197" s="116" t="s">
        <v>190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4.3600000000000003</v>
      </c>
      <c r="AH197" s="47"/>
      <c r="AI197" s="48"/>
      <c r="AK197" s="50"/>
    </row>
    <row r="198" spans="1:37" x14ac:dyDescent="0.25">
      <c r="A198" s="116" t="s">
        <v>191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4.2</v>
      </c>
      <c r="AH198" s="47"/>
      <c r="AI198" s="48"/>
      <c r="AK198" s="50"/>
    </row>
    <row r="199" spans="1:37" x14ac:dyDescent="0.25">
      <c r="A199" s="116" t="s">
        <v>192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193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194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195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196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197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198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199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200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3.75</v>
      </c>
      <c r="AH207" s="47"/>
      <c r="AI207" s="48"/>
      <c r="AK207" s="50"/>
    </row>
    <row r="208" spans="1:37" x14ac:dyDescent="0.25">
      <c r="A208" s="116" t="s">
        <v>201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3.52</v>
      </c>
      <c r="AH208" s="47"/>
      <c r="AI208" s="48"/>
      <c r="AK208" s="50"/>
    </row>
    <row r="209" spans="1:37" x14ac:dyDescent="0.25">
      <c r="A209" s="116" t="s">
        <v>202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3.33</v>
      </c>
      <c r="AH209" s="47"/>
      <c r="AI209" s="48"/>
      <c r="AK209" s="50"/>
    </row>
    <row r="210" spans="1:37" x14ac:dyDescent="0.25">
      <c r="A210" s="116" t="s">
        <v>203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3.2</v>
      </c>
      <c r="AH210" s="47"/>
      <c r="AI210" s="48"/>
      <c r="AK210" s="50"/>
    </row>
    <row r="211" spans="1:37" x14ac:dyDescent="0.25">
      <c r="A211" s="116" t="s">
        <v>204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205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206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207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208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209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210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211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212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2.83</v>
      </c>
      <c r="AH219" s="47"/>
      <c r="AI219" s="48"/>
      <c r="AK219" s="50"/>
    </row>
    <row r="220" spans="1:37" x14ac:dyDescent="0.25">
      <c r="A220" s="116" t="s">
        <v>213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2.5</v>
      </c>
      <c r="AH220" s="47"/>
      <c r="AI220" s="48"/>
      <c r="AK220" s="50"/>
    </row>
    <row r="221" spans="1:37" x14ac:dyDescent="0.25">
      <c r="A221" s="116" t="s">
        <v>214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2.5</v>
      </c>
      <c r="AH221" s="47"/>
      <c r="AI221" s="48"/>
      <c r="AK221" s="50"/>
    </row>
    <row r="222" spans="1:37" x14ac:dyDescent="0.25">
      <c r="A222" s="116" t="s">
        <v>215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2.4</v>
      </c>
      <c r="AH222" s="47"/>
      <c r="AI222" s="48"/>
      <c r="AK222" s="50"/>
    </row>
    <row r="223" spans="1:37" x14ac:dyDescent="0.25">
      <c r="A223" s="116" t="s">
        <v>216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2.4</v>
      </c>
      <c r="AH223" s="47"/>
      <c r="AI223" s="48"/>
      <c r="AK223" s="50"/>
    </row>
    <row r="224" spans="1:37" x14ac:dyDescent="0.25">
      <c r="A224" s="116" t="s">
        <v>217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2.2000000000000002</v>
      </c>
      <c r="AH224" s="47"/>
      <c r="AI224" s="48"/>
      <c r="AK224" s="50"/>
    </row>
    <row r="225" spans="1:37" x14ac:dyDescent="0.25">
      <c r="A225" s="116" t="s">
        <v>218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</v>
      </c>
      <c r="AH225" s="47"/>
      <c r="AI225" s="48"/>
      <c r="AK225" s="50"/>
    </row>
    <row r="226" spans="1:37" x14ac:dyDescent="0.25">
      <c r="A226" s="116" t="s">
        <v>219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</v>
      </c>
      <c r="AH226" s="47"/>
      <c r="AI226" s="48"/>
      <c r="AK226" s="50"/>
    </row>
    <row r="227" spans="1:37" x14ac:dyDescent="0.25">
      <c r="A227" s="116" t="s">
        <v>220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221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1.8</v>
      </c>
      <c r="AH228" s="47"/>
      <c r="AI228" s="48"/>
      <c r="AK228" s="50"/>
    </row>
    <row r="229" spans="1:37" x14ac:dyDescent="0.25">
      <c r="A229" s="116" t="s">
        <v>222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1.8</v>
      </c>
      <c r="AH229" s="47"/>
      <c r="AI229" s="48"/>
      <c r="AK229" s="50"/>
    </row>
    <row r="230" spans="1:37" x14ac:dyDescent="0.25">
      <c r="A230" s="116" t="s">
        <v>223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1.65</v>
      </c>
      <c r="AH230" s="47"/>
      <c r="AI230" s="48"/>
      <c r="AK230" s="50"/>
    </row>
    <row r="231" spans="1:37" x14ac:dyDescent="0.25">
      <c r="A231" s="116" t="s">
        <v>224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1.5</v>
      </c>
      <c r="AH231" s="47"/>
      <c r="AI231" s="48"/>
      <c r="AK231" s="50"/>
    </row>
    <row r="232" spans="1:37" x14ac:dyDescent="0.25">
      <c r="A232" s="116" t="s">
        <v>225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0.998</v>
      </c>
      <c r="AH232" s="47"/>
      <c r="AI232" s="48"/>
      <c r="AK232" s="50"/>
    </row>
    <row r="233" spans="1:37" x14ac:dyDescent="0.25">
      <c r="A233" s="116" t="s">
        <v>226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0.997</v>
      </c>
      <c r="AH233" s="47"/>
      <c r="AI233" s="48"/>
      <c r="AK233" s="50"/>
    </row>
    <row r="234" spans="1:37" x14ac:dyDescent="0.25">
      <c r="A234" s="116" t="s">
        <v>227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0.997</v>
      </c>
      <c r="AH234" s="47"/>
      <c r="AI234" s="48"/>
      <c r="AK234" s="50"/>
    </row>
    <row r="235" spans="1:37" x14ac:dyDescent="0.25">
      <c r="A235" s="116" t="s">
        <v>228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0.996</v>
      </c>
      <c r="AH235" s="47"/>
      <c r="AI235" s="48"/>
      <c r="AK235" s="50"/>
    </row>
    <row r="236" spans="1:37" x14ac:dyDescent="0.25">
      <c r="A236" s="116" t="s">
        <v>229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0.996</v>
      </c>
      <c r="AH236" s="47"/>
      <c r="AI236" s="48"/>
      <c r="AK236" s="50"/>
    </row>
    <row r="237" spans="1:37" x14ac:dyDescent="0.25">
      <c r="A237" s="116" t="s">
        <v>230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231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0.995</v>
      </c>
      <c r="AH238" s="47"/>
      <c r="AI238" s="48"/>
      <c r="AK238" s="50"/>
    </row>
    <row r="239" spans="1:37" x14ac:dyDescent="0.25">
      <c r="A239" s="116" t="s">
        <v>232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0.99299999999999999</v>
      </c>
      <c r="AH239" s="47"/>
      <c r="AI239" s="48"/>
      <c r="AK239" s="50"/>
    </row>
    <row r="240" spans="1:37" x14ac:dyDescent="0.25">
      <c r="A240" s="116" t="s">
        <v>233</v>
      </c>
      <c r="B240" s="129"/>
      <c r="C240" s="127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</v>
      </c>
      <c r="AH240" s="47"/>
      <c r="AI240" s="48"/>
      <c r="AK240" s="50"/>
    </row>
    <row r="241" spans="1:37" ht="15.75" thickBot="1" x14ac:dyDescent="0.3">
      <c r="A241" s="116" t="s">
        <v>234</v>
      </c>
      <c r="B241" s="133"/>
      <c r="C241" s="134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2">
        <v>0.97899999999999998</v>
      </c>
      <c r="AH241" s="47"/>
      <c r="AI241" s="48"/>
      <c r="AK241" s="50"/>
    </row>
    <row r="242" spans="1:37" ht="15.75" thickBot="1" x14ac:dyDescent="0.3">
      <c r="A242" s="135" t="s">
        <v>235</v>
      </c>
      <c r="B242" s="136">
        <f t="shared" ref="B242:AG242" si="92">SUM(B137:B241)</f>
        <v>0</v>
      </c>
      <c r="C242" s="137">
        <f t="shared" si="92"/>
        <v>0</v>
      </c>
      <c r="D242" s="137">
        <f t="shared" si="92"/>
        <v>0</v>
      </c>
      <c r="E242" s="137">
        <f t="shared" si="92"/>
        <v>0</v>
      </c>
      <c r="F242" s="137">
        <f t="shared" si="92"/>
        <v>0</v>
      </c>
      <c r="G242" s="137">
        <f t="shared" si="92"/>
        <v>0</v>
      </c>
      <c r="H242" s="137">
        <f t="shared" si="92"/>
        <v>0</v>
      </c>
      <c r="I242" s="137">
        <f t="shared" si="92"/>
        <v>0</v>
      </c>
      <c r="J242" s="137">
        <f t="shared" si="92"/>
        <v>0</v>
      </c>
      <c r="K242" s="137">
        <f t="shared" si="92"/>
        <v>0</v>
      </c>
      <c r="L242" s="137">
        <f t="shared" si="92"/>
        <v>0</v>
      </c>
      <c r="M242" s="137">
        <f t="shared" si="92"/>
        <v>0</v>
      </c>
      <c r="N242" s="137">
        <f t="shared" si="92"/>
        <v>0</v>
      </c>
      <c r="O242" s="137">
        <f t="shared" si="92"/>
        <v>0</v>
      </c>
      <c r="P242" s="137">
        <f t="shared" si="92"/>
        <v>0</v>
      </c>
      <c r="Q242" s="137">
        <f t="shared" si="92"/>
        <v>0</v>
      </c>
      <c r="R242" s="137">
        <f t="shared" si="92"/>
        <v>0</v>
      </c>
      <c r="S242" s="137">
        <f t="shared" si="92"/>
        <v>0</v>
      </c>
      <c r="T242" s="137">
        <f t="shared" si="92"/>
        <v>0</v>
      </c>
      <c r="U242" s="137">
        <f t="shared" si="92"/>
        <v>0</v>
      </c>
      <c r="V242" s="137">
        <f t="shared" si="92"/>
        <v>0</v>
      </c>
      <c r="W242" s="137">
        <f t="shared" si="92"/>
        <v>0</v>
      </c>
      <c r="X242" s="137">
        <f t="shared" si="92"/>
        <v>0</v>
      </c>
      <c r="Y242" s="137">
        <f t="shared" si="92"/>
        <v>0</v>
      </c>
      <c r="Z242" s="137">
        <f t="shared" si="92"/>
        <v>0</v>
      </c>
      <c r="AA242" s="137">
        <f t="shared" si="92"/>
        <v>0</v>
      </c>
      <c r="AB242" s="137">
        <f t="shared" si="92"/>
        <v>0</v>
      </c>
      <c r="AC242" s="137">
        <f t="shared" si="92"/>
        <v>0</v>
      </c>
      <c r="AD242" s="137">
        <f t="shared" si="92"/>
        <v>0</v>
      </c>
      <c r="AE242" s="137">
        <f t="shared" si="92"/>
        <v>0</v>
      </c>
      <c r="AF242" s="138">
        <f t="shared" si="92"/>
        <v>0</v>
      </c>
      <c r="AG242" s="139">
        <f t="shared" si="92"/>
        <v>412.72299999999984</v>
      </c>
      <c r="AH242" s="47"/>
      <c r="AI242" s="48"/>
      <c r="AK242" s="50"/>
    </row>
    <row r="243" spans="1:37" ht="15.75" thickBot="1" x14ac:dyDescent="0.3">
      <c r="A243" s="26" t="s">
        <v>75</v>
      </c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19"/>
      <c r="AH243" s="47"/>
      <c r="AI243" s="48"/>
      <c r="AK243" s="50"/>
    </row>
    <row r="244" spans="1:37" x14ac:dyDescent="0.25">
      <c r="A244" s="100" t="s">
        <v>236</v>
      </c>
      <c r="B244" s="141">
        <f t="shared" ref="B244:B249" si="93">AF244</f>
        <v>0.3</v>
      </c>
      <c r="C244" s="141">
        <v>0.3</v>
      </c>
      <c r="D244" s="141">
        <f t="shared" ref="D244:S249" si="94">C244</f>
        <v>0.3</v>
      </c>
      <c r="E244" s="141">
        <f t="shared" si="94"/>
        <v>0.3</v>
      </c>
      <c r="F244" s="141">
        <f t="shared" si="94"/>
        <v>0.3</v>
      </c>
      <c r="G244" s="141">
        <f t="shared" si="94"/>
        <v>0.3</v>
      </c>
      <c r="H244" s="141">
        <f t="shared" si="94"/>
        <v>0.3</v>
      </c>
      <c r="I244" s="141">
        <f t="shared" si="94"/>
        <v>0.3</v>
      </c>
      <c r="J244" s="141">
        <f t="shared" si="94"/>
        <v>0.3</v>
      </c>
      <c r="K244" s="141">
        <f t="shared" si="94"/>
        <v>0.3</v>
      </c>
      <c r="L244" s="141">
        <f t="shared" si="94"/>
        <v>0.3</v>
      </c>
      <c r="M244" s="141">
        <f t="shared" si="94"/>
        <v>0.3</v>
      </c>
      <c r="N244" s="141">
        <f t="shared" si="94"/>
        <v>0.3</v>
      </c>
      <c r="O244" s="141">
        <f t="shared" si="94"/>
        <v>0.3</v>
      </c>
      <c r="P244" s="141">
        <f t="shared" si="94"/>
        <v>0.3</v>
      </c>
      <c r="Q244" s="141">
        <f t="shared" si="94"/>
        <v>0.3</v>
      </c>
      <c r="R244" s="141">
        <f t="shared" si="94"/>
        <v>0.3</v>
      </c>
      <c r="S244" s="141">
        <f t="shared" si="94"/>
        <v>0.3</v>
      </c>
      <c r="T244" s="141">
        <f t="shared" ref="T244:AF249" si="95">S244</f>
        <v>0.3</v>
      </c>
      <c r="U244" s="141">
        <f t="shared" si="95"/>
        <v>0.3</v>
      </c>
      <c r="V244" s="141">
        <f t="shared" si="95"/>
        <v>0.3</v>
      </c>
      <c r="W244" s="141">
        <f t="shared" si="95"/>
        <v>0.3</v>
      </c>
      <c r="X244" s="141">
        <f t="shared" si="95"/>
        <v>0.3</v>
      </c>
      <c r="Y244" s="141">
        <f t="shared" si="95"/>
        <v>0.3</v>
      </c>
      <c r="Z244" s="141">
        <f t="shared" si="95"/>
        <v>0.3</v>
      </c>
      <c r="AA244" s="141">
        <f t="shared" si="95"/>
        <v>0.3</v>
      </c>
      <c r="AB244" s="141">
        <f t="shared" si="95"/>
        <v>0.3</v>
      </c>
      <c r="AC244" s="141">
        <f t="shared" si="95"/>
        <v>0.3</v>
      </c>
      <c r="AD244" s="141">
        <f t="shared" si="95"/>
        <v>0.3</v>
      </c>
      <c r="AE244" s="141">
        <f t="shared" si="95"/>
        <v>0.3</v>
      </c>
      <c r="AF244" s="141">
        <f t="shared" si="95"/>
        <v>0.3</v>
      </c>
      <c r="AG244" s="142">
        <v>2.4</v>
      </c>
      <c r="AH244" s="47"/>
      <c r="AI244" s="48"/>
      <c r="AK244" s="50"/>
    </row>
    <row r="245" spans="1:37" x14ac:dyDescent="0.25">
      <c r="A245" s="103" t="s">
        <v>237</v>
      </c>
      <c r="B245" s="129">
        <f t="shared" si="93"/>
        <v>0.4</v>
      </c>
      <c r="C245" s="129">
        <v>0.4</v>
      </c>
      <c r="D245" s="129">
        <f t="shared" si="94"/>
        <v>0.4</v>
      </c>
      <c r="E245" s="129">
        <f t="shared" si="94"/>
        <v>0.4</v>
      </c>
      <c r="F245" s="129">
        <f t="shared" si="94"/>
        <v>0.4</v>
      </c>
      <c r="G245" s="129">
        <f t="shared" si="94"/>
        <v>0.4</v>
      </c>
      <c r="H245" s="129">
        <f t="shared" si="94"/>
        <v>0.4</v>
      </c>
      <c r="I245" s="129">
        <f t="shared" si="94"/>
        <v>0.4</v>
      </c>
      <c r="J245" s="129">
        <f t="shared" si="94"/>
        <v>0.4</v>
      </c>
      <c r="K245" s="129">
        <f t="shared" si="94"/>
        <v>0.4</v>
      </c>
      <c r="L245" s="129">
        <f t="shared" si="94"/>
        <v>0.4</v>
      </c>
      <c r="M245" s="129">
        <f t="shared" si="94"/>
        <v>0.4</v>
      </c>
      <c r="N245" s="129">
        <f t="shared" si="94"/>
        <v>0.4</v>
      </c>
      <c r="O245" s="129">
        <f t="shared" si="94"/>
        <v>0.4</v>
      </c>
      <c r="P245" s="129">
        <f t="shared" si="94"/>
        <v>0.4</v>
      </c>
      <c r="Q245" s="129">
        <f t="shared" si="94"/>
        <v>0.4</v>
      </c>
      <c r="R245" s="129">
        <f t="shared" si="94"/>
        <v>0.4</v>
      </c>
      <c r="S245" s="129">
        <f t="shared" si="94"/>
        <v>0.4</v>
      </c>
      <c r="T245" s="129">
        <f t="shared" si="95"/>
        <v>0.4</v>
      </c>
      <c r="U245" s="129">
        <f t="shared" si="95"/>
        <v>0.4</v>
      </c>
      <c r="V245" s="129">
        <f t="shared" si="95"/>
        <v>0.4</v>
      </c>
      <c r="W245" s="129">
        <f t="shared" si="95"/>
        <v>0.4</v>
      </c>
      <c r="X245" s="129">
        <f t="shared" si="95"/>
        <v>0.4</v>
      </c>
      <c r="Y245" s="129">
        <f t="shared" si="95"/>
        <v>0.4</v>
      </c>
      <c r="Z245" s="129">
        <f t="shared" si="95"/>
        <v>0.4</v>
      </c>
      <c r="AA245" s="129">
        <f t="shared" si="95"/>
        <v>0.4</v>
      </c>
      <c r="AB245" s="129">
        <f t="shared" si="95"/>
        <v>0.4</v>
      </c>
      <c r="AC245" s="129">
        <f t="shared" si="95"/>
        <v>0.4</v>
      </c>
      <c r="AD245" s="129">
        <f t="shared" si="95"/>
        <v>0.4</v>
      </c>
      <c r="AE245" s="129">
        <f t="shared" si="95"/>
        <v>0.4</v>
      </c>
      <c r="AF245" s="129">
        <f t="shared" si="95"/>
        <v>0.4</v>
      </c>
      <c r="AG245" s="143">
        <v>2</v>
      </c>
      <c r="AH245" s="47"/>
      <c r="AI245" s="48"/>
      <c r="AK245" s="50"/>
    </row>
    <row r="246" spans="1:37" x14ac:dyDescent="0.25">
      <c r="A246" s="103" t="s">
        <v>238</v>
      </c>
      <c r="B246" s="129">
        <f t="shared" si="93"/>
        <v>1.5</v>
      </c>
      <c r="C246" s="129">
        <v>1.5</v>
      </c>
      <c r="D246" s="129">
        <f t="shared" si="94"/>
        <v>1.5</v>
      </c>
      <c r="E246" s="129">
        <f t="shared" si="94"/>
        <v>1.5</v>
      </c>
      <c r="F246" s="129">
        <f t="shared" si="94"/>
        <v>1.5</v>
      </c>
      <c r="G246" s="129">
        <f t="shared" si="94"/>
        <v>1.5</v>
      </c>
      <c r="H246" s="129">
        <f t="shared" si="94"/>
        <v>1.5</v>
      </c>
      <c r="I246" s="129">
        <f t="shared" si="94"/>
        <v>1.5</v>
      </c>
      <c r="J246" s="129">
        <f t="shared" si="94"/>
        <v>1.5</v>
      </c>
      <c r="K246" s="129">
        <f t="shared" si="94"/>
        <v>1.5</v>
      </c>
      <c r="L246" s="129">
        <f t="shared" si="94"/>
        <v>1.5</v>
      </c>
      <c r="M246" s="129">
        <f t="shared" si="94"/>
        <v>1.5</v>
      </c>
      <c r="N246" s="129">
        <f t="shared" si="94"/>
        <v>1.5</v>
      </c>
      <c r="O246" s="129">
        <f t="shared" si="94"/>
        <v>1.5</v>
      </c>
      <c r="P246" s="129">
        <f t="shared" si="94"/>
        <v>1.5</v>
      </c>
      <c r="Q246" s="129">
        <f t="shared" si="94"/>
        <v>1.5</v>
      </c>
      <c r="R246" s="129">
        <f t="shared" si="94"/>
        <v>1.5</v>
      </c>
      <c r="S246" s="129">
        <f t="shared" si="94"/>
        <v>1.5</v>
      </c>
      <c r="T246" s="129">
        <f t="shared" si="95"/>
        <v>1.5</v>
      </c>
      <c r="U246" s="129">
        <f t="shared" si="95"/>
        <v>1.5</v>
      </c>
      <c r="V246" s="129">
        <f t="shared" si="95"/>
        <v>1.5</v>
      </c>
      <c r="W246" s="129">
        <f t="shared" si="95"/>
        <v>1.5</v>
      </c>
      <c r="X246" s="129">
        <f t="shared" si="95"/>
        <v>1.5</v>
      </c>
      <c r="Y246" s="129">
        <f t="shared" si="95"/>
        <v>1.5</v>
      </c>
      <c r="Z246" s="129">
        <f t="shared" si="95"/>
        <v>1.5</v>
      </c>
      <c r="AA246" s="129">
        <f t="shared" si="95"/>
        <v>1.5</v>
      </c>
      <c r="AB246" s="129">
        <f t="shared" si="95"/>
        <v>1.5</v>
      </c>
      <c r="AC246" s="129">
        <f t="shared" si="95"/>
        <v>1.5</v>
      </c>
      <c r="AD246" s="129">
        <f t="shared" si="95"/>
        <v>1.5</v>
      </c>
      <c r="AE246" s="129">
        <f t="shared" si="95"/>
        <v>1.5</v>
      </c>
      <c r="AF246" s="129">
        <f t="shared" si="95"/>
        <v>1.5</v>
      </c>
      <c r="AG246" s="143">
        <v>1.5</v>
      </c>
      <c r="AH246" s="47"/>
      <c r="AI246" s="48"/>
      <c r="AK246" s="50"/>
    </row>
    <row r="247" spans="1:37" x14ac:dyDescent="0.25">
      <c r="A247" s="103" t="s">
        <v>239</v>
      </c>
      <c r="B247" s="129">
        <f t="shared" si="93"/>
        <v>0.3</v>
      </c>
      <c r="C247" s="129">
        <v>0.3</v>
      </c>
      <c r="D247" s="129">
        <f t="shared" si="94"/>
        <v>0.3</v>
      </c>
      <c r="E247" s="129">
        <f t="shared" si="94"/>
        <v>0.3</v>
      </c>
      <c r="F247" s="129">
        <f t="shared" si="94"/>
        <v>0.3</v>
      </c>
      <c r="G247" s="129">
        <f t="shared" si="94"/>
        <v>0.3</v>
      </c>
      <c r="H247" s="129">
        <f t="shared" si="94"/>
        <v>0.3</v>
      </c>
      <c r="I247" s="129">
        <f t="shared" si="94"/>
        <v>0.3</v>
      </c>
      <c r="J247" s="129">
        <f t="shared" si="94"/>
        <v>0.3</v>
      </c>
      <c r="K247" s="129">
        <f t="shared" si="94"/>
        <v>0.3</v>
      </c>
      <c r="L247" s="129">
        <f t="shared" si="94"/>
        <v>0.3</v>
      </c>
      <c r="M247" s="129">
        <f t="shared" si="94"/>
        <v>0.3</v>
      </c>
      <c r="N247" s="129">
        <f t="shared" si="94"/>
        <v>0.3</v>
      </c>
      <c r="O247" s="129">
        <f t="shared" si="94"/>
        <v>0.3</v>
      </c>
      <c r="P247" s="129">
        <f t="shared" si="94"/>
        <v>0.3</v>
      </c>
      <c r="Q247" s="129">
        <f t="shared" si="94"/>
        <v>0.3</v>
      </c>
      <c r="R247" s="129">
        <f t="shared" si="94"/>
        <v>0.3</v>
      </c>
      <c r="S247" s="129">
        <f t="shared" si="94"/>
        <v>0.3</v>
      </c>
      <c r="T247" s="129">
        <f t="shared" si="95"/>
        <v>0.3</v>
      </c>
      <c r="U247" s="129">
        <f t="shared" si="95"/>
        <v>0.3</v>
      </c>
      <c r="V247" s="129">
        <f t="shared" si="95"/>
        <v>0.3</v>
      </c>
      <c r="W247" s="129">
        <f t="shared" si="95"/>
        <v>0.3</v>
      </c>
      <c r="X247" s="129">
        <f t="shared" si="95"/>
        <v>0.3</v>
      </c>
      <c r="Y247" s="129">
        <f t="shared" si="95"/>
        <v>0.3</v>
      </c>
      <c r="Z247" s="129">
        <f t="shared" si="95"/>
        <v>0.3</v>
      </c>
      <c r="AA247" s="129">
        <f t="shared" si="95"/>
        <v>0.3</v>
      </c>
      <c r="AB247" s="129">
        <f t="shared" si="95"/>
        <v>0.3</v>
      </c>
      <c r="AC247" s="129">
        <f t="shared" si="95"/>
        <v>0.3</v>
      </c>
      <c r="AD247" s="129">
        <f t="shared" si="95"/>
        <v>0.3</v>
      </c>
      <c r="AE247" s="129">
        <f t="shared" si="95"/>
        <v>0.3</v>
      </c>
      <c r="AF247" s="129">
        <f t="shared" si="95"/>
        <v>0.3</v>
      </c>
      <c r="AG247" s="143">
        <v>1</v>
      </c>
      <c r="AH247" s="47"/>
      <c r="AI247" s="48"/>
      <c r="AK247" s="50"/>
    </row>
    <row r="248" spans="1:37" x14ac:dyDescent="0.25">
      <c r="A248" s="103" t="s">
        <v>240</v>
      </c>
      <c r="B248" s="129">
        <f t="shared" si="93"/>
        <v>0.4</v>
      </c>
      <c r="C248" s="129">
        <v>0.4</v>
      </c>
      <c r="D248" s="129">
        <f t="shared" si="94"/>
        <v>0.4</v>
      </c>
      <c r="E248" s="129">
        <f t="shared" si="94"/>
        <v>0.4</v>
      </c>
      <c r="F248" s="129">
        <f t="shared" si="94"/>
        <v>0.4</v>
      </c>
      <c r="G248" s="129">
        <f t="shared" si="94"/>
        <v>0.4</v>
      </c>
      <c r="H248" s="129">
        <f t="shared" si="94"/>
        <v>0.4</v>
      </c>
      <c r="I248" s="129">
        <f t="shared" si="94"/>
        <v>0.4</v>
      </c>
      <c r="J248" s="129">
        <f t="shared" si="94"/>
        <v>0.4</v>
      </c>
      <c r="K248" s="129">
        <f t="shared" si="94"/>
        <v>0.4</v>
      </c>
      <c r="L248" s="129">
        <f t="shared" si="94"/>
        <v>0.4</v>
      </c>
      <c r="M248" s="129">
        <f t="shared" si="94"/>
        <v>0.4</v>
      </c>
      <c r="N248" s="129">
        <f t="shared" si="94"/>
        <v>0.4</v>
      </c>
      <c r="O248" s="129">
        <f t="shared" si="94"/>
        <v>0.4</v>
      </c>
      <c r="P248" s="129">
        <f t="shared" si="94"/>
        <v>0.4</v>
      </c>
      <c r="Q248" s="129">
        <f t="shared" si="94"/>
        <v>0.4</v>
      </c>
      <c r="R248" s="129">
        <f t="shared" si="94"/>
        <v>0.4</v>
      </c>
      <c r="S248" s="129">
        <f t="shared" si="94"/>
        <v>0.4</v>
      </c>
      <c r="T248" s="129">
        <f t="shared" si="95"/>
        <v>0.4</v>
      </c>
      <c r="U248" s="129">
        <f t="shared" si="95"/>
        <v>0.4</v>
      </c>
      <c r="V248" s="129">
        <f t="shared" si="95"/>
        <v>0.4</v>
      </c>
      <c r="W248" s="129">
        <f t="shared" si="95"/>
        <v>0.4</v>
      </c>
      <c r="X248" s="129">
        <f t="shared" si="95"/>
        <v>0.4</v>
      </c>
      <c r="Y248" s="129">
        <f t="shared" si="95"/>
        <v>0.4</v>
      </c>
      <c r="Z248" s="129">
        <f t="shared" si="95"/>
        <v>0.4</v>
      </c>
      <c r="AA248" s="129">
        <f t="shared" si="95"/>
        <v>0.4</v>
      </c>
      <c r="AB248" s="129">
        <f t="shared" si="95"/>
        <v>0.4</v>
      </c>
      <c r="AC248" s="129">
        <f t="shared" si="95"/>
        <v>0.4</v>
      </c>
      <c r="AD248" s="129">
        <f t="shared" si="95"/>
        <v>0.4</v>
      </c>
      <c r="AE248" s="129">
        <f t="shared" si="95"/>
        <v>0.4</v>
      </c>
      <c r="AF248" s="129">
        <f t="shared" si="95"/>
        <v>0.4</v>
      </c>
      <c r="AG248" s="143">
        <v>1</v>
      </c>
      <c r="AH248" s="47"/>
      <c r="AI248" s="48"/>
      <c r="AK248" s="50"/>
    </row>
    <row r="249" spans="1:37" ht="15.75" thickBot="1" x14ac:dyDescent="0.3">
      <c r="A249" s="116" t="s">
        <v>241</v>
      </c>
      <c r="B249" s="133">
        <f t="shared" si="93"/>
        <v>0.64</v>
      </c>
      <c r="C249" s="133">
        <v>0.64</v>
      </c>
      <c r="D249" s="133">
        <f t="shared" si="94"/>
        <v>0.64</v>
      </c>
      <c r="E249" s="133">
        <f t="shared" si="94"/>
        <v>0.64</v>
      </c>
      <c r="F249" s="133">
        <f t="shared" si="94"/>
        <v>0.64</v>
      </c>
      <c r="G249" s="133">
        <f t="shared" si="94"/>
        <v>0.64</v>
      </c>
      <c r="H249" s="133">
        <f t="shared" si="94"/>
        <v>0.64</v>
      </c>
      <c r="I249" s="133">
        <f t="shared" si="94"/>
        <v>0.64</v>
      </c>
      <c r="J249" s="133">
        <f t="shared" si="94"/>
        <v>0.64</v>
      </c>
      <c r="K249" s="133">
        <f t="shared" si="94"/>
        <v>0.64</v>
      </c>
      <c r="L249" s="133">
        <f t="shared" si="94"/>
        <v>0.64</v>
      </c>
      <c r="M249" s="133">
        <f t="shared" si="94"/>
        <v>0.64</v>
      </c>
      <c r="N249" s="133">
        <f t="shared" si="94"/>
        <v>0.64</v>
      </c>
      <c r="O249" s="133">
        <f t="shared" si="94"/>
        <v>0.64</v>
      </c>
      <c r="P249" s="133">
        <f t="shared" si="94"/>
        <v>0.64</v>
      </c>
      <c r="Q249" s="133">
        <f t="shared" si="94"/>
        <v>0.64</v>
      </c>
      <c r="R249" s="133">
        <f t="shared" si="94"/>
        <v>0.64</v>
      </c>
      <c r="S249" s="133">
        <f t="shared" si="94"/>
        <v>0.64</v>
      </c>
      <c r="T249" s="133">
        <f t="shared" si="95"/>
        <v>0.64</v>
      </c>
      <c r="U249" s="133">
        <f t="shared" si="95"/>
        <v>0.64</v>
      </c>
      <c r="V249" s="133">
        <f t="shared" si="95"/>
        <v>0.64</v>
      </c>
      <c r="W249" s="133">
        <f t="shared" si="95"/>
        <v>0.64</v>
      </c>
      <c r="X249" s="133">
        <f t="shared" si="95"/>
        <v>0.64</v>
      </c>
      <c r="Y249" s="133">
        <f t="shared" si="95"/>
        <v>0.64</v>
      </c>
      <c r="Z249" s="133">
        <f t="shared" si="95"/>
        <v>0.64</v>
      </c>
      <c r="AA249" s="133">
        <f t="shared" si="95"/>
        <v>0.64</v>
      </c>
      <c r="AB249" s="133">
        <f t="shared" si="95"/>
        <v>0.64</v>
      </c>
      <c r="AC249" s="133">
        <f t="shared" si="95"/>
        <v>0.64</v>
      </c>
      <c r="AD249" s="133">
        <f t="shared" si="95"/>
        <v>0.64</v>
      </c>
      <c r="AE249" s="133">
        <f t="shared" si="95"/>
        <v>0.64</v>
      </c>
      <c r="AF249" s="133">
        <f t="shared" si="95"/>
        <v>0.64</v>
      </c>
      <c r="AG249" s="144">
        <v>0.66</v>
      </c>
      <c r="AH249" s="47"/>
      <c r="AI249" s="48"/>
    </row>
    <row r="250" spans="1:37" ht="15.75" thickBot="1" x14ac:dyDescent="0.3">
      <c r="A250" s="145" t="s">
        <v>75</v>
      </c>
      <c r="B250" s="137">
        <f t="shared" ref="B250:AG250" si="96">SUM(B244:B249)</f>
        <v>3.54</v>
      </c>
      <c r="C250" s="137">
        <f t="shared" si="96"/>
        <v>3.54</v>
      </c>
      <c r="D250" s="137">
        <f t="shared" si="96"/>
        <v>3.54</v>
      </c>
      <c r="E250" s="137">
        <f t="shared" si="96"/>
        <v>3.54</v>
      </c>
      <c r="F250" s="137">
        <f t="shared" si="96"/>
        <v>3.54</v>
      </c>
      <c r="G250" s="137">
        <f t="shared" si="96"/>
        <v>3.54</v>
      </c>
      <c r="H250" s="137">
        <f t="shared" si="96"/>
        <v>3.54</v>
      </c>
      <c r="I250" s="137">
        <f t="shared" si="96"/>
        <v>3.54</v>
      </c>
      <c r="J250" s="137">
        <f t="shared" si="96"/>
        <v>3.54</v>
      </c>
      <c r="K250" s="137">
        <f t="shared" si="96"/>
        <v>3.54</v>
      </c>
      <c r="L250" s="137">
        <f t="shared" si="96"/>
        <v>3.54</v>
      </c>
      <c r="M250" s="137">
        <f t="shared" si="96"/>
        <v>3.54</v>
      </c>
      <c r="N250" s="137">
        <f t="shared" si="96"/>
        <v>3.54</v>
      </c>
      <c r="O250" s="137">
        <f t="shared" si="96"/>
        <v>3.54</v>
      </c>
      <c r="P250" s="137">
        <f t="shared" si="96"/>
        <v>3.54</v>
      </c>
      <c r="Q250" s="137">
        <f t="shared" si="96"/>
        <v>3.54</v>
      </c>
      <c r="R250" s="137">
        <f t="shared" si="96"/>
        <v>3.54</v>
      </c>
      <c r="S250" s="137">
        <f t="shared" si="96"/>
        <v>3.54</v>
      </c>
      <c r="T250" s="137">
        <f t="shared" si="96"/>
        <v>3.54</v>
      </c>
      <c r="U250" s="137">
        <f t="shared" si="96"/>
        <v>3.54</v>
      </c>
      <c r="V250" s="137">
        <f t="shared" si="96"/>
        <v>3.54</v>
      </c>
      <c r="W250" s="137">
        <f t="shared" si="96"/>
        <v>3.54</v>
      </c>
      <c r="X250" s="137">
        <f t="shared" si="96"/>
        <v>3.54</v>
      </c>
      <c r="Y250" s="137">
        <f t="shared" si="96"/>
        <v>3.54</v>
      </c>
      <c r="Z250" s="137">
        <f t="shared" si="96"/>
        <v>3.54</v>
      </c>
      <c r="AA250" s="137">
        <f t="shared" si="96"/>
        <v>3.54</v>
      </c>
      <c r="AB250" s="137">
        <f t="shared" si="96"/>
        <v>3.54</v>
      </c>
      <c r="AC250" s="137">
        <f t="shared" si="96"/>
        <v>3.54</v>
      </c>
      <c r="AD250" s="137">
        <f t="shared" si="96"/>
        <v>3.54</v>
      </c>
      <c r="AE250" s="137">
        <f t="shared" si="96"/>
        <v>3.54</v>
      </c>
      <c r="AF250" s="137">
        <f t="shared" si="96"/>
        <v>3.54</v>
      </c>
      <c r="AG250" s="146">
        <f t="shared" si="96"/>
        <v>8.56</v>
      </c>
      <c r="AH250" s="47"/>
      <c r="AI250" s="48"/>
    </row>
    <row r="251" spans="1:37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140"/>
      <c r="AH251" s="43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1691.2400000000002</v>
      </c>
      <c r="C254" s="162">
        <f>INDEX(G9:N9,1,MATCH(MAX(G99:N99),G99:N99,0))</f>
        <v>0.3125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19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2080/09/19)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2080/09/19)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97">B99</f>
        <v>1034.6400000000001</v>
      </c>
      <c r="U259" s="171">
        <f t="shared" si="97"/>
        <v>976.6400000000001</v>
      </c>
      <c r="V259" s="171">
        <f t="shared" si="97"/>
        <v>984.6400000000001</v>
      </c>
      <c r="W259" s="171">
        <f t="shared" si="97"/>
        <v>987.6400000000001</v>
      </c>
      <c r="X259" s="171">
        <f t="shared" si="97"/>
        <v>986.6400000000001</v>
      </c>
      <c r="Y259" s="171">
        <f t="shared" si="97"/>
        <v>1040.0400000000002</v>
      </c>
      <c r="Z259" s="171">
        <f t="shared" si="97"/>
        <v>1113.0400000000002</v>
      </c>
      <c r="AA259" s="171">
        <f t="shared" si="97"/>
        <v>1257.7400000000002</v>
      </c>
      <c r="AB259" s="171">
        <f t="shared" si="97"/>
        <v>1362.5400000000002</v>
      </c>
      <c r="AC259" s="171">
        <f t="shared" si="97"/>
        <v>1609.19</v>
      </c>
      <c r="AD259" s="171">
        <f t="shared" si="97"/>
        <v>1691.2400000000002</v>
      </c>
      <c r="AE259" s="171">
        <f t="shared" si="97"/>
        <v>1687.1399999999999</v>
      </c>
      <c r="AF259" s="171">
        <f t="shared" si="97"/>
        <v>1590.4399999999998</v>
      </c>
      <c r="AG259" s="171">
        <f t="shared" si="97"/>
        <v>1509.24</v>
      </c>
      <c r="AH259" s="171">
        <f t="shared" si="97"/>
        <v>1386.64</v>
      </c>
      <c r="AI259" s="171">
        <f t="shared" si="97"/>
        <v>1332.3400000000001</v>
      </c>
      <c r="AJ259" s="171">
        <f t="shared" si="97"/>
        <v>1322.3400000000001</v>
      </c>
      <c r="AK259" s="171">
        <f t="shared" si="97"/>
        <v>1317.54</v>
      </c>
      <c r="AL259" s="171">
        <f t="shared" si="97"/>
        <v>1369.14</v>
      </c>
      <c r="AM259" s="171">
        <f t="shared" si="97"/>
        <v>1396.54</v>
      </c>
      <c r="AN259" s="171">
        <f t="shared" si="97"/>
        <v>1502.4399999999998</v>
      </c>
      <c r="AO259" s="171">
        <f t="shared" si="97"/>
        <v>1553.84</v>
      </c>
      <c r="AP259" s="171">
        <f t="shared" si="97"/>
        <v>1745.4399999999998</v>
      </c>
      <c r="AQ259" s="171">
        <f t="shared" si="97"/>
        <v>1714.0399999999997</v>
      </c>
      <c r="AR259" s="171">
        <f t="shared" si="97"/>
        <v>1639.54</v>
      </c>
      <c r="AS259" s="171">
        <f t="shared" si="97"/>
        <v>1672.3399999999997</v>
      </c>
      <c r="AT259" s="171">
        <f t="shared" si="97"/>
        <v>1463.6399999999999</v>
      </c>
      <c r="AU259" s="171">
        <f t="shared" si="97"/>
        <v>1397.6399999999999</v>
      </c>
      <c r="AV259" s="171">
        <f t="shared" si="97"/>
        <v>1318.3400000000001</v>
      </c>
      <c r="AW259" s="171">
        <f t="shared" si="97"/>
        <v>1182.1400000000001</v>
      </c>
      <c r="AX259" s="171">
        <f t="shared" si="97"/>
        <v>1057.1400000000001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98">C249</f>
        <v>0.64</v>
      </c>
      <c r="C280" s="174">
        <f t="shared" si="98"/>
        <v>0.64</v>
      </c>
      <c r="D280" s="174">
        <f t="shared" si="98"/>
        <v>0.64</v>
      </c>
      <c r="E280" s="174">
        <f t="shared" si="98"/>
        <v>0.64</v>
      </c>
      <c r="F280" s="174">
        <f t="shared" si="98"/>
        <v>0.64</v>
      </c>
      <c r="G280" s="174">
        <f t="shared" si="98"/>
        <v>0.64</v>
      </c>
      <c r="H280" s="174">
        <f t="shared" si="98"/>
        <v>0.64</v>
      </c>
      <c r="I280" s="174">
        <f t="shared" si="98"/>
        <v>0.64</v>
      </c>
      <c r="J280" s="174">
        <f t="shared" si="98"/>
        <v>0.64</v>
      </c>
      <c r="K280" s="174">
        <f t="shared" si="98"/>
        <v>0.64</v>
      </c>
      <c r="L280" s="174">
        <f t="shared" si="98"/>
        <v>0.64</v>
      </c>
      <c r="M280" s="174">
        <f t="shared" si="98"/>
        <v>0.64</v>
      </c>
      <c r="N280" s="174">
        <f t="shared" si="98"/>
        <v>0.64</v>
      </c>
      <c r="O280" s="174">
        <f t="shared" si="98"/>
        <v>0.64</v>
      </c>
      <c r="P280" s="174">
        <f t="shared" si="98"/>
        <v>0.64</v>
      </c>
      <c r="Q280" s="174">
        <f t="shared" si="98"/>
        <v>0.64</v>
      </c>
      <c r="R280" s="174">
        <f t="shared" si="98"/>
        <v>0.64</v>
      </c>
      <c r="S280" s="174">
        <f t="shared" si="98"/>
        <v>0.64</v>
      </c>
      <c r="T280" s="174">
        <f t="shared" si="98"/>
        <v>0.64</v>
      </c>
      <c r="U280" s="174">
        <f t="shared" si="98"/>
        <v>0.64</v>
      </c>
      <c r="V280" s="174">
        <f t="shared" si="98"/>
        <v>0.64</v>
      </c>
      <c r="W280" s="174">
        <f t="shared" si="98"/>
        <v>0.64</v>
      </c>
      <c r="X280" s="174">
        <f t="shared" si="98"/>
        <v>0.64</v>
      </c>
      <c r="Y280" s="174">
        <f t="shared" si="98"/>
        <v>0.64</v>
      </c>
      <c r="Z280" s="174">
        <f t="shared" si="98"/>
        <v>0.64</v>
      </c>
      <c r="AA280" s="174">
        <f t="shared" si="98"/>
        <v>0.64</v>
      </c>
      <c r="AB280" s="174">
        <f t="shared" si="98"/>
        <v>0.64</v>
      </c>
      <c r="AC280" s="174">
        <f t="shared" si="98"/>
        <v>0.64</v>
      </c>
      <c r="AD280" s="174">
        <f t="shared" si="98"/>
        <v>0.64</v>
      </c>
      <c r="AE280" s="174">
        <f t="shared" si="98"/>
        <v>0.64</v>
      </c>
      <c r="AF280" s="174">
        <f>B249</f>
        <v>0.64</v>
      </c>
      <c r="AG280" s="43"/>
      <c r="AH280" s="43"/>
    </row>
    <row r="281" spans="1:34" x14ac:dyDescent="0.25">
      <c r="A281" s="175" t="str">
        <f>A132</f>
        <v>KGA</v>
      </c>
      <c r="B281" s="175" t="str">
        <f t="shared" ref="B281:AF281" si="99">IF(B132&lt;100,"",B132-520)</f>
        <v/>
      </c>
      <c r="C281" s="175" t="str">
        <f t="shared" si="99"/>
        <v/>
      </c>
      <c r="D281" s="175" t="str">
        <f t="shared" si="99"/>
        <v/>
      </c>
      <c r="E281" s="175" t="str">
        <f t="shared" si="99"/>
        <v/>
      </c>
      <c r="F281" s="175" t="str">
        <f t="shared" si="99"/>
        <v/>
      </c>
      <c r="G281" s="175" t="str">
        <f t="shared" si="99"/>
        <v/>
      </c>
      <c r="H281" s="175" t="str">
        <f t="shared" si="99"/>
        <v/>
      </c>
      <c r="I281" s="175" t="str">
        <f t="shared" si="99"/>
        <v/>
      </c>
      <c r="J281" s="175" t="str">
        <f t="shared" si="99"/>
        <v/>
      </c>
      <c r="K281" s="175" t="str">
        <f t="shared" si="99"/>
        <v/>
      </c>
      <c r="L281" s="175" t="str">
        <f t="shared" si="99"/>
        <v/>
      </c>
      <c r="M281" s="175" t="str">
        <f t="shared" si="99"/>
        <v/>
      </c>
      <c r="N281" s="175" t="str">
        <f t="shared" si="99"/>
        <v/>
      </c>
      <c r="O281" s="175" t="str">
        <f t="shared" si="99"/>
        <v/>
      </c>
      <c r="P281" s="175" t="str">
        <f t="shared" si="99"/>
        <v/>
      </c>
      <c r="Q281" s="175" t="str">
        <f t="shared" si="99"/>
        <v/>
      </c>
      <c r="R281" s="175" t="str">
        <f t="shared" si="99"/>
        <v/>
      </c>
      <c r="S281" s="175" t="str">
        <f t="shared" si="99"/>
        <v/>
      </c>
      <c r="T281" s="175" t="str">
        <f t="shared" si="99"/>
        <v/>
      </c>
      <c r="U281" s="175" t="str">
        <f t="shared" si="99"/>
        <v/>
      </c>
      <c r="V281" s="175" t="str">
        <f t="shared" si="99"/>
        <v/>
      </c>
      <c r="W281" s="175" t="str">
        <f t="shared" si="99"/>
        <v/>
      </c>
      <c r="X281" s="175" t="str">
        <f t="shared" si="99"/>
        <v/>
      </c>
      <c r="Y281" s="175" t="str">
        <f t="shared" si="99"/>
        <v/>
      </c>
      <c r="Z281" s="175" t="str">
        <f t="shared" si="99"/>
        <v/>
      </c>
      <c r="AA281" s="175" t="str">
        <f t="shared" si="99"/>
        <v/>
      </c>
      <c r="AB281" s="175" t="str">
        <f t="shared" si="99"/>
        <v/>
      </c>
      <c r="AC281" s="175" t="str">
        <f t="shared" si="99"/>
        <v/>
      </c>
      <c r="AD281" s="175" t="str">
        <f t="shared" si="99"/>
        <v/>
      </c>
      <c r="AE281" s="175" t="str">
        <f t="shared" si="99"/>
        <v/>
      </c>
      <c r="AF281" s="175" t="str">
        <f t="shared" si="99"/>
        <v/>
      </c>
      <c r="AG281" s="43"/>
      <c r="AH281" s="43"/>
    </row>
    <row r="282" spans="1:34" x14ac:dyDescent="0.25">
      <c r="A282" s="175" t="str">
        <f>A133</f>
        <v>MMRS</v>
      </c>
      <c r="B282" s="175" t="str">
        <f t="shared" ref="B282:AF282" si="100">IF(B133&lt;100,"",B133-620)</f>
        <v/>
      </c>
      <c r="C282" s="175" t="str">
        <f t="shared" si="100"/>
        <v/>
      </c>
      <c r="D282" s="175" t="str">
        <f t="shared" si="100"/>
        <v/>
      </c>
      <c r="E282" s="175" t="str">
        <f t="shared" si="100"/>
        <v/>
      </c>
      <c r="F282" s="175" t="str">
        <f t="shared" si="100"/>
        <v/>
      </c>
      <c r="G282" s="175" t="str">
        <f t="shared" si="100"/>
        <v/>
      </c>
      <c r="H282" s="175" t="str">
        <f t="shared" si="100"/>
        <v/>
      </c>
      <c r="I282" s="175" t="str">
        <f t="shared" si="100"/>
        <v/>
      </c>
      <c r="J282" s="175" t="str">
        <f t="shared" si="100"/>
        <v/>
      </c>
      <c r="K282" s="175" t="str">
        <f t="shared" si="100"/>
        <v/>
      </c>
      <c r="L282" s="175" t="str">
        <f t="shared" si="100"/>
        <v/>
      </c>
      <c r="M282" s="175" t="str">
        <f t="shared" si="100"/>
        <v/>
      </c>
      <c r="N282" s="175" t="str">
        <f t="shared" si="100"/>
        <v/>
      </c>
      <c r="O282" s="175" t="str">
        <f t="shared" si="100"/>
        <v/>
      </c>
      <c r="P282" s="175" t="str">
        <f t="shared" si="100"/>
        <v/>
      </c>
      <c r="Q282" s="175" t="str">
        <f t="shared" si="100"/>
        <v/>
      </c>
      <c r="R282" s="175" t="str">
        <f t="shared" si="100"/>
        <v/>
      </c>
      <c r="S282" s="175" t="str">
        <f t="shared" si="100"/>
        <v/>
      </c>
      <c r="T282" s="175" t="str">
        <f t="shared" si="100"/>
        <v/>
      </c>
      <c r="U282" s="175" t="str">
        <f t="shared" si="100"/>
        <v/>
      </c>
      <c r="V282" s="175" t="str">
        <f t="shared" si="100"/>
        <v/>
      </c>
      <c r="W282" s="175" t="str">
        <f t="shared" si="100"/>
        <v/>
      </c>
      <c r="X282" s="175" t="str">
        <f t="shared" si="100"/>
        <v/>
      </c>
      <c r="Y282" s="175" t="str">
        <f t="shared" si="100"/>
        <v/>
      </c>
      <c r="Z282" s="175" t="str">
        <f t="shared" si="100"/>
        <v/>
      </c>
      <c r="AA282" s="175" t="str">
        <f t="shared" si="100"/>
        <v/>
      </c>
      <c r="AB282" s="175" t="str">
        <f t="shared" si="100"/>
        <v/>
      </c>
      <c r="AC282" s="175" t="str">
        <f t="shared" si="100"/>
        <v/>
      </c>
      <c r="AD282" s="175" t="str">
        <f t="shared" si="100"/>
        <v/>
      </c>
      <c r="AE282" s="175" t="str">
        <f t="shared" si="100"/>
        <v/>
      </c>
      <c r="AF282" s="175" t="str">
        <f t="shared" si="100"/>
        <v/>
      </c>
      <c r="AG282" s="43"/>
      <c r="AH282" s="43"/>
    </row>
    <row r="283" spans="1:34" x14ac:dyDescent="0.25">
      <c r="A283" s="175" t="str">
        <f>A134</f>
        <v>MRS</v>
      </c>
      <c r="B283" s="175" t="str">
        <f t="shared" ref="B283:AF283" si="101">IF(B134&lt;100,"",B134-330)</f>
        <v/>
      </c>
      <c r="C283" s="175" t="str">
        <f t="shared" si="101"/>
        <v/>
      </c>
      <c r="D283" s="175" t="str">
        <f t="shared" si="101"/>
        <v/>
      </c>
      <c r="E283" s="175" t="str">
        <f t="shared" si="101"/>
        <v/>
      </c>
      <c r="F283" s="175" t="str">
        <f t="shared" si="101"/>
        <v/>
      </c>
      <c r="G283" s="175" t="str">
        <f t="shared" si="101"/>
        <v/>
      </c>
      <c r="H283" s="175" t="str">
        <f t="shared" si="101"/>
        <v/>
      </c>
      <c r="I283" s="175" t="str">
        <f t="shared" si="101"/>
        <v/>
      </c>
      <c r="J283" s="175" t="str">
        <f t="shared" si="101"/>
        <v/>
      </c>
      <c r="K283" s="175" t="str">
        <f t="shared" si="101"/>
        <v/>
      </c>
      <c r="L283" s="175" t="str">
        <f t="shared" si="101"/>
        <v/>
      </c>
      <c r="M283" s="175" t="str">
        <f t="shared" si="101"/>
        <v/>
      </c>
      <c r="N283" s="175" t="str">
        <f t="shared" si="101"/>
        <v/>
      </c>
      <c r="O283" s="175" t="str">
        <f t="shared" si="101"/>
        <v/>
      </c>
      <c r="P283" s="175" t="str">
        <f t="shared" si="101"/>
        <v/>
      </c>
      <c r="Q283" s="175" t="str">
        <f t="shared" si="101"/>
        <v/>
      </c>
      <c r="R283" s="175" t="str">
        <f t="shared" si="101"/>
        <v/>
      </c>
      <c r="S283" s="175" t="str">
        <f t="shared" si="101"/>
        <v/>
      </c>
      <c r="T283" s="175" t="str">
        <f t="shared" si="101"/>
        <v/>
      </c>
      <c r="U283" s="175" t="str">
        <f t="shared" si="101"/>
        <v/>
      </c>
      <c r="V283" s="175" t="str">
        <f t="shared" si="101"/>
        <v/>
      </c>
      <c r="W283" s="175" t="str">
        <f t="shared" si="101"/>
        <v/>
      </c>
      <c r="X283" s="175" t="str">
        <f t="shared" si="101"/>
        <v/>
      </c>
      <c r="Y283" s="175" t="str">
        <f t="shared" si="101"/>
        <v/>
      </c>
      <c r="Z283" s="175" t="str">
        <f t="shared" si="101"/>
        <v/>
      </c>
      <c r="AA283" s="175" t="str">
        <f t="shared" si="101"/>
        <v/>
      </c>
      <c r="AB283" s="175" t="str">
        <f t="shared" si="101"/>
        <v/>
      </c>
      <c r="AC283" s="175" t="str">
        <f t="shared" si="101"/>
        <v/>
      </c>
      <c r="AD283" s="175" t="str">
        <f t="shared" si="101"/>
        <v/>
      </c>
      <c r="AE283" s="175" t="str">
        <f t="shared" si="101"/>
        <v/>
      </c>
      <c r="AF283" s="175" t="str">
        <f t="shared" si="101"/>
        <v/>
      </c>
      <c r="AG283" s="43"/>
      <c r="AH283" s="43"/>
    </row>
    <row r="284" spans="1:34" x14ac:dyDescent="0.25">
      <c r="A284" s="175" t="str">
        <f>A135</f>
        <v>KL 1</v>
      </c>
      <c r="B284" s="175" t="str">
        <f t="shared" ref="B284:AF284" si="102">IF(B135&lt;100,"",B135-1500)</f>
        <v/>
      </c>
      <c r="C284" s="175" t="str">
        <f t="shared" si="102"/>
        <v/>
      </c>
      <c r="D284" s="175" t="str">
        <f t="shared" si="102"/>
        <v/>
      </c>
      <c r="E284" s="175" t="str">
        <f t="shared" si="102"/>
        <v/>
      </c>
      <c r="F284" s="175" t="str">
        <f t="shared" si="102"/>
        <v/>
      </c>
      <c r="G284" s="175" t="str">
        <f t="shared" si="102"/>
        <v/>
      </c>
      <c r="H284" s="175" t="str">
        <f t="shared" si="102"/>
        <v/>
      </c>
      <c r="I284" s="175" t="str">
        <f t="shared" si="102"/>
        <v/>
      </c>
      <c r="J284" s="175" t="str">
        <f t="shared" si="102"/>
        <v/>
      </c>
      <c r="K284" s="175" t="str">
        <f t="shared" si="102"/>
        <v/>
      </c>
      <c r="L284" s="175" t="str">
        <f t="shared" si="102"/>
        <v/>
      </c>
      <c r="M284" s="175" t="str">
        <f t="shared" si="102"/>
        <v/>
      </c>
      <c r="N284" s="175" t="str">
        <f t="shared" si="102"/>
        <v/>
      </c>
      <c r="O284" s="175" t="str">
        <f t="shared" si="102"/>
        <v/>
      </c>
      <c r="P284" s="175" t="str">
        <f t="shared" si="102"/>
        <v/>
      </c>
      <c r="Q284" s="175" t="str">
        <f t="shared" si="102"/>
        <v/>
      </c>
      <c r="R284" s="175" t="str">
        <f t="shared" si="102"/>
        <v/>
      </c>
      <c r="S284" s="175" t="str">
        <f t="shared" si="102"/>
        <v/>
      </c>
      <c r="T284" s="175" t="str">
        <f t="shared" si="102"/>
        <v/>
      </c>
      <c r="U284" s="175" t="str">
        <f t="shared" si="102"/>
        <v/>
      </c>
      <c r="V284" s="175" t="str">
        <f t="shared" si="102"/>
        <v/>
      </c>
      <c r="W284" s="175" t="str">
        <f t="shared" si="102"/>
        <v/>
      </c>
      <c r="X284" s="175" t="str">
        <f t="shared" si="102"/>
        <v/>
      </c>
      <c r="Y284" s="175" t="str">
        <f t="shared" si="102"/>
        <v/>
      </c>
      <c r="Z284" s="175" t="str">
        <f t="shared" si="102"/>
        <v/>
      </c>
      <c r="AA284" s="175" t="str">
        <f t="shared" si="102"/>
        <v/>
      </c>
      <c r="AB284" s="175" t="str">
        <f t="shared" si="102"/>
        <v/>
      </c>
      <c r="AC284" s="175" t="str">
        <f t="shared" si="102"/>
        <v/>
      </c>
      <c r="AD284" s="175" t="str">
        <f t="shared" si="102"/>
        <v/>
      </c>
      <c r="AE284" s="175" t="str">
        <f t="shared" si="102"/>
        <v/>
      </c>
      <c r="AF284" s="175" t="str">
        <f t="shared" si="102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 A132:A251">
    <cfRule type="expression" dxfId="1564" priority="53">
      <formula>$AH11=0</formula>
    </cfRule>
  </conditionalFormatting>
  <conditionalFormatting sqref="B8 M8 S8 AB8">
    <cfRule type="expression" dxfId="1563" priority="114">
      <formula>AND(C$9&gt;=8/24,C$9&lt;14/24)</formula>
    </cfRule>
    <cfRule type="expression" dxfId="1562" priority="115">
      <formula>C$9&lt;8/24</formula>
    </cfRule>
    <cfRule type="expression" dxfId="1561" priority="113">
      <formula>AND(C$9&gt;=14/24,C$9&lt;20/24)</formula>
    </cfRule>
  </conditionalFormatting>
  <conditionalFormatting sqref="B63:I74 J64:K74 L69:W71 L73:W74">
    <cfRule type="expression" dxfId="1560" priority="17">
      <formula>AND(B$9&gt;=8/24,B$9&lt;14/24)</formula>
    </cfRule>
    <cfRule type="expression" dxfId="1559" priority="16">
      <formula>AND(B$9&gt;=14/24,B$9&lt;20/24)</formula>
    </cfRule>
    <cfRule type="expression" dxfId="1558" priority="18">
      <formula>B$9&lt;8/24</formula>
    </cfRule>
    <cfRule type="expression" dxfId="1557" priority="15">
      <formula>B$9&gt;=20/24</formula>
    </cfRule>
  </conditionalFormatting>
  <conditionalFormatting sqref="B11:W54">
    <cfRule type="expression" dxfId="1556" priority="9">
      <formula>B11&gt;$AG11</formula>
    </cfRule>
  </conditionalFormatting>
  <conditionalFormatting sqref="B53:W54">
    <cfRule type="expression" dxfId="1555" priority="8">
      <formula>B$9&lt;8/24</formula>
    </cfRule>
  </conditionalFormatting>
  <conditionalFormatting sqref="B55:W55">
    <cfRule type="expression" dxfId="1554" priority="33">
      <formula>B55&gt;$AG55</formula>
    </cfRule>
  </conditionalFormatting>
  <conditionalFormatting sqref="B55:W57">
    <cfRule type="expression" dxfId="1553" priority="32">
      <formula>B$9&lt;8/24</formula>
    </cfRule>
  </conditionalFormatting>
  <conditionalFormatting sqref="B9:AF52">
    <cfRule type="expression" dxfId="1552" priority="26">
      <formula>AND(B$9&gt;=8/24,B$9&lt;14/24)</formula>
    </cfRule>
    <cfRule type="expression" dxfId="1551" priority="27">
      <formula>B$9&lt;8/24</formula>
    </cfRule>
    <cfRule type="expression" dxfId="1550" priority="25">
      <formula>AND(B$9&gt;=14/24,B$9&lt;20/24)</formula>
    </cfRule>
    <cfRule type="expression" dxfId="1549" priority="24">
      <formula>B$9&gt;=20/24</formula>
    </cfRule>
  </conditionalFormatting>
  <conditionalFormatting sqref="B53:AF54">
    <cfRule type="expression" dxfId="1548" priority="7">
      <formula>AND(B$9&gt;=8/24,B$9&lt;14/24)</formula>
    </cfRule>
    <cfRule type="expression" dxfId="1547" priority="5">
      <formula>B$9&gt;=20/24</formula>
    </cfRule>
    <cfRule type="expression" dxfId="1546" priority="6">
      <formula>AND(B$9&gt;=14/24,B$9&lt;20/24)</formula>
    </cfRule>
  </conditionalFormatting>
  <conditionalFormatting sqref="B55:AF57">
    <cfRule type="expression" dxfId="1545" priority="29">
      <formula>B$9&gt;=20/24</formula>
    </cfRule>
    <cfRule type="expression" dxfId="1544" priority="30">
      <formula>AND(B$9&gt;=14/24,B$9&lt;20/24)</formula>
    </cfRule>
    <cfRule type="expression" dxfId="1543" priority="31">
      <formula>AND(B$9&gt;=8/24,B$9&lt;14/24)</formula>
    </cfRule>
  </conditionalFormatting>
  <conditionalFormatting sqref="B56:AF61">
    <cfRule type="expression" dxfId="1542" priority="28">
      <formula>B56&gt;$AG56</formula>
    </cfRule>
  </conditionalFormatting>
  <conditionalFormatting sqref="B59:AF61">
    <cfRule type="expression" dxfId="1541" priority="42">
      <formula>B$9&lt;8/24</formula>
    </cfRule>
    <cfRule type="expression" dxfId="1540" priority="41">
      <formula>AND(B$9&gt;=8/24,B$9&lt;14/24)</formula>
    </cfRule>
    <cfRule type="expression" dxfId="1539" priority="39">
      <formula>B$9&gt;=20/24</formula>
    </cfRule>
    <cfRule type="expression" dxfId="1538" priority="40">
      <formula>AND(B$9&gt;=14/24,B$9&lt;20/24)</formula>
    </cfRule>
  </conditionalFormatting>
  <conditionalFormatting sqref="B63:AF74">
    <cfRule type="expression" dxfId="1537" priority="14">
      <formula>B63&gt;$AG63</formula>
    </cfRule>
  </conditionalFormatting>
  <conditionalFormatting sqref="B77:AF79">
    <cfRule type="expression" dxfId="1536" priority="47">
      <formula>B$9&lt;8/24</formula>
    </cfRule>
    <cfRule type="expression" dxfId="1535" priority="45">
      <formula>AND(B$9&gt;=14/24,B$9&lt;20/24)</formula>
    </cfRule>
    <cfRule type="expression" dxfId="1534" priority="43">
      <formula>B77&gt;$AG77</formula>
    </cfRule>
    <cfRule type="expression" dxfId="1533" priority="44">
      <formula>B$9&gt;=20/24</formula>
    </cfRule>
    <cfRule type="expression" dxfId="1532" priority="46">
      <formula>AND(B$9&gt;=8/24,B$9&lt;14/24)</formula>
    </cfRule>
  </conditionalFormatting>
  <conditionalFormatting sqref="B81:AF99">
    <cfRule type="expression" dxfId="1531" priority="10">
      <formula>B$9&gt;=20/24</formula>
    </cfRule>
    <cfRule type="expression" dxfId="1530" priority="11">
      <formula>AND(B$9&gt;=14/24,B$9&lt;20/24)</formula>
    </cfRule>
    <cfRule type="expression" dxfId="1529" priority="12">
      <formula>AND(B$9&gt;=8/24,B$9&lt;14/24)</formula>
    </cfRule>
    <cfRule type="expression" dxfId="1528" priority="13">
      <formula>B$9&lt;8/24</formula>
    </cfRule>
  </conditionalFormatting>
  <conditionalFormatting sqref="B101:AF117">
    <cfRule type="expression" dxfId="1527" priority="3">
      <formula>AND(B$9&gt;=8/24,B$9&lt;14/24)</formula>
    </cfRule>
    <cfRule type="expression" dxfId="1526" priority="4">
      <formula>B$9&lt;8/24</formula>
    </cfRule>
    <cfRule type="expression" dxfId="1525" priority="2">
      <formula>AND(B$9&gt;=14/24,B$9&lt;20/24)</formula>
    </cfRule>
    <cfRule type="expression" dxfId="1524" priority="1">
      <formula>B$9&gt;=20/24</formula>
    </cfRule>
  </conditionalFormatting>
  <conditionalFormatting sqref="B119:AF135">
    <cfRule type="expression" dxfId="1523" priority="19">
      <formula>B$9&gt;=20/24</formula>
    </cfRule>
    <cfRule type="expression" dxfId="1522" priority="20">
      <formula>AND(B$9&gt;=14/24,B$9&lt;20/24)</formula>
    </cfRule>
    <cfRule type="expression" dxfId="1521" priority="21">
      <formula>AND(B$9&gt;=8/24,B$9&lt;14/24)</formula>
    </cfRule>
    <cfRule type="expression" dxfId="1520" priority="22">
      <formula>B$9&lt;8/24</formula>
    </cfRule>
  </conditionalFormatting>
  <conditionalFormatting sqref="B242:AF242 B244:B250 D244:AF250 U258:AF258">
    <cfRule type="expression" dxfId="1519" priority="109">
      <formula>B$9&lt;8/24</formula>
    </cfRule>
    <cfRule type="expression" dxfId="1518" priority="108">
      <formula>AND(B$9&gt;=8/24,B$9&lt;14/24)</formula>
    </cfRule>
    <cfRule type="expression" dxfId="1517" priority="107">
      <formula>AND(B$9&gt;=14/24,B$9&lt;20/24)</formula>
    </cfRule>
    <cfRule type="expression" dxfId="1516" priority="106">
      <formula>B$9&gt;=20/24</formula>
    </cfRule>
  </conditionalFormatting>
  <conditionalFormatting sqref="B62:AG62">
    <cfRule type="expression" dxfId="1515" priority="48">
      <formula>B62&gt;$AG62</formula>
    </cfRule>
    <cfRule type="expression" dxfId="1514" priority="50">
      <formula>AND(B$9&gt;=14/24,B$9&lt;20/24)</formula>
    </cfRule>
    <cfRule type="expression" dxfId="1513" priority="51">
      <formula>AND(B$9&gt;=8/24,B$9&lt;14/24)</formula>
    </cfRule>
    <cfRule type="expression" dxfId="1512" priority="52">
      <formula>B$9&lt;8/24</formula>
    </cfRule>
    <cfRule type="expression" dxfId="1511" priority="49">
      <formula>B$9&gt;=20/24</formula>
    </cfRule>
  </conditionalFormatting>
  <conditionalFormatting sqref="B75:AG76 B80:AG80">
    <cfRule type="expression" dxfId="1510" priority="34">
      <formula>B75&gt;$AG75</formula>
    </cfRule>
  </conditionalFormatting>
  <conditionalFormatting sqref="B80:AG80">
    <cfRule type="expression" dxfId="1509" priority="35">
      <formula>B$9&gt;=20/24</formula>
    </cfRule>
    <cfRule type="expression" dxfId="1508" priority="38">
      <formula>B$9&lt;8/24</formula>
    </cfRule>
    <cfRule type="expression" dxfId="1507" priority="37">
      <formula>AND(B$9&gt;=8/24,B$9&lt;14/24)</formula>
    </cfRule>
    <cfRule type="expression" dxfId="1506" priority="36">
      <formula>AND(B$9&gt;=14/24,B$9&lt;20/24)</formula>
    </cfRule>
  </conditionalFormatting>
  <conditionalFormatting sqref="G63:O65">
    <cfRule type="expression" dxfId="1505" priority="90">
      <formula>G$9&lt;8/24</formula>
    </cfRule>
    <cfRule type="expression" dxfId="1504" priority="89">
      <formula>AND(G$9&gt;=8/24,G$9&lt;14/24)</formula>
    </cfRule>
    <cfRule type="expression" dxfId="1503" priority="88">
      <formula>AND(G$9&gt;=14/24,G$9&lt;20/24)</formula>
    </cfRule>
    <cfRule type="expression" dxfId="1502" priority="87">
      <formula>G$9&gt;=20/24</formula>
    </cfRule>
  </conditionalFormatting>
  <conditionalFormatting sqref="G68:W68">
    <cfRule type="expression" dxfId="1501" priority="64">
      <formula>G$9&gt;=20/24</formula>
    </cfRule>
    <cfRule type="expression" dxfId="1500" priority="65">
      <formula>AND(G$9&gt;=14/24,G$9&lt;20/24)</formula>
    </cfRule>
    <cfRule type="expression" dxfId="1499" priority="66">
      <formula>AND(G$9&gt;=8/24,G$9&lt;14/24)</formula>
    </cfRule>
    <cfRule type="expression" dxfId="1498" priority="67">
      <formula>G$9&lt;8/24</formula>
    </cfRule>
  </conditionalFormatting>
  <conditionalFormatting sqref="G69:AF74">
    <cfRule type="expression" dxfId="1497" priority="54">
      <formula>G$9&gt;=20/24</formula>
    </cfRule>
    <cfRule type="expression" dxfId="1496" priority="55">
      <formula>AND(G$9&gt;=14/24,G$9&lt;20/24)</formula>
    </cfRule>
    <cfRule type="expression" dxfId="1495" priority="56">
      <formula>AND(G$9&gt;=8/24,G$9&lt;14/24)</formula>
    </cfRule>
    <cfRule type="expression" dxfId="1494" priority="57">
      <formula>G$9&lt;8/24</formula>
    </cfRule>
  </conditionalFormatting>
  <conditionalFormatting sqref="N63:U67 V67:W67">
    <cfRule type="expression" dxfId="1493" priority="92">
      <formula>AND(N$9&gt;=14/24,N$9&lt;20/24)</formula>
    </cfRule>
    <cfRule type="expression" dxfId="1492" priority="91">
      <formula>N$9&gt;=20/24</formula>
    </cfRule>
    <cfRule type="expression" dxfId="1491" priority="93">
      <formula>AND(N$9&gt;=8/24,N$9&lt;14/24)</formula>
    </cfRule>
    <cfRule type="expression" dxfId="1490" priority="94">
      <formula>N$9&lt;8/24</formula>
    </cfRule>
  </conditionalFormatting>
  <conditionalFormatting sqref="O3:P3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489" priority="112">
      <formula>C$9&gt;=20/24</formula>
    </cfRule>
  </conditionalFormatting>
  <conditionalFormatting sqref="S8">
    <cfRule type="expression" dxfId="1488" priority="100">
      <formula>AND(U$9&gt;=14/24,U$9&lt;20/24)</formula>
    </cfRule>
    <cfRule type="expression" dxfId="1487" priority="102">
      <formula>U$9&lt;8/24</formula>
    </cfRule>
    <cfRule type="expression" dxfId="1486" priority="101">
      <formula>AND(U$9&gt;=8/24,U$9&lt;14/24)</formula>
    </cfRule>
    <cfRule type="expression" dxfId="1485" priority="99">
      <formula>U$9&gt;=20/24</formula>
    </cfRule>
  </conditionalFormatting>
  <conditionalFormatting sqref="S63:AF68">
    <cfRule type="expression" dxfId="1484" priority="58">
      <formula>S$9&gt;=20/24</formula>
    </cfRule>
    <cfRule type="expression" dxfId="1483" priority="59">
      <formula>AND(S$9&gt;=14/24,S$9&lt;20/24)</formula>
    </cfRule>
    <cfRule type="expression" dxfId="1482" priority="61">
      <formula>S$9&lt;8/24</formula>
    </cfRule>
    <cfRule type="expression" dxfId="1481" priority="60">
      <formula>AND(S$9&gt;=8/24,S$9&lt;14/24)</formula>
    </cfRule>
  </conditionalFormatting>
  <conditionalFormatting sqref="T258">
    <cfRule type="expression" dxfId="1480" priority="127">
      <formula>AX$9&lt;8/24</formula>
    </cfRule>
    <cfRule type="expression" dxfId="1479" priority="124">
      <formula>AX$9&gt;=20/24</formula>
    </cfRule>
    <cfRule type="expression" dxfId="1478" priority="125">
      <formula>AND(AX$9&gt;=14/24,AX$9&lt;20/24)</formula>
    </cfRule>
    <cfRule type="expression" dxfId="1477" priority="126">
      <formula>AND(AX$9&gt;=8/24,AX$9&lt;14/24)</formula>
    </cfRule>
  </conditionalFormatting>
  <conditionalFormatting sqref="V3 AB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X11:AF52">
    <cfRule type="expression" dxfId="1476" priority="23">
      <formula>X11&gt;$AG11</formula>
    </cfRule>
  </conditionalFormatting>
  <conditionalFormatting sqref="X53:AF55">
    <cfRule type="expression" dxfId="1475" priority="63">
      <formula>X53&gt;$AG53</formula>
    </cfRule>
  </conditionalFormatting>
  <conditionalFormatting sqref="X53:AF57">
    <cfRule type="expression" dxfId="1474" priority="62">
      <formula>X$9&lt;8/24</formula>
    </cfRule>
  </conditionalFormatting>
  <conditionalFormatting sqref="AB8">
    <cfRule type="expression" dxfId="1473" priority="95">
      <formula>AD$9&gt;=20/24</formula>
    </cfRule>
    <cfRule type="expression" dxfId="1472" priority="96">
      <formula>AND(AD$9&gt;=14/24,AD$9&lt;20/24)</formula>
    </cfRule>
    <cfRule type="expression" dxfId="1471" priority="97">
      <formula>AND(AD$9&gt;=8/24,AD$9&lt;14/24)</formula>
    </cfRule>
    <cfRule type="expression" dxfId="1470" priority="98">
      <formula>AD$9&lt;8/24</formula>
    </cfRule>
  </conditionalFormatting>
  <conditionalFormatting sqref="AG58">
    <cfRule type="expression" dxfId="1469" priority="82">
      <formula>AG58&gt;$AG58</formula>
    </cfRule>
  </conditionalFormatting>
  <conditionalFormatting sqref="AG97">
    <cfRule type="expression" dxfId="1468" priority="83">
      <formula>AG$9&gt;=20/24</formula>
    </cfRule>
    <cfRule type="expression" dxfId="1467" priority="84">
      <formula>AND(AG$9&gt;=14/24,AG$9&lt;20/24)</formula>
    </cfRule>
    <cfRule type="expression" dxfId="1466" priority="86">
      <formula>AG$9&lt;8/24</formula>
    </cfRule>
    <cfRule type="expression" dxfId="1465" priority="85">
      <formula>AND(AG$9&gt;=8/24,AG$9&lt;14/24)</formula>
    </cfRule>
  </conditionalFormatting>
  <conditionalFormatting sqref="AG258">
    <cfRule type="expression" dxfId="1464" priority="119">
      <formula>B$9&lt;8/24</formula>
    </cfRule>
    <cfRule type="expression" dxfId="1463" priority="116">
      <formula>B$9&gt;=20/24</formula>
    </cfRule>
    <cfRule type="expression" dxfId="1462" priority="117">
      <formula>AND(B$9&gt;=14/24,B$9&lt;20/24)</formula>
    </cfRule>
    <cfRule type="expression" dxfId="1461" priority="118">
      <formula>AND(B$9&gt;=8/24,B$9&lt;14/24)</formula>
    </cfRule>
  </conditionalFormatting>
  <conditionalFormatting sqref="AH258:AX258">
    <cfRule type="expression" dxfId="1460" priority="120">
      <formula>AG$9&gt;=20/24</formula>
    </cfRule>
    <cfRule type="expression" dxfId="1459" priority="121">
      <formula>AND(AG$9&gt;=14/24,AG$9&lt;20/24)</formula>
    </cfRule>
    <cfRule type="expression" dxfId="1458" priority="122">
      <formula>AND(AG$9&gt;=8/24,AG$9&lt;14/24)</formula>
    </cfRule>
    <cfRule type="expression" dxfId="1457" priority="123">
      <formula>AG$9&lt;8/24</formula>
    </cfRule>
  </conditionalFormatting>
  <conditionalFormatting sqref="AL4:AL6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456" priority="129">
      <formula>AJ$9&gt;=20/24</formula>
    </cfRule>
    <cfRule type="expression" dxfId="1455" priority="130">
      <formula>AND(AJ$9&gt;=14/24,AJ$9&lt;20/24)</formula>
    </cfRule>
    <cfRule type="expression" dxfId="1454" priority="131">
      <formula>AND(AJ$9&gt;=8/24,AJ$9&lt;14/24)</formula>
    </cfRule>
    <cfRule type="expression" dxfId="1453" priority="132">
      <formula>AJ$9&lt;8/24</formula>
    </cfRule>
  </conditionalFormatting>
  <conditionalFormatting sqref="AL88:AN88 AL94:AN94">
    <cfRule type="expression" dxfId="1452" priority="78">
      <formula>AL$9&lt;8/24</formula>
    </cfRule>
    <cfRule type="expression" dxfId="1451" priority="77">
      <formula>AND(AL$9&gt;=8/24,AL$9&lt;14/24)</formula>
    </cfRule>
    <cfRule type="expression" dxfId="1450" priority="75">
      <formula>AL$9&gt;=20/24</formula>
    </cfRule>
    <cfRule type="expression" dxfId="1449" priority="76">
      <formula>AND(AL$9&gt;=14/24,AL$9&lt;20/24)</formula>
    </cfRule>
  </conditionalFormatting>
  <conditionalFormatting sqref="AN89:AN92">
    <cfRule type="expression" dxfId="1448" priority="74">
      <formula>AN$9&lt;8/24</formula>
    </cfRule>
    <cfRule type="expression" dxfId="1447" priority="73">
      <formula>AND(AN$9&gt;=8/24,AN$9&lt;14/24)</formula>
    </cfRule>
    <cfRule type="expression" dxfId="1446" priority="72">
      <formula>AND(AN$9&gt;=14/24,AN$9&lt;20/24)</formula>
    </cfRule>
    <cfRule type="expression" dxfId="1445" priority="7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4DEB-A62D-4222-ADE1-25AD236DB0F6}">
  <sheetPr codeName="Sheet21"/>
  <dimension ref="A1:CJ291"/>
  <sheetViews>
    <sheetView zoomScale="106" workbookViewId="0">
      <pane xSplit="1" ySplit="10" topLeftCell="B73" activePane="bottomRight" state="frozen"/>
      <selection activeCell="P118" sqref="P118"/>
      <selection pane="topRight" activeCell="P118" sqref="P118"/>
      <selection pane="bottomLeft" activeCell="P118" sqref="P118"/>
      <selection pane="bottomRight" activeCell="M59" sqref="M5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2080/09/20</v>
      </c>
      <c r="C4" s="246"/>
      <c r="D4" s="246"/>
      <c r="E4" s="247" t="str">
        <f ca="1">"2080/"&amp;"09/"&amp;INT(MID(CELL("filename",G6),FIND("]",CELL("filename",G6))+1,200))</f>
        <v>2080/09/20</v>
      </c>
      <c r="F4" s="247"/>
      <c r="G4" s="247"/>
      <c r="H4" s="247" t="str">
        <f ca="1">TEXT(E4,"dddd")</f>
        <v>Friday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240</v>
      </c>
      <c r="C5" s="30">
        <f t="shared" si="0"/>
        <v>214</v>
      </c>
      <c r="D5" s="30">
        <f t="shared" si="0"/>
        <v>177.4</v>
      </c>
      <c r="E5" s="30">
        <f t="shared" si="0"/>
        <v>177.4</v>
      </c>
      <c r="F5" s="30">
        <f t="shared" si="0"/>
        <v>277.39999999999998</v>
      </c>
      <c r="G5" s="30">
        <f t="shared" si="0"/>
        <v>287.39999999999998</v>
      </c>
      <c r="H5" s="30">
        <f t="shared" si="0"/>
        <v>367.70000000000005</v>
      </c>
      <c r="I5" s="30">
        <f t="shared" si="0"/>
        <v>395.6</v>
      </c>
      <c r="J5" s="30">
        <f t="shared" si="0"/>
        <v>420.8</v>
      </c>
      <c r="K5" s="30">
        <f t="shared" si="0"/>
        <v>152.9</v>
      </c>
      <c r="L5" s="30">
        <f t="shared" si="0"/>
        <v>48</v>
      </c>
      <c r="M5" s="30">
        <f t="shared" si="0"/>
        <v>34.799999999999997</v>
      </c>
      <c r="N5" s="30">
        <f t="shared" si="0"/>
        <v>20.3</v>
      </c>
      <c r="O5" s="30">
        <f t="shared" si="0"/>
        <v>266</v>
      </c>
      <c r="P5" s="30">
        <f t="shared" si="0"/>
        <v>353.8</v>
      </c>
      <c r="Q5" s="30">
        <f t="shared" si="0"/>
        <v>386.3</v>
      </c>
      <c r="R5" s="30">
        <f t="shared" si="0"/>
        <v>444.20000000000005</v>
      </c>
      <c r="S5" s="30">
        <f t="shared" si="0"/>
        <v>437.4</v>
      </c>
      <c r="T5" s="30">
        <f t="shared" si="0"/>
        <v>461.9</v>
      </c>
      <c r="U5" s="30">
        <f t="shared" si="0"/>
        <v>144.80000000000001</v>
      </c>
      <c r="V5" s="30">
        <f t="shared" si="0"/>
        <v>148.80000000000001</v>
      </c>
      <c r="W5" s="30">
        <f t="shared" si="0"/>
        <v>117.4</v>
      </c>
      <c r="X5" s="30">
        <f t="shared" si="0"/>
        <v>124.6</v>
      </c>
      <c r="Y5" s="30">
        <f t="shared" si="0"/>
        <v>197.8</v>
      </c>
      <c r="Z5" s="30">
        <f t="shared" si="0"/>
        <v>242</v>
      </c>
      <c r="AA5" s="30">
        <f t="shared" si="0"/>
        <v>332.7</v>
      </c>
      <c r="AB5" s="30">
        <f t="shared" si="0"/>
        <v>231.9</v>
      </c>
      <c r="AC5" s="30">
        <f t="shared" si="0"/>
        <v>242.7</v>
      </c>
      <c r="AD5" s="30">
        <f t="shared" si="0"/>
        <v>264.10000000000002</v>
      </c>
      <c r="AE5" s="30">
        <f t="shared" si="0"/>
        <v>249.2</v>
      </c>
      <c r="AF5" s="30">
        <f>B92</f>
        <v>195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1707MW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Load=948</v>
      </c>
      <c r="B7" s="35">
        <f>B100</f>
        <v>1009.1400000000001</v>
      </c>
      <c r="C7" s="35">
        <f t="shared" ref="C7:AF7" si="1">C100</f>
        <v>995.1400000000001</v>
      </c>
      <c r="D7" s="35">
        <f t="shared" si="1"/>
        <v>968.1400000000001</v>
      </c>
      <c r="E7" s="35">
        <f t="shared" si="1"/>
        <v>948.6400000000001</v>
      </c>
      <c r="F7" s="35">
        <f t="shared" si="1"/>
        <v>947.6400000000001</v>
      </c>
      <c r="G7" s="35">
        <f t="shared" si="1"/>
        <v>1046.6400000000001</v>
      </c>
      <c r="H7" s="35">
        <f t="shared" si="1"/>
        <v>1167.8400000000001</v>
      </c>
      <c r="I7" s="35">
        <f t="shared" si="1"/>
        <v>1246.1400000000001</v>
      </c>
      <c r="J7" s="35">
        <f t="shared" si="1"/>
        <v>1406.8400000000001</v>
      </c>
      <c r="K7" s="35">
        <f t="shared" si="1"/>
        <v>1577.74</v>
      </c>
      <c r="L7" s="35">
        <f t="shared" si="1"/>
        <v>1638.34</v>
      </c>
      <c r="M7" s="35">
        <f t="shared" si="1"/>
        <v>1706.94</v>
      </c>
      <c r="N7" s="35">
        <f t="shared" si="1"/>
        <v>1633.64</v>
      </c>
      <c r="O7" s="35">
        <f t="shared" si="1"/>
        <v>1530.24</v>
      </c>
      <c r="P7" s="35">
        <f t="shared" si="1"/>
        <v>1478.1399999999999</v>
      </c>
      <c r="Q7" s="35">
        <f t="shared" si="1"/>
        <v>1392.4399999999998</v>
      </c>
      <c r="R7" s="35">
        <f t="shared" si="1"/>
        <v>1349.4399999999998</v>
      </c>
      <c r="S7" s="35">
        <f t="shared" si="1"/>
        <v>1341.04</v>
      </c>
      <c r="T7" s="35">
        <f t="shared" si="1"/>
        <v>1362.6399999999999</v>
      </c>
      <c r="U7" s="35">
        <f t="shared" si="1"/>
        <v>1350.1399999999999</v>
      </c>
      <c r="V7" s="35">
        <f t="shared" si="1"/>
        <v>1498.54</v>
      </c>
      <c r="W7" s="35">
        <f t="shared" si="1"/>
        <v>1645.44</v>
      </c>
      <c r="X7" s="35">
        <f t="shared" si="1"/>
        <v>1772.8400000000001</v>
      </c>
      <c r="Y7" s="35">
        <f t="shared" si="1"/>
        <v>1734.34</v>
      </c>
      <c r="Z7" s="35">
        <f t="shared" si="1"/>
        <v>1658.84</v>
      </c>
      <c r="AA7" s="35">
        <f t="shared" si="1"/>
        <v>1644.1399999999999</v>
      </c>
      <c r="AB7" s="35">
        <f t="shared" si="1"/>
        <v>1564.44</v>
      </c>
      <c r="AC7" s="35">
        <f t="shared" si="1"/>
        <v>1503.64</v>
      </c>
      <c r="AD7" s="35">
        <f t="shared" si="1"/>
        <v>1399.14</v>
      </c>
      <c r="AE7" s="35">
        <f t="shared" si="1"/>
        <v>1188.54</v>
      </c>
      <c r="AF7" s="35">
        <f t="shared" si="1"/>
        <v>1063.54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31.9</v>
      </c>
      <c r="C11" s="45">
        <v>31.9</v>
      </c>
      <c r="D11" s="45">
        <v>31.9</v>
      </c>
      <c r="E11" s="45">
        <v>31.9</v>
      </c>
      <c r="F11" s="45">
        <v>31.9</v>
      </c>
      <c r="G11" s="45">
        <v>31.9</v>
      </c>
      <c r="H11" s="45">
        <v>31.9</v>
      </c>
      <c r="I11" s="45">
        <v>31.9</v>
      </c>
      <c r="J11" s="45">
        <v>31.9</v>
      </c>
      <c r="K11" s="45">
        <v>31.9</v>
      </c>
      <c r="L11" s="45">
        <v>31.9</v>
      </c>
      <c r="M11" s="45">
        <v>36</v>
      </c>
      <c r="N11" s="45">
        <v>36</v>
      </c>
      <c r="O11" s="45">
        <v>36</v>
      </c>
      <c r="P11" s="45">
        <v>36</v>
      </c>
      <c r="Q11" s="45">
        <v>36</v>
      </c>
      <c r="R11" s="45">
        <v>36</v>
      </c>
      <c r="S11" s="45">
        <v>36</v>
      </c>
      <c r="T11" s="45">
        <v>36</v>
      </c>
      <c r="U11" s="45">
        <v>35.299999999999997</v>
      </c>
      <c r="V11" s="45">
        <v>35.299999999999997</v>
      </c>
      <c r="W11" s="45">
        <v>35.299999999999997</v>
      </c>
      <c r="X11" s="45">
        <v>35.299999999999997</v>
      </c>
      <c r="Y11" s="45">
        <v>35.299999999999997</v>
      </c>
      <c r="Z11" s="45">
        <v>35.299999999999997</v>
      </c>
      <c r="AA11" s="45">
        <v>35.299999999999997</v>
      </c>
      <c r="AB11" s="45">
        <v>35.299999999999997</v>
      </c>
      <c r="AC11" s="45">
        <v>35.299999999999997</v>
      </c>
      <c r="AD11" s="45">
        <v>35.299999999999997</v>
      </c>
      <c r="AE11" s="45">
        <v>38.1</v>
      </c>
      <c r="AF11" s="45">
        <v>36</v>
      </c>
      <c r="AG11" s="46">
        <v>86</v>
      </c>
      <c r="AH11" s="47">
        <f t="shared" ref="AH11:AH84" si="2">MAX(B11:AF11)</f>
        <v>38.1</v>
      </c>
      <c r="AI11" s="48">
        <f t="shared" ref="AI11:AI84" si="3">MIN(B11:AF11)</f>
        <v>31.9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</v>
      </c>
      <c r="C12" s="45">
        <v>13</v>
      </c>
      <c r="D12" s="45">
        <v>13</v>
      </c>
      <c r="E12" s="45">
        <v>13</v>
      </c>
      <c r="F12" s="45">
        <v>13</v>
      </c>
      <c r="G12" s="45">
        <v>13</v>
      </c>
      <c r="H12" s="45">
        <v>13</v>
      </c>
      <c r="I12" s="45">
        <v>13</v>
      </c>
      <c r="J12" s="45">
        <v>13</v>
      </c>
      <c r="K12" s="45">
        <v>13</v>
      </c>
      <c r="L12" s="45">
        <v>13</v>
      </c>
      <c r="M12" s="45">
        <v>13</v>
      </c>
      <c r="N12" s="45">
        <v>13</v>
      </c>
      <c r="O12" s="45">
        <v>13</v>
      </c>
      <c r="P12" s="45">
        <v>13</v>
      </c>
      <c r="Q12" s="45">
        <v>13</v>
      </c>
      <c r="R12" s="45">
        <v>13</v>
      </c>
      <c r="S12" s="45">
        <v>13</v>
      </c>
      <c r="T12" s="45">
        <v>13</v>
      </c>
      <c r="U12" s="45">
        <v>13</v>
      </c>
      <c r="V12" s="45">
        <v>13</v>
      </c>
      <c r="W12" s="45">
        <v>13</v>
      </c>
      <c r="X12" s="45">
        <v>13</v>
      </c>
      <c r="Y12" s="45">
        <v>13</v>
      </c>
      <c r="Z12" s="45">
        <v>13</v>
      </c>
      <c r="AA12" s="45">
        <v>13</v>
      </c>
      <c r="AB12" s="45">
        <v>13</v>
      </c>
      <c r="AC12" s="45">
        <v>13</v>
      </c>
      <c r="AD12" s="45">
        <v>13</v>
      </c>
      <c r="AE12" s="45">
        <v>13</v>
      </c>
      <c r="AF12" s="45">
        <v>13</v>
      </c>
      <c r="AG12" s="49">
        <v>54</v>
      </c>
      <c r="AH12" s="47">
        <f t="shared" si="2"/>
        <v>13</v>
      </c>
      <c r="AI12" s="48">
        <f t="shared" si="3"/>
        <v>13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16</v>
      </c>
      <c r="C13" s="45">
        <v>16</v>
      </c>
      <c r="D13" s="45">
        <v>16</v>
      </c>
      <c r="E13" s="45">
        <v>16</v>
      </c>
      <c r="F13" s="45">
        <v>16</v>
      </c>
      <c r="G13" s="45">
        <v>16</v>
      </c>
      <c r="H13" s="45">
        <v>16</v>
      </c>
      <c r="I13" s="45">
        <v>16</v>
      </c>
      <c r="J13" s="45">
        <v>16</v>
      </c>
      <c r="K13" s="45">
        <v>16</v>
      </c>
      <c r="L13" s="45">
        <v>16</v>
      </c>
      <c r="M13" s="45">
        <v>16</v>
      </c>
      <c r="N13" s="45">
        <v>16</v>
      </c>
      <c r="O13" s="45">
        <v>16</v>
      </c>
      <c r="P13" s="45">
        <v>16</v>
      </c>
      <c r="Q13" s="45">
        <v>16</v>
      </c>
      <c r="R13" s="45">
        <v>16</v>
      </c>
      <c r="S13" s="45">
        <v>0</v>
      </c>
      <c r="T13" s="45">
        <v>16</v>
      </c>
      <c r="U13" s="45">
        <v>16</v>
      </c>
      <c r="V13" s="45">
        <v>16</v>
      </c>
      <c r="W13" s="45">
        <v>16</v>
      </c>
      <c r="X13" s="45">
        <v>16</v>
      </c>
      <c r="Y13" s="45">
        <v>16</v>
      </c>
      <c r="Z13" s="45">
        <v>16</v>
      </c>
      <c r="AA13" s="45">
        <v>16</v>
      </c>
      <c r="AB13" s="45">
        <v>16</v>
      </c>
      <c r="AC13" s="45">
        <v>16</v>
      </c>
      <c r="AD13" s="45">
        <v>16</v>
      </c>
      <c r="AE13" s="45">
        <v>16</v>
      </c>
      <c r="AF13" s="45">
        <v>16</v>
      </c>
      <c r="AG13" s="49">
        <v>54</v>
      </c>
      <c r="AH13" s="47">
        <f t="shared" si="2"/>
        <v>16</v>
      </c>
      <c r="AI13" s="48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18</v>
      </c>
      <c r="C14" s="45">
        <v>18</v>
      </c>
      <c r="D14" s="45">
        <v>18</v>
      </c>
      <c r="E14" s="45">
        <v>18</v>
      </c>
      <c r="F14" s="45">
        <v>18</v>
      </c>
      <c r="G14" s="45">
        <v>18</v>
      </c>
      <c r="H14" s="45">
        <v>18</v>
      </c>
      <c r="I14" s="45">
        <v>18</v>
      </c>
      <c r="J14" s="45">
        <v>18</v>
      </c>
      <c r="K14" s="45">
        <v>18</v>
      </c>
      <c r="L14" s="45">
        <v>18</v>
      </c>
      <c r="M14" s="45">
        <v>19</v>
      </c>
      <c r="N14" s="45">
        <v>19</v>
      </c>
      <c r="O14" s="45">
        <v>19</v>
      </c>
      <c r="P14" s="45">
        <v>19</v>
      </c>
      <c r="Q14" s="45">
        <v>19</v>
      </c>
      <c r="R14" s="45">
        <v>19</v>
      </c>
      <c r="S14" s="45">
        <v>19</v>
      </c>
      <c r="T14" s="45">
        <v>19</v>
      </c>
      <c r="U14" s="45">
        <v>19</v>
      </c>
      <c r="V14" s="45">
        <v>19</v>
      </c>
      <c r="W14" s="45">
        <v>19</v>
      </c>
      <c r="X14" s="45">
        <v>19</v>
      </c>
      <c r="Y14" s="45">
        <v>19</v>
      </c>
      <c r="Z14" s="45">
        <v>19</v>
      </c>
      <c r="AA14" s="45">
        <v>19</v>
      </c>
      <c r="AB14" s="45">
        <v>19</v>
      </c>
      <c r="AC14" s="45">
        <v>19</v>
      </c>
      <c r="AD14" s="45">
        <v>19</v>
      </c>
      <c r="AE14" s="45">
        <v>19.2</v>
      </c>
      <c r="AF14" s="45">
        <v>18.899999999999999</v>
      </c>
      <c r="AG14" s="46">
        <v>52.4</v>
      </c>
      <c r="AH14" s="47">
        <f t="shared" si="2"/>
        <v>19.2</v>
      </c>
      <c r="AI14" s="48">
        <f t="shared" si="3"/>
        <v>18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39.4</v>
      </c>
      <c r="C15" s="45">
        <v>39.4</v>
      </c>
      <c r="D15" s="45">
        <v>39.4</v>
      </c>
      <c r="E15" s="45">
        <v>39.4</v>
      </c>
      <c r="F15" s="45">
        <v>39.4</v>
      </c>
      <c r="G15" s="45">
        <v>39.4</v>
      </c>
      <c r="H15" s="45">
        <v>39.4</v>
      </c>
      <c r="I15" s="45">
        <v>39.4</v>
      </c>
      <c r="J15" s="45">
        <v>39.4</v>
      </c>
      <c r="K15" s="45">
        <v>39.4</v>
      </c>
      <c r="L15" s="45">
        <v>39.4</v>
      </c>
      <c r="M15" s="51">
        <v>38.700000000000003</v>
      </c>
      <c r="N15" s="51">
        <v>38.700000000000003</v>
      </c>
      <c r="O15" s="51">
        <v>38.700000000000003</v>
      </c>
      <c r="P15" s="51">
        <v>38.700000000000003</v>
      </c>
      <c r="Q15" s="51">
        <v>38.700000000000003</v>
      </c>
      <c r="R15" s="51">
        <v>38.700000000000003</v>
      </c>
      <c r="S15" s="51">
        <v>42</v>
      </c>
      <c r="T15" s="51">
        <v>42</v>
      </c>
      <c r="U15" s="51">
        <v>40</v>
      </c>
      <c r="V15" s="51">
        <v>40</v>
      </c>
      <c r="W15" s="51">
        <v>40</v>
      </c>
      <c r="X15" s="51">
        <v>40</v>
      </c>
      <c r="Y15" s="51">
        <v>40</v>
      </c>
      <c r="Z15" s="51">
        <v>40</v>
      </c>
      <c r="AA15" s="51">
        <v>40</v>
      </c>
      <c r="AB15" s="51">
        <v>40</v>
      </c>
      <c r="AC15" s="51">
        <v>40</v>
      </c>
      <c r="AD15" s="51">
        <v>40</v>
      </c>
      <c r="AE15" s="51">
        <v>38.700000000000003</v>
      </c>
      <c r="AF15" s="51">
        <v>39.6</v>
      </c>
      <c r="AG15" s="49">
        <v>50</v>
      </c>
      <c r="AH15" s="47">
        <f t="shared" si="2"/>
        <v>42</v>
      </c>
      <c r="AI15" s="48">
        <f t="shared" si="3"/>
        <v>38.700000000000003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19.399999999999999</v>
      </c>
      <c r="C16" s="45">
        <v>19.399999999999999</v>
      </c>
      <c r="D16" s="45">
        <v>19.399999999999999</v>
      </c>
      <c r="E16" s="45">
        <v>19.399999999999999</v>
      </c>
      <c r="F16" s="45">
        <v>19.399999999999999</v>
      </c>
      <c r="G16" s="45">
        <v>19.399999999999999</v>
      </c>
      <c r="H16" s="45">
        <v>19.399999999999999</v>
      </c>
      <c r="I16" s="45">
        <v>19.399999999999999</v>
      </c>
      <c r="J16" s="45">
        <v>19.399999999999999</v>
      </c>
      <c r="K16" s="45">
        <v>19.399999999999999</v>
      </c>
      <c r="L16" s="45">
        <v>19.399999999999999</v>
      </c>
      <c r="M16" s="45">
        <v>19.399999999999999</v>
      </c>
      <c r="N16" s="45">
        <v>19.399999999999999</v>
      </c>
      <c r="O16" s="45">
        <v>19.399999999999999</v>
      </c>
      <c r="P16" s="45">
        <v>19.399999999999999</v>
      </c>
      <c r="Q16" s="45">
        <v>19.399999999999999</v>
      </c>
      <c r="R16" s="45">
        <v>19.399999999999999</v>
      </c>
      <c r="S16" s="45">
        <v>19.399999999999999</v>
      </c>
      <c r="T16" s="45">
        <v>19.399999999999999</v>
      </c>
      <c r="U16" s="45">
        <v>19.399999999999999</v>
      </c>
      <c r="V16" s="45">
        <v>19.399999999999999</v>
      </c>
      <c r="W16" s="45">
        <v>19.399999999999999</v>
      </c>
      <c r="X16" s="45">
        <v>19.399999999999999</v>
      </c>
      <c r="Y16" s="45">
        <v>19.399999999999999</v>
      </c>
      <c r="Z16" s="45">
        <v>19.399999999999999</v>
      </c>
      <c r="AA16" s="45">
        <v>19.399999999999999</v>
      </c>
      <c r="AB16" s="45">
        <v>19.399999999999999</v>
      </c>
      <c r="AC16" s="45">
        <v>19.399999999999999</v>
      </c>
      <c r="AD16" s="45">
        <v>19.399999999999999</v>
      </c>
      <c r="AE16" s="45">
        <v>22.5</v>
      </c>
      <c r="AF16" s="45">
        <v>21.5</v>
      </c>
      <c r="AG16" s="49">
        <v>45</v>
      </c>
      <c r="AH16" s="47">
        <f t="shared" si="2"/>
        <v>22.5</v>
      </c>
      <c r="AI16" s="48">
        <f t="shared" si="3"/>
        <v>19.399999999999999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10</v>
      </c>
      <c r="C18" s="45">
        <v>10</v>
      </c>
      <c r="D18" s="45">
        <v>10</v>
      </c>
      <c r="E18" s="45">
        <v>10</v>
      </c>
      <c r="F18" s="45">
        <v>10</v>
      </c>
      <c r="G18" s="45">
        <v>10</v>
      </c>
      <c r="H18" s="45">
        <v>10</v>
      </c>
      <c r="I18" s="45">
        <v>10</v>
      </c>
      <c r="J18" s="45">
        <v>10</v>
      </c>
      <c r="K18" s="45">
        <v>10</v>
      </c>
      <c r="L18" s="45">
        <v>10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10</v>
      </c>
      <c r="T18" s="45">
        <v>10</v>
      </c>
      <c r="U18" s="45">
        <v>10</v>
      </c>
      <c r="V18" s="45">
        <v>10</v>
      </c>
      <c r="W18" s="45">
        <v>10</v>
      </c>
      <c r="X18" s="45">
        <v>10</v>
      </c>
      <c r="Y18" s="45">
        <v>10</v>
      </c>
      <c r="Z18" s="45">
        <v>10</v>
      </c>
      <c r="AA18" s="45">
        <v>10</v>
      </c>
      <c r="AB18" s="45">
        <v>10</v>
      </c>
      <c r="AC18" s="45">
        <v>10</v>
      </c>
      <c r="AD18" s="45">
        <v>10</v>
      </c>
      <c r="AE18" s="45">
        <v>11</v>
      </c>
      <c r="AF18" s="45">
        <v>11</v>
      </c>
      <c r="AG18" s="49">
        <v>42</v>
      </c>
      <c r="AH18" s="47">
        <f t="shared" si="2"/>
        <v>11</v>
      </c>
      <c r="AI18" s="48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12.5</v>
      </c>
      <c r="C20" s="45">
        <v>12.5</v>
      </c>
      <c r="D20" s="45">
        <v>12.5</v>
      </c>
      <c r="E20" s="45">
        <v>12.5</v>
      </c>
      <c r="F20" s="45">
        <v>12.5</v>
      </c>
      <c r="G20" s="45">
        <v>12.5</v>
      </c>
      <c r="H20" s="45">
        <v>12.5</v>
      </c>
      <c r="I20" s="45">
        <v>12.5</v>
      </c>
      <c r="J20" s="45">
        <v>12.5</v>
      </c>
      <c r="K20" s="45">
        <v>12.5</v>
      </c>
      <c r="L20" s="45">
        <v>12.5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12.5</v>
      </c>
      <c r="T20" s="45">
        <v>12.5</v>
      </c>
      <c r="U20" s="45">
        <v>12.5</v>
      </c>
      <c r="V20" s="45">
        <v>12.5</v>
      </c>
      <c r="W20" s="45">
        <v>12.5</v>
      </c>
      <c r="X20" s="45">
        <v>12.5</v>
      </c>
      <c r="Y20" s="45">
        <v>12.5</v>
      </c>
      <c r="Z20" s="45">
        <v>12.5</v>
      </c>
      <c r="AA20" s="45">
        <v>12.5</v>
      </c>
      <c r="AB20" s="45">
        <v>12.5</v>
      </c>
      <c r="AC20" s="45">
        <v>12.5</v>
      </c>
      <c r="AD20" s="45">
        <v>12.5</v>
      </c>
      <c r="AE20" s="45">
        <v>12.5</v>
      </c>
      <c r="AF20" s="45">
        <v>12.5</v>
      </c>
      <c r="AG20" s="49">
        <v>38.46</v>
      </c>
      <c r="AH20" s="47">
        <f t="shared" si="2"/>
        <v>12.5</v>
      </c>
      <c r="AI20" s="48">
        <f t="shared" si="3"/>
        <v>12.5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11.7</v>
      </c>
      <c r="C22" s="45">
        <v>11.7</v>
      </c>
      <c r="D22" s="45">
        <v>11.7</v>
      </c>
      <c r="E22" s="45">
        <v>11.7</v>
      </c>
      <c r="F22" s="45">
        <v>11.7</v>
      </c>
      <c r="G22" s="45">
        <v>11.7</v>
      </c>
      <c r="H22" s="45">
        <v>11.7</v>
      </c>
      <c r="I22" s="45">
        <v>11.7</v>
      </c>
      <c r="J22" s="45">
        <v>11.7</v>
      </c>
      <c r="K22" s="45">
        <v>11.7</v>
      </c>
      <c r="L22" s="45">
        <v>11.7</v>
      </c>
      <c r="M22" s="45">
        <v>11.7</v>
      </c>
      <c r="N22" s="45">
        <v>11.7</v>
      </c>
      <c r="O22" s="45">
        <v>11.7</v>
      </c>
      <c r="P22" s="45">
        <v>11.7</v>
      </c>
      <c r="Q22" s="45">
        <v>11.7</v>
      </c>
      <c r="R22" s="45">
        <v>11.7</v>
      </c>
      <c r="S22" s="45">
        <v>11.7</v>
      </c>
      <c r="T22" s="45">
        <v>11.7</v>
      </c>
      <c r="U22" s="45">
        <v>11.7</v>
      </c>
      <c r="V22" s="45">
        <v>11.7</v>
      </c>
      <c r="W22" s="45">
        <v>11.7</v>
      </c>
      <c r="X22" s="45">
        <v>11.7</v>
      </c>
      <c r="Y22" s="45">
        <v>11.7</v>
      </c>
      <c r="Z22" s="45">
        <v>11.7</v>
      </c>
      <c r="AA22" s="45">
        <v>11.7</v>
      </c>
      <c r="AB22" s="45">
        <v>11.7</v>
      </c>
      <c r="AC22" s="45">
        <v>11.7</v>
      </c>
      <c r="AD22" s="45">
        <v>11.7</v>
      </c>
      <c r="AE22" s="45">
        <v>11.7</v>
      </c>
      <c r="AF22" s="45">
        <v>11.7</v>
      </c>
      <c r="AG22" s="52">
        <v>30</v>
      </c>
      <c r="AH22" s="47">
        <f t="shared" si="2"/>
        <v>11.7</v>
      </c>
      <c r="AI22" s="48">
        <f t="shared" si="3"/>
        <v>11.7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49">
        <v>24.2</v>
      </c>
      <c r="AH23" s="47">
        <f t="shared" si="2"/>
        <v>10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</v>
      </c>
      <c r="C24" s="45">
        <v>11</v>
      </c>
      <c r="D24" s="45">
        <v>11</v>
      </c>
      <c r="E24" s="45">
        <v>11</v>
      </c>
      <c r="F24" s="45">
        <v>11</v>
      </c>
      <c r="G24" s="45">
        <v>11</v>
      </c>
      <c r="H24" s="45">
        <v>11</v>
      </c>
      <c r="I24" s="45">
        <v>11</v>
      </c>
      <c r="J24" s="45">
        <v>11</v>
      </c>
      <c r="K24" s="45">
        <v>11</v>
      </c>
      <c r="L24" s="45">
        <v>11</v>
      </c>
      <c r="M24" s="45">
        <v>11</v>
      </c>
      <c r="N24" s="45">
        <v>11</v>
      </c>
      <c r="O24" s="45">
        <v>11</v>
      </c>
      <c r="P24" s="45">
        <v>11</v>
      </c>
      <c r="Q24" s="45">
        <v>11</v>
      </c>
      <c r="R24" s="45">
        <v>11</v>
      </c>
      <c r="S24" s="45">
        <v>11</v>
      </c>
      <c r="T24" s="45">
        <v>11</v>
      </c>
      <c r="U24" s="45">
        <v>11</v>
      </c>
      <c r="V24" s="45">
        <v>11</v>
      </c>
      <c r="W24" s="45">
        <v>11</v>
      </c>
      <c r="X24" s="45">
        <v>11</v>
      </c>
      <c r="Y24" s="45">
        <v>11</v>
      </c>
      <c r="Z24" s="45">
        <v>11</v>
      </c>
      <c r="AA24" s="45">
        <v>11</v>
      </c>
      <c r="AB24" s="45">
        <v>11</v>
      </c>
      <c r="AC24" s="45">
        <v>11</v>
      </c>
      <c r="AD24" s="45">
        <v>11</v>
      </c>
      <c r="AE24" s="45">
        <v>11</v>
      </c>
      <c r="AF24" s="45">
        <v>11.4</v>
      </c>
      <c r="AG24" s="49">
        <v>28</v>
      </c>
      <c r="AH24" s="47">
        <f t="shared" si="2"/>
        <v>11.4</v>
      </c>
      <c r="AI24" s="48">
        <f t="shared" si="3"/>
        <v>11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9</v>
      </c>
      <c r="E25" s="45">
        <v>9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9</v>
      </c>
      <c r="N25" s="45">
        <v>9</v>
      </c>
      <c r="O25" s="45">
        <v>9</v>
      </c>
      <c r="P25" s="45">
        <v>9</v>
      </c>
      <c r="Q25" s="45">
        <v>9</v>
      </c>
      <c r="R25" s="45">
        <v>9</v>
      </c>
      <c r="S25" s="45">
        <v>9</v>
      </c>
      <c r="T25" s="45">
        <v>9</v>
      </c>
      <c r="U25" s="45">
        <v>9</v>
      </c>
      <c r="V25" s="45">
        <v>9</v>
      </c>
      <c r="W25" s="45">
        <v>9</v>
      </c>
      <c r="X25" s="45">
        <v>9</v>
      </c>
      <c r="Y25" s="45">
        <v>9</v>
      </c>
      <c r="Z25" s="45">
        <v>9</v>
      </c>
      <c r="AA25" s="45">
        <v>9</v>
      </c>
      <c r="AB25" s="45">
        <v>9</v>
      </c>
      <c r="AC25" s="45">
        <v>9</v>
      </c>
      <c r="AD25" s="45">
        <v>9</v>
      </c>
      <c r="AE25" s="45">
        <v>9</v>
      </c>
      <c r="AF25" s="45">
        <v>9</v>
      </c>
      <c r="AG25" s="52">
        <v>30</v>
      </c>
      <c r="AH25" s="47">
        <f t="shared" si="2"/>
        <v>9</v>
      </c>
      <c r="AI25" s="48">
        <f t="shared" si="3"/>
        <v>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10.9</v>
      </c>
      <c r="C26" s="45">
        <v>10.9</v>
      </c>
      <c r="D26" s="45">
        <v>10.9</v>
      </c>
      <c r="E26" s="45">
        <v>10.9</v>
      </c>
      <c r="F26" s="45">
        <v>10.9</v>
      </c>
      <c r="G26" s="45">
        <v>10.9</v>
      </c>
      <c r="H26" s="45">
        <v>10.9</v>
      </c>
      <c r="I26" s="45">
        <v>10.9</v>
      </c>
      <c r="J26" s="45">
        <v>10.9</v>
      </c>
      <c r="K26" s="45">
        <v>10.9</v>
      </c>
      <c r="L26" s="45">
        <v>10.9</v>
      </c>
      <c r="M26" s="45">
        <v>10.9</v>
      </c>
      <c r="N26" s="45">
        <v>10.9</v>
      </c>
      <c r="O26" s="45">
        <v>10.9</v>
      </c>
      <c r="P26" s="45">
        <v>10.9</v>
      </c>
      <c r="Q26" s="45">
        <v>10.9</v>
      </c>
      <c r="R26" s="45">
        <v>10.9</v>
      </c>
      <c r="S26" s="45">
        <v>10.9</v>
      </c>
      <c r="T26" s="45">
        <v>10.9</v>
      </c>
      <c r="U26" s="45">
        <v>10.9</v>
      </c>
      <c r="V26" s="45">
        <v>10.9</v>
      </c>
      <c r="W26" s="45">
        <v>10.9</v>
      </c>
      <c r="X26" s="45">
        <v>10.9</v>
      </c>
      <c r="Y26" s="45">
        <v>10.9</v>
      </c>
      <c r="Z26" s="45">
        <v>10.9</v>
      </c>
      <c r="AA26" s="45">
        <v>10.9</v>
      </c>
      <c r="AB26" s="45">
        <v>10.9</v>
      </c>
      <c r="AC26" s="45">
        <v>10.9</v>
      </c>
      <c r="AD26" s="45">
        <v>10.9</v>
      </c>
      <c r="AE26" s="45">
        <v>10.9</v>
      </c>
      <c r="AF26" s="45">
        <v>11.3</v>
      </c>
      <c r="AG26" s="49">
        <v>25</v>
      </c>
      <c r="AH26" s="47">
        <f t="shared" si="2"/>
        <v>11.3</v>
      </c>
      <c r="AI26" s="48">
        <f t="shared" si="3"/>
        <v>10.9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10.6</v>
      </c>
      <c r="C29" s="45">
        <v>10.6</v>
      </c>
      <c r="D29" s="45">
        <v>10.6</v>
      </c>
      <c r="E29" s="45">
        <v>10.6</v>
      </c>
      <c r="F29" s="45">
        <v>10.6</v>
      </c>
      <c r="G29" s="45">
        <v>10.6</v>
      </c>
      <c r="H29" s="45">
        <v>10.6</v>
      </c>
      <c r="I29" s="45">
        <v>10.6</v>
      </c>
      <c r="J29" s="45">
        <v>10.6</v>
      </c>
      <c r="K29" s="45">
        <v>10.6</v>
      </c>
      <c r="L29" s="45">
        <v>10.6</v>
      </c>
      <c r="M29" s="45">
        <v>10.6</v>
      </c>
      <c r="N29" s="45">
        <v>10.6</v>
      </c>
      <c r="O29" s="45">
        <v>10.6</v>
      </c>
      <c r="P29" s="45">
        <v>10.6</v>
      </c>
      <c r="Q29" s="45">
        <v>10.6</v>
      </c>
      <c r="R29" s="45">
        <v>10.6</v>
      </c>
      <c r="S29" s="45">
        <v>10.6</v>
      </c>
      <c r="T29" s="45">
        <v>10.6</v>
      </c>
      <c r="U29" s="45">
        <v>10.6</v>
      </c>
      <c r="V29" s="45">
        <v>10.6</v>
      </c>
      <c r="W29" s="45">
        <v>10.6</v>
      </c>
      <c r="X29" s="45">
        <v>10.6</v>
      </c>
      <c r="Y29" s="45">
        <v>10.6</v>
      </c>
      <c r="Z29" s="45">
        <v>10.6</v>
      </c>
      <c r="AA29" s="45">
        <v>10.6</v>
      </c>
      <c r="AB29" s="45">
        <v>10.6</v>
      </c>
      <c r="AC29" s="45">
        <v>10.6</v>
      </c>
      <c r="AD29" s="45">
        <v>10.6</v>
      </c>
      <c r="AE29" s="45">
        <v>11.4</v>
      </c>
      <c r="AF29" s="45">
        <v>10.4</v>
      </c>
      <c r="AG29" s="49">
        <v>25</v>
      </c>
      <c r="AH29" s="47">
        <f t="shared" si="2"/>
        <v>11.4</v>
      </c>
      <c r="AI29" s="48">
        <f t="shared" si="3"/>
        <v>10.4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</v>
      </c>
      <c r="C30" s="45">
        <v>10</v>
      </c>
      <c r="D30" s="45">
        <v>10</v>
      </c>
      <c r="E30" s="45">
        <v>10</v>
      </c>
      <c r="F30" s="45">
        <v>10</v>
      </c>
      <c r="G30" s="45">
        <v>10</v>
      </c>
      <c r="H30" s="45">
        <v>10</v>
      </c>
      <c r="I30" s="45">
        <v>10</v>
      </c>
      <c r="J30" s="45">
        <v>10</v>
      </c>
      <c r="K30" s="45">
        <v>10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10</v>
      </c>
      <c r="R30" s="45">
        <v>10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10</v>
      </c>
      <c r="AE30" s="45">
        <v>10.1</v>
      </c>
      <c r="AF30" s="45">
        <v>11.4</v>
      </c>
      <c r="AG30" s="49">
        <v>23.5</v>
      </c>
      <c r="AH30" s="47">
        <f t="shared" si="2"/>
        <v>11.4</v>
      </c>
      <c r="AI30" s="48">
        <f t="shared" si="3"/>
        <v>10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6.26</v>
      </c>
      <c r="C33" s="45">
        <v>6.26</v>
      </c>
      <c r="D33" s="45">
        <v>6.26</v>
      </c>
      <c r="E33" s="45">
        <v>6.26</v>
      </c>
      <c r="F33" s="45">
        <v>6.26</v>
      </c>
      <c r="G33" s="45">
        <v>6.26</v>
      </c>
      <c r="H33" s="45">
        <v>6.26</v>
      </c>
      <c r="I33" s="45">
        <v>6.26</v>
      </c>
      <c r="J33" s="45">
        <v>6.26</v>
      </c>
      <c r="K33" s="45">
        <v>6.26</v>
      </c>
      <c r="L33" s="45">
        <v>6.26</v>
      </c>
      <c r="M33" s="45">
        <v>6.26</v>
      </c>
      <c r="N33" s="45">
        <v>6.26</v>
      </c>
      <c r="O33" s="45">
        <v>6.26</v>
      </c>
      <c r="P33" s="45">
        <v>6.26</v>
      </c>
      <c r="Q33" s="45">
        <v>6.26</v>
      </c>
      <c r="R33" s="45">
        <v>6.26</v>
      </c>
      <c r="S33" s="45">
        <v>6.26</v>
      </c>
      <c r="T33" s="45">
        <v>6.26</v>
      </c>
      <c r="U33" s="45">
        <v>6.26</v>
      </c>
      <c r="V33" s="45">
        <v>6.26</v>
      </c>
      <c r="W33" s="45">
        <v>6.26</v>
      </c>
      <c r="X33" s="45">
        <v>6.26</v>
      </c>
      <c r="Y33" s="45">
        <v>6.26</v>
      </c>
      <c r="Z33" s="45">
        <v>6.26</v>
      </c>
      <c r="AA33" s="45">
        <v>6.26</v>
      </c>
      <c r="AB33" s="45">
        <v>6.26</v>
      </c>
      <c r="AC33" s="45">
        <v>6.26</v>
      </c>
      <c r="AD33" s="45">
        <v>6.26</v>
      </c>
      <c r="AE33" s="45">
        <v>6.26</v>
      </c>
      <c r="AF33" s="45">
        <v>6.26</v>
      </c>
      <c r="AG33" s="49">
        <v>22</v>
      </c>
      <c r="AH33" s="47">
        <f t="shared" si="2"/>
        <v>6.26</v>
      </c>
      <c r="AI33" s="48">
        <f t="shared" si="3"/>
        <v>6.26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7.7</v>
      </c>
      <c r="C34" s="45">
        <v>7.7</v>
      </c>
      <c r="D34" s="45">
        <v>7.7</v>
      </c>
      <c r="E34" s="45">
        <v>7.7</v>
      </c>
      <c r="F34" s="45">
        <v>7.7</v>
      </c>
      <c r="G34" s="45">
        <v>7.7</v>
      </c>
      <c r="H34" s="45">
        <v>7.7</v>
      </c>
      <c r="I34" s="45">
        <v>7.7</v>
      </c>
      <c r="J34" s="45">
        <v>7.7</v>
      </c>
      <c r="K34" s="45">
        <v>7.7</v>
      </c>
      <c r="L34" s="45">
        <v>7.7</v>
      </c>
      <c r="M34" s="45">
        <v>7.7</v>
      </c>
      <c r="N34" s="45">
        <v>7.7</v>
      </c>
      <c r="O34" s="45">
        <v>7.7</v>
      </c>
      <c r="P34" s="45">
        <v>7.7</v>
      </c>
      <c r="Q34" s="45">
        <v>7.7</v>
      </c>
      <c r="R34" s="45">
        <v>7.7</v>
      </c>
      <c r="S34" s="45">
        <v>7.7</v>
      </c>
      <c r="T34" s="45">
        <v>7.7</v>
      </c>
      <c r="U34" s="45">
        <v>7.7</v>
      </c>
      <c r="V34" s="45">
        <v>7.7</v>
      </c>
      <c r="W34" s="45">
        <v>7.7</v>
      </c>
      <c r="X34" s="45">
        <v>7.7</v>
      </c>
      <c r="Y34" s="45">
        <v>7.7</v>
      </c>
      <c r="Z34" s="45">
        <v>7.7</v>
      </c>
      <c r="AA34" s="45">
        <v>7.7</v>
      </c>
      <c r="AB34" s="45">
        <v>7.7</v>
      </c>
      <c r="AC34" s="45">
        <v>7.7</v>
      </c>
      <c r="AD34" s="45">
        <v>7.7</v>
      </c>
      <c r="AE34" s="45">
        <v>11</v>
      </c>
      <c r="AF34" s="45">
        <v>11.2</v>
      </c>
      <c r="AG34" s="49">
        <v>22</v>
      </c>
      <c r="AH34" s="47">
        <f t="shared" si="2"/>
        <v>11.2</v>
      </c>
      <c r="AI34" s="48">
        <f t="shared" si="3"/>
        <v>7.7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6.8</v>
      </c>
      <c r="O36" s="45">
        <v>6.8</v>
      </c>
      <c r="P36" s="45">
        <v>6.8</v>
      </c>
      <c r="Q36" s="45">
        <v>6.8</v>
      </c>
      <c r="R36" s="45">
        <v>6.8</v>
      </c>
      <c r="S36" s="45">
        <v>6.8</v>
      </c>
      <c r="T36" s="45">
        <v>6.8</v>
      </c>
      <c r="U36" s="45">
        <v>6.8</v>
      </c>
      <c r="V36" s="45">
        <v>6.8</v>
      </c>
      <c r="W36" s="45">
        <v>6.8</v>
      </c>
      <c r="X36" s="45">
        <v>6.8</v>
      </c>
      <c r="Y36" s="45">
        <v>6.8</v>
      </c>
      <c r="Z36" s="45">
        <v>6.8</v>
      </c>
      <c r="AA36" s="45">
        <v>6.8</v>
      </c>
      <c r="AB36" s="45">
        <v>6.8</v>
      </c>
      <c r="AC36" s="45">
        <v>6.8</v>
      </c>
      <c r="AD36" s="45">
        <v>6.8</v>
      </c>
      <c r="AE36" s="45">
        <v>6.8</v>
      </c>
      <c r="AF36" s="45">
        <v>6.8</v>
      </c>
      <c r="AG36" s="49">
        <v>20</v>
      </c>
      <c r="AH36" s="47">
        <f t="shared" si="2"/>
        <v>6.8</v>
      </c>
      <c r="AI36" s="48">
        <f t="shared" si="3"/>
        <v>6.8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11</v>
      </c>
      <c r="T45" s="45">
        <v>11</v>
      </c>
      <c r="U45" s="45">
        <v>11</v>
      </c>
      <c r="V45" s="45">
        <v>11</v>
      </c>
      <c r="W45" s="45">
        <v>11</v>
      </c>
      <c r="X45" s="45">
        <v>11</v>
      </c>
      <c r="Y45" s="45">
        <v>11</v>
      </c>
      <c r="Z45" s="45">
        <v>11</v>
      </c>
      <c r="AA45" s="45">
        <v>11</v>
      </c>
      <c r="AB45" s="45">
        <v>11</v>
      </c>
      <c r="AC45" s="45">
        <v>11</v>
      </c>
      <c r="AD45" s="45">
        <v>11</v>
      </c>
      <c r="AE45" s="45">
        <v>11</v>
      </c>
      <c r="AF45" s="45">
        <v>11</v>
      </c>
      <c r="AG45" s="49">
        <v>12</v>
      </c>
      <c r="AH45" s="47">
        <f t="shared" si="2"/>
        <v>11</v>
      </c>
      <c r="AI45" s="48">
        <f t="shared" si="3"/>
        <v>11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v>26.4</v>
      </c>
      <c r="C57" s="57">
        <v>26.4</v>
      </c>
      <c r="D57" s="57">
        <v>26.4</v>
      </c>
      <c r="E57" s="57">
        <v>26.4</v>
      </c>
      <c r="F57" s="57">
        <v>26.4</v>
      </c>
      <c r="G57" s="57">
        <v>26.4</v>
      </c>
      <c r="H57" s="57">
        <v>31.2</v>
      </c>
      <c r="I57" s="57">
        <v>31.2</v>
      </c>
      <c r="J57" s="57">
        <v>31.2</v>
      </c>
      <c r="K57" s="57">
        <v>31.2</v>
      </c>
      <c r="L57" s="57">
        <v>31.2</v>
      </c>
      <c r="M57" s="57">
        <v>27.6</v>
      </c>
      <c r="N57" s="57">
        <v>27.6</v>
      </c>
      <c r="O57" s="57">
        <v>27.6</v>
      </c>
      <c r="P57" s="57">
        <v>27.6</v>
      </c>
      <c r="Q57" s="57">
        <v>27.6</v>
      </c>
      <c r="R57" s="57">
        <v>27.6</v>
      </c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>
        <f>7+21</f>
        <v>28</v>
      </c>
      <c r="AF57" s="57">
        <f>8.1+23.1</f>
        <v>31.200000000000003</v>
      </c>
      <c r="AG57" s="55">
        <v>240</v>
      </c>
      <c r="AH57" s="47">
        <f t="shared" si="2"/>
        <v>31.200000000000003</v>
      </c>
      <c r="AI57" s="48">
        <f t="shared" si="3"/>
        <v>26.4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608.6</v>
      </c>
      <c r="C58" s="60">
        <f t="shared" si="4"/>
        <v>608.6</v>
      </c>
      <c r="D58" s="60">
        <f t="shared" ref="D58:E58" si="5">SUM(D11:D56)</f>
        <v>608.6</v>
      </c>
      <c r="E58" s="60">
        <f t="shared" si="5"/>
        <v>608.6</v>
      </c>
      <c r="F58" s="60">
        <f t="shared" ref="F58:G58" si="6">SUM(F11:F56)</f>
        <v>608.6</v>
      </c>
      <c r="G58" s="60">
        <f t="shared" si="6"/>
        <v>608.6</v>
      </c>
      <c r="H58" s="60">
        <f t="shared" ref="H58:I58" si="7">SUM(H11:H56)</f>
        <v>608.6</v>
      </c>
      <c r="I58" s="60">
        <f t="shared" si="7"/>
        <v>608.6</v>
      </c>
      <c r="J58" s="60">
        <f t="shared" ref="J58:K58" si="8">SUM(J11:J56)</f>
        <v>608.6</v>
      </c>
      <c r="K58" s="60">
        <f t="shared" si="8"/>
        <v>608.6</v>
      </c>
      <c r="L58" s="60">
        <f t="shared" ref="L58" si="9">SUM(L11:L56)</f>
        <v>608.6</v>
      </c>
      <c r="M58" s="60">
        <f t="shared" ref="M58:AF58" si="10">SUM(M11:M56)</f>
        <v>613</v>
      </c>
      <c r="N58" s="60">
        <f t="shared" si="10"/>
        <v>613</v>
      </c>
      <c r="O58" s="60">
        <f t="shared" si="10"/>
        <v>613</v>
      </c>
      <c r="P58" s="60">
        <f t="shared" si="10"/>
        <v>613</v>
      </c>
      <c r="Q58" s="60">
        <f t="shared" si="10"/>
        <v>613</v>
      </c>
      <c r="R58" s="60">
        <f t="shared" si="10"/>
        <v>613</v>
      </c>
      <c r="S58" s="60">
        <f t="shared" si="10"/>
        <v>600.29999999999995</v>
      </c>
      <c r="T58" s="60">
        <f t="shared" si="10"/>
        <v>616.29999999999995</v>
      </c>
      <c r="U58" s="60">
        <f t="shared" si="10"/>
        <v>613.6</v>
      </c>
      <c r="V58" s="60">
        <f t="shared" si="10"/>
        <v>613.6</v>
      </c>
      <c r="W58" s="60">
        <f t="shared" si="10"/>
        <v>613.6</v>
      </c>
      <c r="X58" s="60">
        <f t="shared" si="10"/>
        <v>613.6</v>
      </c>
      <c r="Y58" s="60">
        <f t="shared" si="10"/>
        <v>613.6</v>
      </c>
      <c r="Z58" s="60">
        <f t="shared" si="10"/>
        <v>613.6</v>
      </c>
      <c r="AA58" s="60">
        <f t="shared" si="10"/>
        <v>613.6</v>
      </c>
      <c r="AB58" s="60">
        <f t="shared" si="10"/>
        <v>613.6</v>
      </c>
      <c r="AC58" s="60">
        <f t="shared" si="10"/>
        <v>613.6</v>
      </c>
      <c r="AD58" s="60">
        <f t="shared" si="10"/>
        <v>613.6</v>
      </c>
      <c r="AE58" s="60">
        <f t="shared" ref="AE58" si="11">SUM(AE11:AE56)</f>
        <v>623.6</v>
      </c>
      <c r="AF58" s="60">
        <f t="shared" si="10"/>
        <v>622.4</v>
      </c>
      <c r="AG58" s="61">
        <f>SUM(AG14:AG56)</f>
        <v>1042.4000000000001</v>
      </c>
      <c r="AH58" s="47">
        <f t="shared" si="2"/>
        <v>623.6</v>
      </c>
      <c r="AI58" s="48">
        <f t="shared" si="3"/>
        <v>600.29999999999995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50</v>
      </c>
      <c r="I59" s="45">
        <v>25</v>
      </c>
      <c r="J59" s="45">
        <v>60</v>
      </c>
      <c r="K59" s="45">
        <v>65</v>
      </c>
      <c r="L59" s="45">
        <v>345</v>
      </c>
      <c r="M59" s="45">
        <v>425</v>
      </c>
      <c r="N59" s="45">
        <v>440</v>
      </c>
      <c r="O59" s="63">
        <v>400</v>
      </c>
      <c r="P59" s="63">
        <v>105</v>
      </c>
      <c r="Q59" s="63">
        <v>90</v>
      </c>
      <c r="R59" s="63">
        <v>40</v>
      </c>
      <c r="S59" s="45">
        <v>0</v>
      </c>
      <c r="T59" s="45">
        <v>0</v>
      </c>
      <c r="U59" s="45">
        <v>0</v>
      </c>
      <c r="V59" s="45">
        <v>120</v>
      </c>
      <c r="W59" s="45">
        <v>220</v>
      </c>
      <c r="X59" s="45">
        <v>370</v>
      </c>
      <c r="Y59" s="45">
        <v>320</v>
      </c>
      <c r="Z59" s="45">
        <v>170</v>
      </c>
      <c r="AA59" s="45">
        <v>120</v>
      </c>
      <c r="AB59" s="45">
        <v>70</v>
      </c>
      <c r="AC59" s="45">
        <v>110</v>
      </c>
      <c r="AD59" s="45">
        <v>100</v>
      </c>
      <c r="AE59" s="45">
        <v>80</v>
      </c>
      <c r="AF59" s="45">
        <v>0</v>
      </c>
      <c r="AG59" s="52">
        <v>456</v>
      </c>
      <c r="AH59" s="47">
        <f t="shared" si="2"/>
        <v>440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37</v>
      </c>
      <c r="C60" s="65">
        <v>37</v>
      </c>
      <c r="D60" s="65">
        <v>37</v>
      </c>
      <c r="E60" s="65">
        <v>37</v>
      </c>
      <c r="F60" s="65">
        <v>37</v>
      </c>
      <c r="G60" s="65">
        <v>37</v>
      </c>
      <c r="H60" s="65">
        <v>37</v>
      </c>
      <c r="I60" s="65">
        <v>37</v>
      </c>
      <c r="J60" s="65">
        <v>37</v>
      </c>
      <c r="K60" s="65">
        <v>37</v>
      </c>
      <c r="L60" s="65">
        <v>37</v>
      </c>
      <c r="M60" s="65">
        <v>37</v>
      </c>
      <c r="N60" s="65">
        <v>37</v>
      </c>
      <c r="O60" s="65">
        <v>37</v>
      </c>
      <c r="P60" s="65">
        <v>37</v>
      </c>
      <c r="Q60" s="65">
        <v>37</v>
      </c>
      <c r="R60" s="65">
        <v>37</v>
      </c>
      <c r="S60" s="65">
        <v>37</v>
      </c>
      <c r="T60" s="65">
        <v>37</v>
      </c>
      <c r="U60" s="65">
        <v>37</v>
      </c>
      <c r="V60" s="65">
        <v>37</v>
      </c>
      <c r="W60" s="65">
        <v>37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37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11.2</v>
      </c>
      <c r="C61" s="67">
        <v>11.2</v>
      </c>
      <c r="D61" s="67">
        <v>11.2</v>
      </c>
      <c r="E61" s="67">
        <v>11.2</v>
      </c>
      <c r="F61" s="67">
        <v>11.2</v>
      </c>
      <c r="G61" s="67">
        <v>11.2</v>
      </c>
      <c r="H61" s="67">
        <v>11.2</v>
      </c>
      <c r="I61" s="67">
        <v>11.2</v>
      </c>
      <c r="J61" s="67">
        <v>11.2</v>
      </c>
      <c r="K61" s="67">
        <v>11.2</v>
      </c>
      <c r="L61" s="67">
        <v>11.2</v>
      </c>
      <c r="M61" s="67">
        <v>12.2</v>
      </c>
      <c r="N61" s="67">
        <v>12.2</v>
      </c>
      <c r="O61" s="67">
        <v>12.2</v>
      </c>
      <c r="P61" s="67">
        <v>12.2</v>
      </c>
      <c r="Q61" s="67">
        <v>9.8000000000000007</v>
      </c>
      <c r="R61" s="67">
        <v>9.8000000000000007</v>
      </c>
      <c r="S61" s="67">
        <v>11.2</v>
      </c>
      <c r="T61" s="67">
        <v>13.2</v>
      </c>
      <c r="U61" s="67">
        <v>14.2</v>
      </c>
      <c r="V61" s="67">
        <v>14.1</v>
      </c>
      <c r="W61" s="67">
        <v>14.1</v>
      </c>
      <c r="X61" s="67">
        <v>15.9</v>
      </c>
      <c r="Y61" s="67">
        <v>20</v>
      </c>
      <c r="Z61" s="67">
        <v>20</v>
      </c>
      <c r="AA61" s="67">
        <v>20</v>
      </c>
      <c r="AB61" s="67">
        <v>20</v>
      </c>
      <c r="AC61" s="67">
        <v>20</v>
      </c>
      <c r="AD61" s="67">
        <v>20</v>
      </c>
      <c r="AE61" s="67">
        <v>13.7</v>
      </c>
      <c r="AF61" s="67">
        <v>13.7</v>
      </c>
      <c r="AG61" s="68">
        <v>22.1</v>
      </c>
      <c r="AH61" s="47">
        <f t="shared" si="2"/>
        <v>20</v>
      </c>
      <c r="AI61" s="48">
        <f t="shared" si="3"/>
        <v>9.8000000000000007</v>
      </c>
      <c r="AK61" s="50"/>
    </row>
    <row r="62" spans="1:88" ht="15.75" thickBot="1" x14ac:dyDescent="0.3">
      <c r="A62" s="69" t="s">
        <v>62</v>
      </c>
      <c r="B62" s="60">
        <f t="shared" ref="B62:C62" si="12">SUM(B59:B61)</f>
        <v>48.2</v>
      </c>
      <c r="C62" s="60">
        <f t="shared" si="12"/>
        <v>48.2</v>
      </c>
      <c r="D62" s="60">
        <f t="shared" ref="D62:E62" si="13">SUM(D59:D61)</f>
        <v>48.2</v>
      </c>
      <c r="E62" s="60">
        <f t="shared" si="13"/>
        <v>48.2</v>
      </c>
      <c r="F62" s="60">
        <f t="shared" ref="F62:G62" si="14">SUM(F59:F61)</f>
        <v>48.2</v>
      </c>
      <c r="G62" s="60">
        <f t="shared" si="14"/>
        <v>48.2</v>
      </c>
      <c r="H62" s="60">
        <f t="shared" ref="H62:I62" si="15">SUM(H59:H61)</f>
        <v>98.2</v>
      </c>
      <c r="I62" s="60">
        <f t="shared" si="15"/>
        <v>73.2</v>
      </c>
      <c r="J62" s="60">
        <f t="shared" ref="J62:K62" si="16">SUM(J59:J61)</f>
        <v>108.2</v>
      </c>
      <c r="K62" s="60">
        <f t="shared" si="16"/>
        <v>113.2</v>
      </c>
      <c r="L62" s="60">
        <f t="shared" ref="L62" si="17">SUM(L59:L61)</f>
        <v>393.2</v>
      </c>
      <c r="M62" s="60">
        <f t="shared" ref="M62:AG62" si="18">SUM(M59:M61)</f>
        <v>474.2</v>
      </c>
      <c r="N62" s="60">
        <f t="shared" si="18"/>
        <v>489.2</v>
      </c>
      <c r="O62" s="60">
        <f t="shared" si="18"/>
        <v>449.2</v>
      </c>
      <c r="P62" s="60">
        <f t="shared" si="18"/>
        <v>154.19999999999999</v>
      </c>
      <c r="Q62" s="60">
        <f t="shared" si="18"/>
        <v>136.80000000000001</v>
      </c>
      <c r="R62" s="60">
        <f t="shared" si="18"/>
        <v>86.8</v>
      </c>
      <c r="S62" s="60">
        <f t="shared" si="18"/>
        <v>48.2</v>
      </c>
      <c r="T62" s="60">
        <f t="shared" si="18"/>
        <v>50.2</v>
      </c>
      <c r="U62" s="60">
        <f t="shared" si="18"/>
        <v>51.2</v>
      </c>
      <c r="V62" s="60">
        <f t="shared" si="18"/>
        <v>171.1</v>
      </c>
      <c r="W62" s="60">
        <f t="shared" si="18"/>
        <v>271.10000000000002</v>
      </c>
      <c r="X62" s="60">
        <f t="shared" si="18"/>
        <v>421.9</v>
      </c>
      <c r="Y62" s="60">
        <f t="shared" si="18"/>
        <v>376</v>
      </c>
      <c r="Z62" s="60">
        <f t="shared" si="18"/>
        <v>226</v>
      </c>
      <c r="AA62" s="60">
        <f t="shared" si="18"/>
        <v>176</v>
      </c>
      <c r="AB62" s="60">
        <f t="shared" si="18"/>
        <v>126</v>
      </c>
      <c r="AC62" s="60">
        <f t="shared" si="18"/>
        <v>166</v>
      </c>
      <c r="AD62" s="60">
        <f t="shared" si="18"/>
        <v>156</v>
      </c>
      <c r="AE62" s="60">
        <f t="shared" ref="AE62" si="19">SUM(AE59:AE61)</f>
        <v>129.69999999999999</v>
      </c>
      <c r="AF62" s="60">
        <f t="shared" si="18"/>
        <v>49.7</v>
      </c>
      <c r="AG62" s="61">
        <f t="shared" si="18"/>
        <v>538.1</v>
      </c>
      <c r="AH62" s="47">
        <f t="shared" si="2"/>
        <v>489.2</v>
      </c>
      <c r="AI62" s="48">
        <f t="shared" si="3"/>
        <v>48.2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28.7</v>
      </c>
      <c r="J63" s="45">
        <v>89.1</v>
      </c>
      <c r="K63" s="45">
        <v>130.69999999999999</v>
      </c>
      <c r="L63" s="45">
        <v>144.9</v>
      </c>
      <c r="M63" s="45">
        <v>145.80000000000001</v>
      </c>
      <c r="N63" s="45">
        <v>145.80000000000001</v>
      </c>
      <c r="O63" s="45">
        <v>145.80000000000001</v>
      </c>
      <c r="P63" s="45">
        <v>135</v>
      </c>
      <c r="Q63" s="45">
        <v>106.2</v>
      </c>
      <c r="R63" s="45">
        <v>81.5</v>
      </c>
      <c r="S63" s="45">
        <v>48.7</v>
      </c>
      <c r="T63" s="45">
        <v>61.4</v>
      </c>
      <c r="U63" s="45">
        <v>58.3</v>
      </c>
      <c r="V63" s="45">
        <v>121.7</v>
      </c>
      <c r="W63" s="45">
        <v>142.19999999999999</v>
      </c>
      <c r="X63" s="45">
        <v>142.1</v>
      </c>
      <c r="Y63" s="45">
        <v>142.1</v>
      </c>
      <c r="Z63" s="45">
        <v>140.19999999999999</v>
      </c>
      <c r="AA63" s="45">
        <v>140.19999999999999</v>
      </c>
      <c r="AB63" s="45">
        <v>61</v>
      </c>
      <c r="AC63" s="45">
        <v>81</v>
      </c>
      <c r="AD63" s="45">
        <v>67</v>
      </c>
      <c r="AE63" s="45">
        <v>0</v>
      </c>
      <c r="AF63" s="45">
        <v>0</v>
      </c>
      <c r="AG63" s="52">
        <v>144</v>
      </c>
      <c r="AH63" s="47">
        <f t="shared" si="2"/>
        <v>145.80000000000001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25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48.5</v>
      </c>
      <c r="I64" s="65">
        <v>48.5</v>
      </c>
      <c r="J64" s="65">
        <v>50.4</v>
      </c>
      <c r="K64" s="65">
        <v>70.400000000000006</v>
      </c>
      <c r="L64" s="65">
        <v>70.400000000000006</v>
      </c>
      <c r="M64" s="65">
        <v>69</v>
      </c>
      <c r="N64" s="65">
        <v>59.4</v>
      </c>
      <c r="O64" s="65">
        <v>59.4</v>
      </c>
      <c r="P64" s="65">
        <v>54.6</v>
      </c>
      <c r="Q64" s="65">
        <v>24.7</v>
      </c>
      <c r="R64" s="65">
        <v>24.7</v>
      </c>
      <c r="S64" s="45">
        <v>34.700000000000003</v>
      </c>
      <c r="T64" s="45">
        <v>35.5</v>
      </c>
      <c r="U64" s="45">
        <v>23.6</v>
      </c>
      <c r="V64" s="45">
        <v>69.8</v>
      </c>
      <c r="W64" s="45">
        <v>69.5</v>
      </c>
      <c r="X64" s="45">
        <v>69.599999999999994</v>
      </c>
      <c r="Y64" s="45">
        <v>69.599999999999994</v>
      </c>
      <c r="Z64" s="45">
        <v>69</v>
      </c>
      <c r="AA64" s="45">
        <v>60</v>
      </c>
      <c r="AB64" s="45">
        <v>45.9</v>
      </c>
      <c r="AC64" s="45">
        <v>45.9</v>
      </c>
      <c r="AD64" s="45">
        <v>24.9</v>
      </c>
      <c r="AE64" s="45">
        <v>24.8</v>
      </c>
      <c r="AF64" s="45">
        <v>26.6</v>
      </c>
      <c r="AG64" s="55">
        <v>70</v>
      </c>
      <c r="AH64" s="47">
        <f t="shared" si="2"/>
        <v>70.400000000000006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33</v>
      </c>
      <c r="C65" s="65">
        <v>0</v>
      </c>
      <c r="D65" s="65">
        <v>0</v>
      </c>
      <c r="E65" s="65">
        <v>18.100000000000001</v>
      </c>
      <c r="F65" s="65">
        <v>18.100000000000001</v>
      </c>
      <c r="G65" s="65">
        <v>18.100000000000001</v>
      </c>
      <c r="H65" s="65">
        <v>21.8</v>
      </c>
      <c r="I65" s="65">
        <v>17.100000000000001</v>
      </c>
      <c r="J65" s="65">
        <v>34.6</v>
      </c>
      <c r="K65" s="65">
        <v>64.7</v>
      </c>
      <c r="L65" s="65">
        <v>64.7</v>
      </c>
      <c r="M65" s="65">
        <v>68.400000000000006</v>
      </c>
      <c r="N65" s="65">
        <v>68.400000000000006</v>
      </c>
      <c r="O65" s="65">
        <v>68.400000000000006</v>
      </c>
      <c r="P65" s="65">
        <v>68.400000000000006</v>
      </c>
      <c r="Q65" s="65">
        <v>44.7</v>
      </c>
      <c r="R65" s="65">
        <v>44.7</v>
      </c>
      <c r="S65" s="45">
        <v>43.5</v>
      </c>
      <c r="T65" s="45">
        <v>46.1</v>
      </c>
      <c r="U65" s="45">
        <v>45.1</v>
      </c>
      <c r="V65" s="45">
        <v>66.900000000000006</v>
      </c>
      <c r="W65" s="45">
        <v>67.7</v>
      </c>
      <c r="X65" s="45">
        <v>66.5</v>
      </c>
      <c r="Y65" s="45">
        <v>66.5</v>
      </c>
      <c r="Z65" s="45">
        <v>66.8</v>
      </c>
      <c r="AA65" s="45">
        <v>66.8</v>
      </c>
      <c r="AB65" s="45">
        <v>66.8</v>
      </c>
      <c r="AC65" s="45">
        <v>66.8</v>
      </c>
      <c r="AD65" s="45">
        <v>35.6</v>
      </c>
      <c r="AE65" s="45">
        <v>35.700000000000003</v>
      </c>
      <c r="AF65" s="45">
        <v>16</v>
      </c>
      <c r="AG65" s="55">
        <v>69</v>
      </c>
      <c r="AH65" s="47">
        <f t="shared" si="2"/>
        <v>68.400000000000006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55</v>
      </c>
      <c r="C66" s="65">
        <v>55</v>
      </c>
      <c r="D66" s="65">
        <v>55</v>
      </c>
      <c r="E66" s="65">
        <v>55</v>
      </c>
      <c r="F66" s="65">
        <v>55</v>
      </c>
      <c r="G66" s="65">
        <v>55</v>
      </c>
      <c r="H66" s="65">
        <v>55</v>
      </c>
      <c r="I66" s="65">
        <v>55</v>
      </c>
      <c r="J66" s="65">
        <v>55</v>
      </c>
      <c r="K66" s="65">
        <v>55</v>
      </c>
      <c r="L66" s="65">
        <v>55</v>
      </c>
      <c r="M66" s="65">
        <v>51.1</v>
      </c>
      <c r="N66" s="65">
        <v>51.1</v>
      </c>
      <c r="O66" s="65">
        <v>51.1</v>
      </c>
      <c r="P66" s="65">
        <v>51.1</v>
      </c>
      <c r="Q66" s="65">
        <v>49.1</v>
      </c>
      <c r="R66" s="65">
        <v>49.1</v>
      </c>
      <c r="S66" s="45">
        <v>48.1</v>
      </c>
      <c r="T66" s="45">
        <v>48.1</v>
      </c>
      <c r="U66" s="45">
        <v>47.1</v>
      </c>
      <c r="V66" s="45">
        <v>45.3</v>
      </c>
      <c r="W66" s="45">
        <v>45.3</v>
      </c>
      <c r="X66" s="45">
        <v>48.3</v>
      </c>
      <c r="Y66" s="45">
        <v>48.3</v>
      </c>
      <c r="Z66" s="45">
        <v>51.9</v>
      </c>
      <c r="AA66" s="45">
        <v>51.9</v>
      </c>
      <c r="AB66" s="45">
        <v>51.9</v>
      </c>
      <c r="AC66" s="45">
        <v>51.9</v>
      </c>
      <c r="AD66" s="45">
        <v>51.9</v>
      </c>
      <c r="AE66" s="45">
        <v>54.4</v>
      </c>
      <c r="AF66" s="45">
        <v>52.4</v>
      </c>
      <c r="AG66" s="55">
        <v>60</v>
      </c>
      <c r="AH66" s="47">
        <f t="shared" si="2"/>
        <v>55</v>
      </c>
      <c r="AI66" s="48">
        <f t="shared" si="3"/>
        <v>45.3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29</v>
      </c>
      <c r="K67" s="65">
        <v>29</v>
      </c>
      <c r="L67" s="65">
        <v>29</v>
      </c>
      <c r="M67" s="65">
        <v>28</v>
      </c>
      <c r="N67" s="65">
        <v>15</v>
      </c>
      <c r="O67" s="65">
        <v>15</v>
      </c>
      <c r="P67" s="65">
        <v>0</v>
      </c>
      <c r="Q67" s="65">
        <v>0</v>
      </c>
      <c r="R67" s="65">
        <v>0</v>
      </c>
      <c r="S67" s="65">
        <v>10</v>
      </c>
      <c r="T67" s="45">
        <v>10</v>
      </c>
      <c r="U67" s="45">
        <v>0</v>
      </c>
      <c r="V67" s="45">
        <v>0</v>
      </c>
      <c r="W67" s="45">
        <v>23</v>
      </c>
      <c r="X67" s="45">
        <v>29</v>
      </c>
      <c r="Y67" s="45">
        <v>29</v>
      </c>
      <c r="Z67" s="45">
        <v>29</v>
      </c>
      <c r="AA67" s="45">
        <v>29</v>
      </c>
      <c r="AB67" s="45">
        <v>23</v>
      </c>
      <c r="AC67" s="45">
        <v>23</v>
      </c>
      <c r="AD67" s="45">
        <v>15</v>
      </c>
      <c r="AE67" s="45">
        <v>10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1</v>
      </c>
      <c r="M68" s="65">
        <v>1.6</v>
      </c>
      <c r="N68" s="65">
        <v>4.2</v>
      </c>
      <c r="O68" s="65">
        <v>11.6</v>
      </c>
      <c r="P68" s="65">
        <v>15.4</v>
      </c>
      <c r="Q68" s="65">
        <v>16.5</v>
      </c>
      <c r="R68" s="65">
        <v>15.7</v>
      </c>
      <c r="S68" s="65">
        <v>15.7</v>
      </c>
      <c r="T68" s="65">
        <v>10</v>
      </c>
      <c r="U68" s="45">
        <v>2.6</v>
      </c>
      <c r="V68" s="45">
        <v>0.2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16.5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16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11.9</v>
      </c>
      <c r="C71" s="65">
        <v>11.9</v>
      </c>
      <c r="D71" s="65">
        <v>11.9</v>
      </c>
      <c r="E71" s="65">
        <v>11.9</v>
      </c>
      <c r="F71" s="65">
        <v>11.9</v>
      </c>
      <c r="G71" s="65">
        <v>11.9</v>
      </c>
      <c r="H71" s="65">
        <v>11.9</v>
      </c>
      <c r="I71" s="65">
        <v>11.9</v>
      </c>
      <c r="J71" s="65">
        <v>11.9</v>
      </c>
      <c r="K71" s="65">
        <v>11.9</v>
      </c>
      <c r="L71" s="65">
        <v>11.9</v>
      </c>
      <c r="M71" s="65">
        <v>11.9</v>
      </c>
      <c r="N71" s="65">
        <v>11.9</v>
      </c>
      <c r="O71" s="65">
        <v>11.9</v>
      </c>
      <c r="P71" s="65">
        <v>11.9</v>
      </c>
      <c r="Q71" s="65">
        <v>11.9</v>
      </c>
      <c r="R71" s="65">
        <v>11.9</v>
      </c>
      <c r="S71" s="65">
        <v>11.9</v>
      </c>
      <c r="T71" s="65">
        <v>11.9</v>
      </c>
      <c r="U71" s="65">
        <v>11.2</v>
      </c>
      <c r="V71" s="65">
        <v>11.2</v>
      </c>
      <c r="W71" s="65">
        <v>11</v>
      </c>
      <c r="X71" s="65">
        <v>11</v>
      </c>
      <c r="Y71" s="65">
        <v>11</v>
      </c>
      <c r="Z71" s="65">
        <v>11</v>
      </c>
      <c r="AA71" s="65">
        <v>11</v>
      </c>
      <c r="AB71" s="65">
        <v>11</v>
      </c>
      <c r="AC71" s="65">
        <v>11</v>
      </c>
      <c r="AD71" s="65">
        <v>11</v>
      </c>
      <c r="AE71" s="65">
        <v>11.8</v>
      </c>
      <c r="AF71" s="65">
        <v>11.8</v>
      </c>
      <c r="AG71" s="55">
        <v>14.1</v>
      </c>
      <c r="AH71" s="47">
        <f t="shared" si="2"/>
        <v>11.9</v>
      </c>
      <c r="AI71" s="48">
        <f t="shared" si="3"/>
        <v>11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4.9000000000000004</v>
      </c>
      <c r="C72" s="65">
        <v>4.9000000000000004</v>
      </c>
      <c r="D72" s="65">
        <v>4.9000000000000004</v>
      </c>
      <c r="E72" s="65">
        <v>4.9000000000000004</v>
      </c>
      <c r="F72" s="65">
        <v>4.9000000000000004</v>
      </c>
      <c r="G72" s="65">
        <v>4.9000000000000004</v>
      </c>
      <c r="H72" s="65">
        <v>4.9000000000000004</v>
      </c>
      <c r="I72" s="65">
        <v>4.9000000000000004</v>
      </c>
      <c r="J72" s="65">
        <v>4.9000000000000004</v>
      </c>
      <c r="K72" s="65">
        <v>4.9000000000000004</v>
      </c>
      <c r="L72" s="65">
        <v>4.9000000000000004</v>
      </c>
      <c r="M72" s="65">
        <v>4.9000000000000004</v>
      </c>
      <c r="N72" s="65">
        <v>4.9000000000000004</v>
      </c>
      <c r="O72" s="65">
        <v>4.9000000000000004</v>
      </c>
      <c r="P72" s="65">
        <v>3.2</v>
      </c>
      <c r="Q72" s="65">
        <v>3.2</v>
      </c>
      <c r="R72" s="65">
        <v>3.2</v>
      </c>
      <c r="S72" s="65">
        <v>3.2</v>
      </c>
      <c r="T72" s="65">
        <v>3.2</v>
      </c>
      <c r="U72" s="65">
        <v>5</v>
      </c>
      <c r="V72" s="65">
        <v>5</v>
      </c>
      <c r="W72" s="65">
        <v>5.2</v>
      </c>
      <c r="X72" s="65">
        <v>5.2</v>
      </c>
      <c r="Y72" s="65">
        <v>5.2</v>
      </c>
      <c r="Z72" s="65">
        <v>5.2</v>
      </c>
      <c r="AA72" s="65">
        <v>5.2</v>
      </c>
      <c r="AB72" s="65">
        <v>4.5</v>
      </c>
      <c r="AC72" s="65">
        <v>4.5</v>
      </c>
      <c r="AD72" s="65">
        <v>4.5</v>
      </c>
      <c r="AE72" s="65">
        <v>4.9000000000000004</v>
      </c>
      <c r="AF72" s="65">
        <v>4.9000000000000004</v>
      </c>
      <c r="AG72" s="55">
        <v>14</v>
      </c>
      <c r="AH72" s="47">
        <f t="shared" si="2"/>
        <v>5.2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6</v>
      </c>
      <c r="C73" s="65">
        <v>6</v>
      </c>
      <c r="D73" s="65">
        <v>6</v>
      </c>
      <c r="E73" s="65">
        <v>6</v>
      </c>
      <c r="F73" s="65">
        <v>6</v>
      </c>
      <c r="G73" s="65">
        <v>6</v>
      </c>
      <c r="H73" s="65">
        <v>6</v>
      </c>
      <c r="I73" s="65">
        <v>6</v>
      </c>
      <c r="J73" s="65">
        <v>6</v>
      </c>
      <c r="K73" s="65">
        <v>6</v>
      </c>
      <c r="L73" s="65">
        <v>6</v>
      </c>
      <c r="M73" s="65">
        <v>6</v>
      </c>
      <c r="N73" s="65">
        <v>6</v>
      </c>
      <c r="O73" s="65">
        <v>6</v>
      </c>
      <c r="P73" s="65">
        <v>6</v>
      </c>
      <c r="Q73" s="65">
        <v>6</v>
      </c>
      <c r="R73" s="65">
        <v>6</v>
      </c>
      <c r="S73" s="65">
        <v>6</v>
      </c>
      <c r="T73" s="65">
        <v>6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6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AG250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20">SUM(B63:B75)</f>
        <v>162.34</v>
      </c>
      <c r="C76" s="60">
        <f t="shared" si="20"/>
        <v>104.34000000000002</v>
      </c>
      <c r="D76" s="60">
        <f t="shared" ref="D76:E76" si="21">SUM(D63:D75)</f>
        <v>104.34000000000002</v>
      </c>
      <c r="E76" s="60">
        <f t="shared" si="21"/>
        <v>122.44000000000001</v>
      </c>
      <c r="F76" s="60">
        <f t="shared" ref="F76:G76" si="22">SUM(F63:F75)</f>
        <v>122.44000000000001</v>
      </c>
      <c r="G76" s="60">
        <f t="shared" si="22"/>
        <v>122.44000000000001</v>
      </c>
      <c r="H76" s="60">
        <f t="shared" ref="H76:I76" si="23">SUM(H63:H75)</f>
        <v>184.64000000000001</v>
      </c>
      <c r="I76" s="60">
        <f t="shared" si="23"/>
        <v>208.64000000000001</v>
      </c>
      <c r="J76" s="60">
        <f t="shared" ref="J76:K76" si="24">SUM(J63:J75)</f>
        <v>307.44</v>
      </c>
      <c r="K76" s="60">
        <f t="shared" si="24"/>
        <v>399.14</v>
      </c>
      <c r="L76" s="60">
        <f t="shared" ref="L76" si="25">SUM(L63:L75)</f>
        <v>414.34</v>
      </c>
      <c r="M76" s="60">
        <f t="shared" ref="M76:AG76" si="26">SUM(M63:M75)</f>
        <v>413.24000000000007</v>
      </c>
      <c r="N76" s="60">
        <f t="shared" si="26"/>
        <v>393.24</v>
      </c>
      <c r="O76" s="60">
        <f t="shared" si="26"/>
        <v>400.64000000000004</v>
      </c>
      <c r="P76" s="60">
        <f t="shared" si="26"/>
        <v>372.14</v>
      </c>
      <c r="Q76" s="60">
        <f t="shared" si="26"/>
        <v>288.84000000000003</v>
      </c>
      <c r="R76" s="60">
        <f t="shared" si="26"/>
        <v>263.33999999999997</v>
      </c>
      <c r="S76" s="60">
        <f t="shared" si="26"/>
        <v>248.33999999999997</v>
      </c>
      <c r="T76" s="60">
        <f t="shared" si="26"/>
        <v>258.74</v>
      </c>
      <c r="U76" s="60">
        <f t="shared" si="26"/>
        <v>223.43999999999997</v>
      </c>
      <c r="V76" s="60">
        <f t="shared" si="26"/>
        <v>350.64</v>
      </c>
      <c r="W76" s="60">
        <f t="shared" si="26"/>
        <v>394.44</v>
      </c>
      <c r="X76" s="60">
        <f t="shared" si="26"/>
        <v>402.24</v>
      </c>
      <c r="Y76" s="60">
        <f t="shared" si="26"/>
        <v>402.24</v>
      </c>
      <c r="Z76" s="60">
        <f t="shared" si="26"/>
        <v>403.64</v>
      </c>
      <c r="AA76" s="60">
        <f t="shared" si="26"/>
        <v>394.64</v>
      </c>
      <c r="AB76" s="60">
        <f t="shared" si="26"/>
        <v>294.64000000000004</v>
      </c>
      <c r="AC76" s="60">
        <f t="shared" si="26"/>
        <v>314.64000000000004</v>
      </c>
      <c r="AD76" s="60">
        <f t="shared" si="26"/>
        <v>240.44</v>
      </c>
      <c r="AE76" s="60">
        <f t="shared" ref="AE76" si="27">SUM(AE63:AE75)</f>
        <v>172.14000000000001</v>
      </c>
      <c r="AF76" s="60">
        <f t="shared" si="26"/>
        <v>142.23999999999998</v>
      </c>
      <c r="AG76" s="61">
        <f t="shared" si="26"/>
        <v>489.91</v>
      </c>
      <c r="AH76" s="47">
        <f t="shared" si="2"/>
        <v>414.34</v>
      </c>
      <c r="AI76" s="48">
        <f t="shared" si="3"/>
        <v>104.34000000000002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60</v>
      </c>
      <c r="N77" s="45">
        <v>14.2</v>
      </c>
      <c r="O77" s="45">
        <v>29.6</v>
      </c>
      <c r="P77" s="45">
        <v>37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60</v>
      </c>
      <c r="W77" s="45">
        <v>59.7</v>
      </c>
      <c r="X77" s="45">
        <v>59.9</v>
      </c>
      <c r="Y77" s="45">
        <v>60.1</v>
      </c>
      <c r="Z77" s="45">
        <v>60.1</v>
      </c>
      <c r="AA77" s="45">
        <v>60.1</v>
      </c>
      <c r="AB77" s="45">
        <v>59.7</v>
      </c>
      <c r="AC77" s="45">
        <v>59.7</v>
      </c>
      <c r="AD77" s="45">
        <v>59.4</v>
      </c>
      <c r="AE77" s="45">
        <v>0</v>
      </c>
      <c r="AF77" s="45">
        <v>0</v>
      </c>
      <c r="AG77" s="52">
        <v>60</v>
      </c>
      <c r="AH77" s="47">
        <f t="shared" si="2"/>
        <v>60.1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4.3</v>
      </c>
      <c r="M78" s="65">
        <v>13.3</v>
      </c>
      <c r="N78" s="65">
        <v>6.7</v>
      </c>
      <c r="O78" s="65">
        <v>12.8</v>
      </c>
      <c r="P78" s="65">
        <v>26.2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28.1</v>
      </c>
      <c r="W78" s="65">
        <v>27.7</v>
      </c>
      <c r="X78" s="65">
        <v>27.7</v>
      </c>
      <c r="Y78" s="65">
        <v>27.7</v>
      </c>
      <c r="Z78" s="65">
        <v>27.6</v>
      </c>
      <c r="AA78" s="65">
        <v>27.7</v>
      </c>
      <c r="AB78" s="65">
        <v>27.7</v>
      </c>
      <c r="AC78" s="65">
        <v>27.7</v>
      </c>
      <c r="AD78" s="65">
        <v>27.1</v>
      </c>
      <c r="AE78" s="65">
        <v>0</v>
      </c>
      <c r="AF78" s="65">
        <v>0</v>
      </c>
      <c r="AG78" s="55">
        <v>32</v>
      </c>
      <c r="AH78" s="47">
        <f t="shared" si="2"/>
        <v>28.1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5.2</v>
      </c>
      <c r="N79" s="67">
        <v>2.5</v>
      </c>
      <c r="O79" s="67">
        <v>4.7</v>
      </c>
      <c r="P79" s="67">
        <v>9.6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10.3</v>
      </c>
      <c r="W79" s="67">
        <v>10.1</v>
      </c>
      <c r="X79" s="67">
        <v>10.1</v>
      </c>
      <c r="Y79" s="67">
        <v>10.1</v>
      </c>
      <c r="Z79" s="67">
        <v>10.1</v>
      </c>
      <c r="AA79" s="67">
        <v>10.1</v>
      </c>
      <c r="AB79" s="67">
        <v>10.1</v>
      </c>
      <c r="AC79" s="67">
        <v>10.1</v>
      </c>
      <c r="AD79" s="67">
        <v>9.9</v>
      </c>
      <c r="AE79" s="67">
        <v>0</v>
      </c>
      <c r="AF79" s="67">
        <v>0</v>
      </c>
      <c r="AG79" s="68">
        <v>14</v>
      </c>
      <c r="AH79" s="47">
        <f t="shared" si="2"/>
        <v>10.3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28">B77+B78+B79</f>
        <v>0</v>
      </c>
      <c r="C80" s="60">
        <f t="shared" si="28"/>
        <v>0</v>
      </c>
      <c r="D80" s="60">
        <f t="shared" ref="D80:E80" si="29">D77+D78+D79</f>
        <v>0</v>
      </c>
      <c r="E80" s="60">
        <f t="shared" si="29"/>
        <v>0</v>
      </c>
      <c r="F80" s="60">
        <f t="shared" ref="F80:G80" si="30">F77+F78+F79</f>
        <v>0</v>
      </c>
      <c r="G80" s="60">
        <f t="shared" si="30"/>
        <v>0</v>
      </c>
      <c r="H80" s="60">
        <f t="shared" ref="H80:I80" si="31">H77+H78+H79</f>
        <v>0</v>
      </c>
      <c r="I80" s="60">
        <f t="shared" si="31"/>
        <v>0</v>
      </c>
      <c r="J80" s="60">
        <f t="shared" ref="J80:K80" si="32">J77+J78+J79</f>
        <v>0</v>
      </c>
      <c r="K80" s="60">
        <f t="shared" si="32"/>
        <v>0</v>
      </c>
      <c r="L80" s="60">
        <f t="shared" ref="L80" si="33">L77+L78+L79</f>
        <v>4.3</v>
      </c>
      <c r="M80" s="60">
        <f t="shared" ref="M80:AF80" si="34">M77+M78+M79</f>
        <v>78.5</v>
      </c>
      <c r="N80" s="60">
        <f t="shared" si="34"/>
        <v>23.4</v>
      </c>
      <c r="O80" s="60">
        <f t="shared" si="34"/>
        <v>47.100000000000009</v>
      </c>
      <c r="P80" s="60">
        <f t="shared" si="34"/>
        <v>72.8</v>
      </c>
      <c r="Q80" s="60">
        <f t="shared" si="34"/>
        <v>0</v>
      </c>
      <c r="R80" s="60">
        <f t="shared" si="34"/>
        <v>0</v>
      </c>
      <c r="S80" s="60">
        <f t="shared" si="34"/>
        <v>0</v>
      </c>
      <c r="T80" s="60">
        <f t="shared" si="34"/>
        <v>0</v>
      </c>
      <c r="U80" s="60">
        <f t="shared" si="34"/>
        <v>0</v>
      </c>
      <c r="V80" s="60">
        <f t="shared" si="34"/>
        <v>98.399999999999991</v>
      </c>
      <c r="W80" s="60">
        <f t="shared" si="34"/>
        <v>97.5</v>
      </c>
      <c r="X80" s="60">
        <f t="shared" si="34"/>
        <v>97.699999999999989</v>
      </c>
      <c r="Y80" s="60">
        <f t="shared" si="34"/>
        <v>97.899999999999991</v>
      </c>
      <c r="Z80" s="60">
        <f t="shared" si="34"/>
        <v>97.8</v>
      </c>
      <c r="AA80" s="60">
        <f t="shared" si="34"/>
        <v>97.899999999999991</v>
      </c>
      <c r="AB80" s="60">
        <f t="shared" si="34"/>
        <v>97.5</v>
      </c>
      <c r="AC80" s="60">
        <f t="shared" si="34"/>
        <v>97.5</v>
      </c>
      <c r="AD80" s="60">
        <f t="shared" si="34"/>
        <v>96.4</v>
      </c>
      <c r="AE80" s="60">
        <f t="shared" ref="AE80" si="35">AE77+AE78+AE79</f>
        <v>0</v>
      </c>
      <c r="AF80" s="60">
        <f t="shared" si="34"/>
        <v>0</v>
      </c>
      <c r="AG80" s="61">
        <f>SUM(AG77:AG79)</f>
        <v>106</v>
      </c>
      <c r="AH80" s="47">
        <f t="shared" si="2"/>
        <v>98.399999999999991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47</v>
      </c>
      <c r="C81" s="45">
        <v>60</v>
      </c>
      <c r="D81" s="45">
        <v>54</v>
      </c>
      <c r="E81" s="45">
        <v>44.4</v>
      </c>
      <c r="F81" s="45">
        <v>44.4</v>
      </c>
      <c r="G81" s="45">
        <v>64.900000000000006</v>
      </c>
      <c r="H81" s="45">
        <v>55.4</v>
      </c>
      <c r="I81" s="45">
        <v>52.1</v>
      </c>
      <c r="J81" s="45">
        <v>59.8</v>
      </c>
      <c r="K81" s="45">
        <v>57.8</v>
      </c>
      <c r="L81" s="45">
        <v>38.4</v>
      </c>
      <c r="M81" s="45">
        <v>18</v>
      </c>
      <c r="N81" s="45">
        <v>27.4</v>
      </c>
      <c r="O81" s="45">
        <v>20.3</v>
      </c>
      <c r="P81" s="45">
        <v>61</v>
      </c>
      <c r="Q81" s="45">
        <v>59.5</v>
      </c>
      <c r="R81" s="45">
        <v>50.3</v>
      </c>
      <c r="S81" s="45">
        <v>58.6</v>
      </c>
      <c r="T81" s="45">
        <v>60.4</v>
      </c>
      <c r="U81" s="45">
        <v>61.9</v>
      </c>
      <c r="V81" s="45">
        <v>48.8</v>
      </c>
      <c r="W81" s="45">
        <v>34.799999999999997</v>
      </c>
      <c r="X81" s="45">
        <v>38.700000000000003</v>
      </c>
      <c r="Y81" s="45">
        <v>44.6</v>
      </c>
      <c r="Z81" s="45">
        <v>39</v>
      </c>
      <c r="AA81" s="45">
        <v>47</v>
      </c>
      <c r="AB81" s="45">
        <v>56.7</v>
      </c>
      <c r="AC81" s="45">
        <v>54.9</v>
      </c>
      <c r="AD81" s="45">
        <v>57.5</v>
      </c>
      <c r="AE81" s="45">
        <v>58.3</v>
      </c>
      <c r="AF81" s="45">
        <v>51</v>
      </c>
      <c r="AG81" s="52"/>
      <c r="AH81" s="47">
        <f t="shared" si="2"/>
        <v>64.900000000000006</v>
      </c>
      <c r="AI81" s="48">
        <f t="shared" si="3"/>
        <v>18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148</v>
      </c>
      <c r="C83" s="65">
        <v>180</v>
      </c>
      <c r="D83" s="65">
        <v>160</v>
      </c>
      <c r="E83" s="65">
        <v>133</v>
      </c>
      <c r="F83" s="65">
        <v>133</v>
      </c>
      <c r="G83" s="65">
        <v>212.5</v>
      </c>
      <c r="H83" s="65">
        <v>232</v>
      </c>
      <c r="I83" s="65">
        <v>315.60000000000002</v>
      </c>
      <c r="J83" s="65">
        <v>335.8</v>
      </c>
      <c r="K83" s="65">
        <v>363</v>
      </c>
      <c r="L83" s="65">
        <v>114.5</v>
      </c>
      <c r="M83" s="65">
        <v>30</v>
      </c>
      <c r="N83" s="65">
        <v>7.4</v>
      </c>
      <c r="O83" s="65">
        <v>0</v>
      </c>
      <c r="P83" s="65">
        <v>205</v>
      </c>
      <c r="Q83" s="65">
        <v>294.3</v>
      </c>
      <c r="R83" s="65">
        <v>336</v>
      </c>
      <c r="S83" s="65">
        <v>385.6</v>
      </c>
      <c r="T83" s="65">
        <v>377</v>
      </c>
      <c r="U83" s="65">
        <v>400</v>
      </c>
      <c r="V83" s="65">
        <v>96</v>
      </c>
      <c r="W83" s="65">
        <v>114</v>
      </c>
      <c r="X83" s="65">
        <v>78.7</v>
      </c>
      <c r="Y83" s="65">
        <v>80</v>
      </c>
      <c r="Z83" s="65">
        <v>158.80000000000001</v>
      </c>
      <c r="AA83" s="65">
        <v>195</v>
      </c>
      <c r="AB83" s="65">
        <v>276</v>
      </c>
      <c r="AC83" s="65">
        <v>177</v>
      </c>
      <c r="AD83" s="65">
        <v>185.2</v>
      </c>
      <c r="AE83" s="65">
        <v>205.8</v>
      </c>
      <c r="AF83" s="65">
        <v>198.2</v>
      </c>
      <c r="AG83" s="75"/>
      <c r="AH83" s="47">
        <f t="shared" si="2"/>
        <v>400</v>
      </c>
      <c r="AI83" s="48">
        <f t="shared" si="3"/>
        <v>0</v>
      </c>
      <c r="AK83" s="50"/>
    </row>
    <row r="84" spans="1:40" x14ac:dyDescent="0.25">
      <c r="A84" s="54" t="s">
        <v>84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76"/>
      <c r="N84" s="76"/>
      <c r="O84" s="76"/>
      <c r="P84" s="76"/>
      <c r="Q84" s="76"/>
      <c r="R84" s="76"/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/>
      <c r="AC84" s="76"/>
      <c r="AD84" s="65"/>
      <c r="AE84" s="65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/>
      <c r="AC85" s="45"/>
      <c r="AD85" s="45"/>
      <c r="AE85" s="45"/>
      <c r="AF85" s="45"/>
      <c r="AG85" s="75"/>
      <c r="AH85" s="47">
        <f t="shared" ref="AH85:AH130" si="36">MAX(B85:AF85)</f>
        <v>0</v>
      </c>
      <c r="AI85" s="48">
        <f t="shared" ref="AI85:AI130" si="37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/>
      <c r="AC86" s="77"/>
      <c r="AD86" s="77"/>
      <c r="AE86" s="77"/>
      <c r="AF86" s="77"/>
      <c r="AG86" s="75"/>
      <c r="AH86" s="47">
        <f t="shared" si="36"/>
        <v>0</v>
      </c>
      <c r="AI86" s="48">
        <f t="shared" si="37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0</v>
      </c>
      <c r="Z87" s="77">
        <v>0</v>
      </c>
      <c r="AA87" s="77">
        <v>0</v>
      </c>
      <c r="AB87" s="77"/>
      <c r="AC87" s="77"/>
      <c r="AD87" s="77"/>
      <c r="AE87" s="77"/>
      <c r="AF87" s="77"/>
      <c r="AG87" s="75"/>
      <c r="AH87" s="47">
        <f t="shared" si="36"/>
        <v>0</v>
      </c>
      <c r="AI87" s="48">
        <f t="shared" si="3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0</v>
      </c>
      <c r="Z88" s="77">
        <v>0</v>
      </c>
      <c r="AA88" s="77">
        <v>0</v>
      </c>
      <c r="AB88" s="77"/>
      <c r="AC88" s="77"/>
      <c r="AD88" s="77"/>
      <c r="AE88" s="77"/>
      <c r="AF88" s="77"/>
      <c r="AG88" s="75"/>
      <c r="AH88" s="47">
        <f t="shared" si="36"/>
        <v>0</v>
      </c>
      <c r="AI88" s="48">
        <f t="shared" si="3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0</v>
      </c>
      <c r="Z89" s="77">
        <v>0</v>
      </c>
      <c r="AA89" s="77">
        <v>0</v>
      </c>
      <c r="AB89" s="77"/>
      <c r="AC89" s="77"/>
      <c r="AD89" s="77"/>
      <c r="AE89" s="77"/>
      <c r="AF89" s="77"/>
      <c r="AG89" s="75"/>
      <c r="AH89" s="47">
        <f t="shared" si="36"/>
        <v>0</v>
      </c>
      <c r="AI89" s="48">
        <f t="shared" si="3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/>
      <c r="AC90" s="77"/>
      <c r="AD90" s="77"/>
      <c r="AE90" s="77"/>
      <c r="AF90" s="77"/>
      <c r="AG90" s="85"/>
      <c r="AH90" s="47">
        <f t="shared" si="36"/>
        <v>0</v>
      </c>
      <c r="AI90" s="48">
        <f t="shared" si="3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>
        <v>0</v>
      </c>
      <c r="T91" s="77">
        <v>0</v>
      </c>
      <c r="U91" s="77">
        <v>0</v>
      </c>
      <c r="V91" s="77">
        <v>0</v>
      </c>
      <c r="W91" s="77">
        <v>0</v>
      </c>
      <c r="X91" s="77">
        <v>0</v>
      </c>
      <c r="Y91" s="77">
        <v>0</v>
      </c>
      <c r="Z91" s="77">
        <v>0</v>
      </c>
      <c r="AA91" s="77">
        <v>0</v>
      </c>
      <c r="AB91" s="77"/>
      <c r="AC91" s="77"/>
      <c r="AD91" s="77"/>
      <c r="AE91" s="77"/>
      <c r="AF91" s="77"/>
      <c r="AG91" s="85"/>
      <c r="AH91" s="47">
        <f t="shared" si="36"/>
        <v>0</v>
      </c>
      <c r="AI91" s="48">
        <f t="shared" si="37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38">SUMIF(B81:B91,"&gt;0")</f>
        <v>195</v>
      </c>
      <c r="C92" s="60">
        <f t="shared" si="38"/>
        <v>240</v>
      </c>
      <c r="D92" s="60">
        <f t="shared" ref="D92:E92" si="39">SUMIF(D81:D91,"&gt;0")</f>
        <v>214</v>
      </c>
      <c r="E92" s="60">
        <f t="shared" si="39"/>
        <v>177.4</v>
      </c>
      <c r="F92" s="60">
        <f t="shared" ref="F92:G92" si="40">SUMIF(F81:F91,"&gt;0")</f>
        <v>177.4</v>
      </c>
      <c r="G92" s="60">
        <f t="shared" si="40"/>
        <v>277.39999999999998</v>
      </c>
      <c r="H92" s="60">
        <f t="shared" ref="H92:I92" si="41">SUMIF(H81:H91,"&gt;0")</f>
        <v>287.39999999999998</v>
      </c>
      <c r="I92" s="60">
        <f t="shared" si="41"/>
        <v>367.70000000000005</v>
      </c>
      <c r="J92" s="60">
        <f t="shared" ref="J92:K92" si="42">SUMIF(J81:J91,"&gt;0")</f>
        <v>395.6</v>
      </c>
      <c r="K92" s="60">
        <f t="shared" si="42"/>
        <v>420.8</v>
      </c>
      <c r="L92" s="60">
        <f t="shared" ref="L92" si="43">SUMIF(L81:L91,"&gt;0")</f>
        <v>152.9</v>
      </c>
      <c r="M92" s="60">
        <f t="shared" ref="M92:AF92" si="44">SUMIF(M81:M91,"&gt;0")</f>
        <v>48</v>
      </c>
      <c r="N92" s="60">
        <f t="shared" si="44"/>
        <v>34.799999999999997</v>
      </c>
      <c r="O92" s="60">
        <f t="shared" si="44"/>
        <v>20.3</v>
      </c>
      <c r="P92" s="60">
        <f t="shared" si="44"/>
        <v>266</v>
      </c>
      <c r="Q92" s="60">
        <f t="shared" si="44"/>
        <v>353.8</v>
      </c>
      <c r="R92" s="60">
        <f t="shared" si="44"/>
        <v>386.3</v>
      </c>
      <c r="S92" s="60">
        <f t="shared" si="44"/>
        <v>444.20000000000005</v>
      </c>
      <c r="T92" s="60">
        <f t="shared" si="44"/>
        <v>437.4</v>
      </c>
      <c r="U92" s="60">
        <f t="shared" si="44"/>
        <v>461.9</v>
      </c>
      <c r="V92" s="60">
        <f t="shared" si="44"/>
        <v>144.80000000000001</v>
      </c>
      <c r="W92" s="60">
        <f t="shared" si="44"/>
        <v>148.80000000000001</v>
      </c>
      <c r="X92" s="60">
        <f t="shared" si="44"/>
        <v>117.4</v>
      </c>
      <c r="Y92" s="60">
        <f t="shared" si="44"/>
        <v>124.6</v>
      </c>
      <c r="Z92" s="60">
        <f t="shared" si="44"/>
        <v>197.8</v>
      </c>
      <c r="AA92" s="60">
        <f t="shared" si="44"/>
        <v>242</v>
      </c>
      <c r="AB92" s="60">
        <f t="shared" si="44"/>
        <v>332.7</v>
      </c>
      <c r="AC92" s="60">
        <f t="shared" si="44"/>
        <v>231.9</v>
      </c>
      <c r="AD92" s="60">
        <f t="shared" si="44"/>
        <v>242.7</v>
      </c>
      <c r="AE92" s="60">
        <f t="shared" ref="AE92" si="45">SUMIF(AE81:AE91,"&gt;0")</f>
        <v>264.10000000000002</v>
      </c>
      <c r="AF92" s="60">
        <f t="shared" si="44"/>
        <v>249.2</v>
      </c>
      <c r="AG92" s="88">
        <f>SUM(AG81:AG91)</f>
        <v>0</v>
      </c>
      <c r="AH92" s="47">
        <f t="shared" si="36"/>
        <v>461.9</v>
      </c>
      <c r="AI92" s="48">
        <f t="shared" si="37"/>
        <v>20.3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6"/>
        <v>0</v>
      </c>
      <c r="AI93" s="48">
        <f t="shared" si="37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6"/>
        <v>0</v>
      </c>
      <c r="AI94" s="48">
        <f t="shared" si="37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6"/>
        <v>0</v>
      </c>
      <c r="AI95" s="48">
        <f t="shared" si="37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6"/>
        <v>0</v>
      </c>
      <c r="AI96" s="48">
        <f t="shared" si="37"/>
        <v>0</v>
      </c>
    </row>
    <row r="97" spans="1:37" ht="15.75" thickBot="1" x14ac:dyDescent="0.3">
      <c r="A97" s="74" t="s">
        <v>100</v>
      </c>
      <c r="B97" s="95">
        <f t="shared" ref="B97:C97" si="46">B58+B62+B80+B76+B92+B96</f>
        <v>1014.1400000000001</v>
      </c>
      <c r="C97" s="95">
        <f t="shared" si="46"/>
        <v>1001.1400000000001</v>
      </c>
      <c r="D97" s="95">
        <f t="shared" ref="D97:E97" si="47">D58+D62+D80+D76+D92+D96</f>
        <v>975.1400000000001</v>
      </c>
      <c r="E97" s="95">
        <f t="shared" si="47"/>
        <v>956.6400000000001</v>
      </c>
      <c r="F97" s="95">
        <f t="shared" ref="F97:G97" si="48">F58+F62+F80+F76+F92+F96</f>
        <v>956.6400000000001</v>
      </c>
      <c r="G97" s="95">
        <f t="shared" si="48"/>
        <v>1056.6400000000001</v>
      </c>
      <c r="H97" s="95">
        <f t="shared" ref="H97:I97" si="49">H58+H62+H80+H76+H92+H96</f>
        <v>1178.8400000000001</v>
      </c>
      <c r="I97" s="95">
        <f t="shared" si="49"/>
        <v>1258.1400000000001</v>
      </c>
      <c r="J97" s="95">
        <f t="shared" ref="J97:K97" si="50">J58+J62+J80+J76+J92+J96</f>
        <v>1419.8400000000001</v>
      </c>
      <c r="K97" s="95">
        <f t="shared" si="50"/>
        <v>1541.74</v>
      </c>
      <c r="L97" s="95">
        <f t="shared" ref="L97" si="51">L58+L62+L80+L76+L92+L96</f>
        <v>1573.34</v>
      </c>
      <c r="M97" s="95">
        <f t="shared" ref="M97:AG97" si="52">M58+M62+M80+M76+M92+M96</f>
        <v>1626.94</v>
      </c>
      <c r="N97" s="95">
        <f t="shared" si="52"/>
        <v>1553.64</v>
      </c>
      <c r="O97" s="95">
        <f t="shared" si="52"/>
        <v>1530.24</v>
      </c>
      <c r="P97" s="95">
        <f t="shared" si="52"/>
        <v>1478.1399999999999</v>
      </c>
      <c r="Q97" s="95">
        <f t="shared" si="52"/>
        <v>1392.4399999999998</v>
      </c>
      <c r="R97" s="95">
        <f t="shared" si="52"/>
        <v>1349.4399999999998</v>
      </c>
      <c r="S97" s="95">
        <f t="shared" si="52"/>
        <v>1341.04</v>
      </c>
      <c r="T97" s="95">
        <f t="shared" si="52"/>
        <v>1362.6399999999999</v>
      </c>
      <c r="U97" s="95">
        <f t="shared" si="52"/>
        <v>1350.1399999999999</v>
      </c>
      <c r="V97" s="95">
        <f t="shared" si="52"/>
        <v>1378.54</v>
      </c>
      <c r="W97" s="95">
        <f t="shared" si="52"/>
        <v>1525.44</v>
      </c>
      <c r="X97" s="95">
        <f t="shared" si="52"/>
        <v>1652.8400000000001</v>
      </c>
      <c r="Y97" s="95">
        <f t="shared" si="52"/>
        <v>1614.34</v>
      </c>
      <c r="Z97" s="95">
        <f t="shared" si="52"/>
        <v>1538.84</v>
      </c>
      <c r="AA97" s="95">
        <f t="shared" si="52"/>
        <v>1524.1399999999999</v>
      </c>
      <c r="AB97" s="95">
        <f t="shared" si="52"/>
        <v>1464.44</v>
      </c>
      <c r="AC97" s="95">
        <f t="shared" si="52"/>
        <v>1423.64</v>
      </c>
      <c r="AD97" s="95">
        <f t="shared" si="52"/>
        <v>1349.14</v>
      </c>
      <c r="AE97" s="95">
        <f t="shared" ref="AE97" si="53">AE58+AE62+AE80+AE76+AE92+AE96</f>
        <v>1189.54</v>
      </c>
      <c r="AF97" s="95">
        <f t="shared" si="52"/>
        <v>1063.54</v>
      </c>
      <c r="AG97" s="61">
        <f t="shared" si="52"/>
        <v>2231.81</v>
      </c>
      <c r="AH97" s="47">
        <f t="shared" si="36"/>
        <v>1652.8400000000001</v>
      </c>
      <c r="AI97" s="48">
        <f t="shared" si="37"/>
        <v>956.6400000000001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/>
      <c r="K98" s="97">
        <v>50</v>
      </c>
      <c r="L98" s="97">
        <v>80</v>
      </c>
      <c r="M98" s="97">
        <v>80</v>
      </c>
      <c r="N98" s="97">
        <v>80</v>
      </c>
      <c r="O98" s="97"/>
      <c r="P98" s="97"/>
      <c r="Q98" s="97"/>
      <c r="R98" s="97"/>
      <c r="S98" s="97"/>
      <c r="T98" s="97"/>
      <c r="U98" s="97"/>
      <c r="V98" s="97">
        <v>120</v>
      </c>
      <c r="W98" s="97">
        <v>120</v>
      </c>
      <c r="X98" s="97">
        <v>120</v>
      </c>
      <c r="Y98" s="97">
        <v>120</v>
      </c>
      <c r="Z98" s="97">
        <v>120</v>
      </c>
      <c r="AA98" s="97">
        <v>120</v>
      </c>
      <c r="AB98" s="97">
        <v>100</v>
      </c>
      <c r="AC98" s="97">
        <v>80</v>
      </c>
      <c r="AD98" s="97">
        <v>50</v>
      </c>
      <c r="AE98" s="97">
        <v>0</v>
      </c>
      <c r="AF98" s="97"/>
      <c r="AG98" s="88"/>
      <c r="AH98" s="47">
        <f t="shared" si="36"/>
        <v>120</v>
      </c>
      <c r="AI98" s="48">
        <f t="shared" si="37"/>
        <v>0</v>
      </c>
    </row>
    <row r="99" spans="1:37" ht="15.75" thickBot="1" x14ac:dyDescent="0.3">
      <c r="A99" s="74" t="s">
        <v>102</v>
      </c>
      <c r="B99" s="95">
        <f t="shared" ref="B99:C99" si="54">B97+B98</f>
        <v>1014.1400000000001</v>
      </c>
      <c r="C99" s="95">
        <f t="shared" si="54"/>
        <v>1001.1400000000001</v>
      </c>
      <c r="D99" s="95">
        <f t="shared" ref="D99:E99" si="55">D97+D98</f>
        <v>975.1400000000001</v>
      </c>
      <c r="E99" s="95">
        <f t="shared" si="55"/>
        <v>956.6400000000001</v>
      </c>
      <c r="F99" s="95">
        <f t="shared" ref="F99:G99" si="56">F97+F98</f>
        <v>956.6400000000001</v>
      </c>
      <c r="G99" s="95">
        <f t="shared" si="56"/>
        <v>1056.6400000000001</v>
      </c>
      <c r="H99" s="95">
        <f t="shared" ref="H99:I99" si="57">H97+H98</f>
        <v>1178.8400000000001</v>
      </c>
      <c r="I99" s="95">
        <f t="shared" si="57"/>
        <v>1258.1400000000001</v>
      </c>
      <c r="J99" s="95">
        <f t="shared" ref="J99:K99" si="58">J97+J98</f>
        <v>1419.8400000000001</v>
      </c>
      <c r="K99" s="95">
        <f t="shared" si="58"/>
        <v>1591.74</v>
      </c>
      <c r="L99" s="95">
        <f t="shared" ref="L99" si="59">L97+L98</f>
        <v>1653.34</v>
      </c>
      <c r="M99" s="95">
        <f t="shared" ref="M99:AF99" si="60">M97+M98</f>
        <v>1706.94</v>
      </c>
      <c r="N99" s="95">
        <f t="shared" si="60"/>
        <v>1633.64</v>
      </c>
      <c r="O99" s="95">
        <f t="shared" si="60"/>
        <v>1530.24</v>
      </c>
      <c r="P99" s="95">
        <f t="shared" si="60"/>
        <v>1478.1399999999999</v>
      </c>
      <c r="Q99" s="95">
        <f t="shared" si="60"/>
        <v>1392.4399999999998</v>
      </c>
      <c r="R99" s="95">
        <f t="shared" si="60"/>
        <v>1349.4399999999998</v>
      </c>
      <c r="S99" s="95">
        <f t="shared" si="60"/>
        <v>1341.04</v>
      </c>
      <c r="T99" s="95">
        <f t="shared" si="60"/>
        <v>1362.6399999999999</v>
      </c>
      <c r="U99" s="95">
        <f t="shared" si="60"/>
        <v>1350.1399999999999</v>
      </c>
      <c r="V99" s="95">
        <f t="shared" si="60"/>
        <v>1498.54</v>
      </c>
      <c r="W99" s="95">
        <f t="shared" si="60"/>
        <v>1645.44</v>
      </c>
      <c r="X99" s="95">
        <f t="shared" si="60"/>
        <v>1772.8400000000001</v>
      </c>
      <c r="Y99" s="95">
        <f t="shared" si="60"/>
        <v>1734.34</v>
      </c>
      <c r="Z99" s="95">
        <f t="shared" si="60"/>
        <v>1658.84</v>
      </c>
      <c r="AA99" s="95">
        <f t="shared" si="60"/>
        <v>1644.1399999999999</v>
      </c>
      <c r="AB99" s="95">
        <f t="shared" si="60"/>
        <v>1564.44</v>
      </c>
      <c r="AC99" s="95">
        <f t="shared" si="60"/>
        <v>1503.64</v>
      </c>
      <c r="AD99" s="95">
        <f t="shared" si="60"/>
        <v>1399.14</v>
      </c>
      <c r="AE99" s="95">
        <f t="shared" ref="AE99" si="61">AE97+AE98</f>
        <v>1189.54</v>
      </c>
      <c r="AF99" s="95">
        <f t="shared" si="60"/>
        <v>1063.54</v>
      </c>
      <c r="AG99" s="88">
        <f>AG96+AG92+AG80+AG76+AG58+AG98</f>
        <v>1693.71</v>
      </c>
      <c r="AH99" s="47">
        <f t="shared" si="36"/>
        <v>1772.8400000000001</v>
      </c>
      <c r="AI99" s="48">
        <f t="shared" si="37"/>
        <v>956.6400000000001</v>
      </c>
    </row>
    <row r="100" spans="1:37" ht="15.75" thickBot="1" x14ac:dyDescent="0.3">
      <c r="A100" s="74" t="s">
        <v>103</v>
      </c>
      <c r="B100" s="95">
        <f t="shared" ref="B100:C100" si="62">B99-(B107)</f>
        <v>1009.1400000000001</v>
      </c>
      <c r="C100" s="95">
        <f t="shared" si="62"/>
        <v>995.1400000000001</v>
      </c>
      <c r="D100" s="95">
        <f t="shared" ref="D100:E100" si="63">D99-(D107)</f>
        <v>968.1400000000001</v>
      </c>
      <c r="E100" s="95">
        <f t="shared" si="63"/>
        <v>948.6400000000001</v>
      </c>
      <c r="F100" s="95">
        <f t="shared" ref="F100:G100" si="64">F99-(F107)</f>
        <v>947.6400000000001</v>
      </c>
      <c r="G100" s="95">
        <f t="shared" si="64"/>
        <v>1046.6400000000001</v>
      </c>
      <c r="H100" s="95">
        <f t="shared" ref="H100:I100" si="65">H99-(H107)</f>
        <v>1167.8400000000001</v>
      </c>
      <c r="I100" s="95">
        <f t="shared" si="65"/>
        <v>1246.1400000000001</v>
      </c>
      <c r="J100" s="95">
        <f t="shared" ref="J100:K100" si="66">J99-(J107)</f>
        <v>1406.8400000000001</v>
      </c>
      <c r="K100" s="95">
        <f t="shared" si="66"/>
        <v>1577.74</v>
      </c>
      <c r="L100" s="95">
        <f t="shared" ref="L100" si="67">L99-(L107)</f>
        <v>1638.34</v>
      </c>
      <c r="M100" s="95">
        <f t="shared" ref="M100" si="68">M99-(M107)</f>
        <v>1706.94</v>
      </c>
      <c r="N100" s="95">
        <f>N99-(N107)</f>
        <v>1633.64</v>
      </c>
      <c r="O100" s="95">
        <f t="shared" ref="O100:AF100" si="69">O99-(O107)</f>
        <v>1530.24</v>
      </c>
      <c r="P100" s="95">
        <f t="shared" si="69"/>
        <v>1478.1399999999999</v>
      </c>
      <c r="Q100" s="95">
        <f t="shared" si="69"/>
        <v>1392.4399999999998</v>
      </c>
      <c r="R100" s="95">
        <f t="shared" si="69"/>
        <v>1349.4399999999998</v>
      </c>
      <c r="S100" s="95">
        <f t="shared" si="69"/>
        <v>1341.04</v>
      </c>
      <c r="T100" s="95">
        <f t="shared" si="69"/>
        <v>1362.6399999999999</v>
      </c>
      <c r="U100" s="95">
        <f t="shared" si="69"/>
        <v>1350.1399999999999</v>
      </c>
      <c r="V100" s="95">
        <f t="shared" si="69"/>
        <v>1498.54</v>
      </c>
      <c r="W100" s="95">
        <f t="shared" si="69"/>
        <v>1645.44</v>
      </c>
      <c r="X100" s="95">
        <f t="shared" si="69"/>
        <v>1772.8400000000001</v>
      </c>
      <c r="Y100" s="95">
        <f t="shared" si="69"/>
        <v>1734.34</v>
      </c>
      <c r="Z100" s="95">
        <f t="shared" si="69"/>
        <v>1658.84</v>
      </c>
      <c r="AA100" s="95">
        <f t="shared" si="69"/>
        <v>1644.1399999999999</v>
      </c>
      <c r="AB100" s="95">
        <f t="shared" si="69"/>
        <v>1564.44</v>
      </c>
      <c r="AC100" s="95">
        <f t="shared" si="69"/>
        <v>1503.64</v>
      </c>
      <c r="AD100" s="95">
        <f t="shared" si="69"/>
        <v>1399.14</v>
      </c>
      <c r="AE100" s="95">
        <f t="shared" ref="AE100" si="70">AE99-(AE107)</f>
        <v>1188.54</v>
      </c>
      <c r="AF100" s="95">
        <f t="shared" si="69"/>
        <v>1063.54</v>
      </c>
      <c r="AG100" s="88"/>
      <c r="AH100" s="47">
        <f t="shared" si="36"/>
        <v>1772.8400000000001</v>
      </c>
      <c r="AI100" s="48">
        <f t="shared" si="37"/>
        <v>947.6400000000001</v>
      </c>
    </row>
    <row r="101" spans="1:37" x14ac:dyDescent="0.25">
      <c r="A101" s="44" t="s">
        <v>84</v>
      </c>
      <c r="B101" s="76">
        <f t="shared" ref="B101:C101" si="71">IF(B84&lt;0,B84*-1,0)</f>
        <v>0</v>
      </c>
      <c r="C101" s="76">
        <f t="shared" si="71"/>
        <v>0</v>
      </c>
      <c r="D101" s="76">
        <f t="shared" ref="D101:E101" si="72">IF(D84&lt;0,D84*-1,0)</f>
        <v>0</v>
      </c>
      <c r="E101" s="76">
        <f t="shared" si="72"/>
        <v>0</v>
      </c>
      <c r="F101" s="76">
        <f t="shared" ref="F101:G101" si="73">IF(F84&lt;0,F84*-1,0)</f>
        <v>0</v>
      </c>
      <c r="G101" s="76">
        <f t="shared" si="73"/>
        <v>0</v>
      </c>
      <c r="H101" s="76">
        <f t="shared" ref="H101:I101" si="74">IF(H84&lt;0,H84*-1,0)</f>
        <v>0</v>
      </c>
      <c r="I101" s="76">
        <f t="shared" si="74"/>
        <v>0</v>
      </c>
      <c r="J101" s="76">
        <f t="shared" ref="J101:K101" si="75">IF(J84&lt;0,J84*-1,0)</f>
        <v>0</v>
      </c>
      <c r="K101" s="76">
        <f t="shared" si="75"/>
        <v>0</v>
      </c>
      <c r="L101" s="76">
        <f t="shared" ref="L101" si="76">IF(L84&lt;0,L84*-1,0)</f>
        <v>0</v>
      </c>
      <c r="M101" s="76">
        <f t="shared" ref="M101:AF101" si="77">IF(M84&lt;0,M84*-1,0)</f>
        <v>0</v>
      </c>
      <c r="N101" s="76">
        <f t="shared" si="77"/>
        <v>0</v>
      </c>
      <c r="O101" s="76">
        <f t="shared" si="77"/>
        <v>0</v>
      </c>
      <c r="P101" s="76">
        <f t="shared" si="77"/>
        <v>0</v>
      </c>
      <c r="Q101" s="76">
        <f t="shared" si="77"/>
        <v>0</v>
      </c>
      <c r="R101" s="76">
        <f t="shared" si="77"/>
        <v>0</v>
      </c>
      <c r="S101" s="76">
        <f t="shared" si="77"/>
        <v>0</v>
      </c>
      <c r="T101" s="76">
        <f t="shared" si="77"/>
        <v>0</v>
      </c>
      <c r="U101" s="76">
        <f t="shared" si="77"/>
        <v>0</v>
      </c>
      <c r="V101" s="76">
        <f t="shared" si="77"/>
        <v>0</v>
      </c>
      <c r="W101" s="76">
        <f t="shared" si="77"/>
        <v>0</v>
      </c>
      <c r="X101" s="76">
        <f t="shared" si="77"/>
        <v>0</v>
      </c>
      <c r="Y101" s="76">
        <f t="shared" si="77"/>
        <v>0</v>
      </c>
      <c r="Z101" s="76">
        <f t="shared" si="77"/>
        <v>0</v>
      </c>
      <c r="AA101" s="76">
        <f t="shared" si="77"/>
        <v>0</v>
      </c>
      <c r="AB101" s="76">
        <f t="shared" si="77"/>
        <v>0</v>
      </c>
      <c r="AC101" s="76">
        <f t="shared" si="77"/>
        <v>0</v>
      </c>
      <c r="AD101" s="76">
        <f t="shared" si="77"/>
        <v>0</v>
      </c>
      <c r="AE101" s="76">
        <f t="shared" ref="AE101" si="78">IF(AE84&lt;0,AE84*-1,0)</f>
        <v>0</v>
      </c>
      <c r="AF101" s="76">
        <f t="shared" si="77"/>
        <v>0</v>
      </c>
      <c r="AG101" s="52"/>
      <c r="AH101" s="47">
        <f t="shared" si="36"/>
        <v>0</v>
      </c>
      <c r="AI101" s="48">
        <f t="shared" si="37"/>
        <v>0</v>
      </c>
    </row>
    <row r="102" spans="1:37" x14ac:dyDescent="0.25">
      <c r="A102" s="54" t="s">
        <v>82</v>
      </c>
      <c r="B102" s="76">
        <f t="shared" ref="B102:C102" si="79">IF(B82&lt;0,B82*-1,0)</f>
        <v>0</v>
      </c>
      <c r="C102" s="76">
        <f t="shared" si="79"/>
        <v>0</v>
      </c>
      <c r="D102" s="76">
        <f t="shared" ref="D102:E102" si="80">IF(D82&lt;0,D82*-1,0)</f>
        <v>0</v>
      </c>
      <c r="E102" s="76">
        <f t="shared" si="80"/>
        <v>0</v>
      </c>
      <c r="F102" s="76">
        <f t="shared" ref="F102:G102" si="81">IF(F82&lt;0,F82*-1,0)</f>
        <v>0</v>
      </c>
      <c r="G102" s="76">
        <f t="shared" si="81"/>
        <v>0</v>
      </c>
      <c r="H102" s="76">
        <f t="shared" ref="H102:I102" si="82">IF(H82&lt;0,H82*-1,0)</f>
        <v>0</v>
      </c>
      <c r="I102" s="76">
        <f t="shared" si="82"/>
        <v>0</v>
      </c>
      <c r="J102" s="76">
        <f t="shared" ref="J102:K102" si="83">IF(J82&lt;0,J82*-1,0)</f>
        <v>0</v>
      </c>
      <c r="K102" s="76">
        <f t="shared" si="83"/>
        <v>0</v>
      </c>
      <c r="L102" s="76">
        <f t="shared" ref="L102" si="84">IF(L82&lt;0,L82*-1,0)</f>
        <v>0</v>
      </c>
      <c r="M102" s="76">
        <f t="shared" ref="M102:AF102" si="85">IF(M82&lt;0,M82*-1,0)</f>
        <v>0</v>
      </c>
      <c r="N102" s="76">
        <f t="shared" si="85"/>
        <v>0</v>
      </c>
      <c r="O102" s="76">
        <f t="shared" si="85"/>
        <v>0</v>
      </c>
      <c r="P102" s="76">
        <f t="shared" si="85"/>
        <v>0</v>
      </c>
      <c r="Q102" s="76">
        <f t="shared" si="85"/>
        <v>0</v>
      </c>
      <c r="R102" s="76">
        <f t="shared" si="85"/>
        <v>0</v>
      </c>
      <c r="S102" s="76">
        <f t="shared" si="85"/>
        <v>0</v>
      </c>
      <c r="T102" s="76">
        <f t="shared" si="85"/>
        <v>0</v>
      </c>
      <c r="U102" s="76">
        <f t="shared" si="85"/>
        <v>0</v>
      </c>
      <c r="V102" s="76">
        <f t="shared" si="85"/>
        <v>0</v>
      </c>
      <c r="W102" s="76">
        <f t="shared" si="85"/>
        <v>0</v>
      </c>
      <c r="X102" s="76">
        <f t="shared" si="85"/>
        <v>0</v>
      </c>
      <c r="Y102" s="76">
        <f t="shared" si="85"/>
        <v>0</v>
      </c>
      <c r="Z102" s="76">
        <f t="shared" si="85"/>
        <v>0</v>
      </c>
      <c r="AA102" s="76">
        <f t="shared" si="85"/>
        <v>0</v>
      </c>
      <c r="AB102" s="76">
        <f t="shared" si="85"/>
        <v>0</v>
      </c>
      <c r="AC102" s="76">
        <f t="shared" si="85"/>
        <v>0</v>
      </c>
      <c r="AD102" s="76">
        <f t="shared" si="85"/>
        <v>0</v>
      </c>
      <c r="AE102" s="76">
        <f t="shared" ref="AE102" si="86">IF(AE82&lt;0,AE82*-1,0)</f>
        <v>0</v>
      </c>
      <c r="AF102" s="76">
        <f t="shared" si="85"/>
        <v>0</v>
      </c>
      <c r="AG102" s="55"/>
      <c r="AH102" s="47">
        <f t="shared" si="36"/>
        <v>0</v>
      </c>
      <c r="AI102" s="48">
        <f t="shared" si="37"/>
        <v>0</v>
      </c>
    </row>
    <row r="103" spans="1:37" x14ac:dyDescent="0.25">
      <c r="A103" s="84" t="s">
        <v>104</v>
      </c>
      <c r="B103" s="76">
        <f t="shared" ref="B103:C103" si="87">IF(B85&lt;0,B85*-1,0)</f>
        <v>0</v>
      </c>
      <c r="C103" s="76">
        <f t="shared" si="87"/>
        <v>0</v>
      </c>
      <c r="D103" s="76">
        <f t="shared" ref="D103:E103" si="88">IF(D85&lt;0,D85*-1,0)</f>
        <v>0</v>
      </c>
      <c r="E103" s="76">
        <f t="shared" si="88"/>
        <v>0</v>
      </c>
      <c r="F103" s="76">
        <f t="shared" ref="F103:G103" si="89">IF(F85&lt;0,F85*-1,0)</f>
        <v>0</v>
      </c>
      <c r="G103" s="76">
        <f t="shared" si="89"/>
        <v>0</v>
      </c>
      <c r="H103" s="76">
        <f t="shared" ref="H103:I103" si="90">IF(H85&lt;0,H85*-1,0)</f>
        <v>0</v>
      </c>
      <c r="I103" s="76">
        <f t="shared" si="90"/>
        <v>0</v>
      </c>
      <c r="J103" s="76">
        <f t="shared" ref="J103:K103" si="91">IF(J85&lt;0,J85*-1,0)</f>
        <v>0</v>
      </c>
      <c r="K103" s="76">
        <f t="shared" si="91"/>
        <v>0</v>
      </c>
      <c r="L103" s="76">
        <f t="shared" ref="L103" si="92">IF(L85&lt;0,L85*-1,0)</f>
        <v>0</v>
      </c>
      <c r="M103" s="76">
        <f t="shared" ref="M103:AF103" si="93">IF(M85&lt;0,M85*-1,0)</f>
        <v>0</v>
      </c>
      <c r="N103" s="76">
        <f t="shared" si="93"/>
        <v>0</v>
      </c>
      <c r="O103" s="76">
        <f t="shared" si="93"/>
        <v>0</v>
      </c>
      <c r="P103" s="76">
        <f t="shared" si="93"/>
        <v>0</v>
      </c>
      <c r="Q103" s="76">
        <f t="shared" si="93"/>
        <v>0</v>
      </c>
      <c r="R103" s="76">
        <f t="shared" si="93"/>
        <v>0</v>
      </c>
      <c r="S103" s="76">
        <f t="shared" si="93"/>
        <v>0</v>
      </c>
      <c r="T103" s="76">
        <f t="shared" si="93"/>
        <v>0</v>
      </c>
      <c r="U103" s="76">
        <f t="shared" si="93"/>
        <v>0</v>
      </c>
      <c r="V103" s="76">
        <f t="shared" si="93"/>
        <v>0</v>
      </c>
      <c r="W103" s="76">
        <f t="shared" si="93"/>
        <v>0</v>
      </c>
      <c r="X103" s="76">
        <f t="shared" si="93"/>
        <v>0</v>
      </c>
      <c r="Y103" s="76">
        <f t="shared" si="93"/>
        <v>0</v>
      </c>
      <c r="Z103" s="76">
        <f t="shared" si="93"/>
        <v>0</v>
      </c>
      <c r="AA103" s="76">
        <f t="shared" si="93"/>
        <v>0</v>
      </c>
      <c r="AB103" s="76">
        <f t="shared" si="93"/>
        <v>0</v>
      </c>
      <c r="AC103" s="76">
        <f t="shared" si="93"/>
        <v>0</v>
      </c>
      <c r="AD103" s="76">
        <f t="shared" si="93"/>
        <v>0</v>
      </c>
      <c r="AE103" s="76">
        <f t="shared" ref="AE103" si="94">IF(AE85&lt;0,AE85*-1,0)</f>
        <v>0</v>
      </c>
      <c r="AF103" s="76">
        <f t="shared" si="93"/>
        <v>0</v>
      </c>
      <c r="AG103" s="98"/>
      <c r="AH103" s="47">
        <f t="shared" si="36"/>
        <v>0</v>
      </c>
      <c r="AI103" s="48">
        <f t="shared" si="37"/>
        <v>0</v>
      </c>
    </row>
    <row r="104" spans="1:37" x14ac:dyDescent="0.25">
      <c r="A104" s="84" t="s">
        <v>105</v>
      </c>
      <c r="B104" s="76">
        <f t="shared" ref="B104:C104" si="95">IF(B83&lt;0,B83*-1,0)</f>
        <v>0</v>
      </c>
      <c r="C104" s="76">
        <f t="shared" si="95"/>
        <v>0</v>
      </c>
      <c r="D104" s="76">
        <f t="shared" ref="D104:E104" si="96">IF(D83&lt;0,D83*-1,0)</f>
        <v>0</v>
      </c>
      <c r="E104" s="76">
        <f t="shared" si="96"/>
        <v>0</v>
      </c>
      <c r="F104" s="76">
        <f t="shared" ref="F104:G104" si="97">IF(F83&lt;0,F83*-1,0)</f>
        <v>0</v>
      </c>
      <c r="G104" s="76">
        <f t="shared" si="97"/>
        <v>0</v>
      </c>
      <c r="H104" s="76">
        <f t="shared" ref="H104:I104" si="98">IF(H83&lt;0,H83*-1,0)</f>
        <v>0</v>
      </c>
      <c r="I104" s="76">
        <f t="shared" si="98"/>
        <v>0</v>
      </c>
      <c r="J104" s="76">
        <f t="shared" ref="J104:K104" si="99">IF(J83&lt;0,J83*-1,0)</f>
        <v>0</v>
      </c>
      <c r="K104" s="76">
        <f t="shared" si="99"/>
        <v>0</v>
      </c>
      <c r="L104" s="76">
        <f t="shared" ref="L104" si="100">IF(L83&lt;0,L83*-1,0)</f>
        <v>0</v>
      </c>
      <c r="M104" s="76">
        <f t="shared" ref="M104:AF104" si="101">IF(M83&lt;0,M83*-1,0)</f>
        <v>0</v>
      </c>
      <c r="N104" s="76">
        <f t="shared" si="101"/>
        <v>0</v>
      </c>
      <c r="O104" s="76">
        <f t="shared" si="101"/>
        <v>0</v>
      </c>
      <c r="P104" s="76">
        <f t="shared" si="101"/>
        <v>0</v>
      </c>
      <c r="Q104" s="76">
        <f t="shared" si="101"/>
        <v>0</v>
      </c>
      <c r="R104" s="76">
        <f t="shared" si="101"/>
        <v>0</v>
      </c>
      <c r="S104" s="76">
        <f t="shared" si="101"/>
        <v>0</v>
      </c>
      <c r="T104" s="76">
        <f t="shared" si="101"/>
        <v>0</v>
      </c>
      <c r="U104" s="76">
        <f t="shared" si="101"/>
        <v>0</v>
      </c>
      <c r="V104" s="76">
        <f t="shared" si="101"/>
        <v>0</v>
      </c>
      <c r="W104" s="76">
        <f t="shared" si="101"/>
        <v>0</v>
      </c>
      <c r="X104" s="76">
        <f t="shared" si="101"/>
        <v>0</v>
      </c>
      <c r="Y104" s="76">
        <f t="shared" si="101"/>
        <v>0</v>
      </c>
      <c r="Z104" s="76">
        <f t="shared" si="101"/>
        <v>0</v>
      </c>
      <c r="AA104" s="76">
        <f t="shared" si="101"/>
        <v>0</v>
      </c>
      <c r="AB104" s="76">
        <f t="shared" si="101"/>
        <v>0</v>
      </c>
      <c r="AC104" s="76">
        <f t="shared" si="101"/>
        <v>0</v>
      </c>
      <c r="AD104" s="76">
        <f t="shared" si="101"/>
        <v>0</v>
      </c>
      <c r="AE104" s="76">
        <f t="shared" ref="AE104" si="102">IF(AE83&lt;0,AE83*-1,0)</f>
        <v>0</v>
      </c>
      <c r="AF104" s="76">
        <f t="shared" si="101"/>
        <v>0</v>
      </c>
      <c r="AG104" s="98"/>
      <c r="AH104" s="47">
        <f t="shared" si="36"/>
        <v>0</v>
      </c>
      <c r="AI104" s="48">
        <f t="shared" si="37"/>
        <v>0</v>
      </c>
    </row>
    <row r="105" spans="1:37" x14ac:dyDescent="0.25">
      <c r="A105" s="84" t="s">
        <v>81</v>
      </c>
      <c r="B105" s="76">
        <f t="shared" ref="B105:C105" si="103">IF(B81&lt;0,B81*-1,0)</f>
        <v>0</v>
      </c>
      <c r="C105" s="76">
        <f t="shared" si="103"/>
        <v>0</v>
      </c>
      <c r="D105" s="76">
        <f t="shared" ref="D105:E105" si="104">IF(D81&lt;0,D81*-1,0)</f>
        <v>0</v>
      </c>
      <c r="E105" s="76">
        <f t="shared" si="104"/>
        <v>0</v>
      </c>
      <c r="F105" s="76">
        <f t="shared" ref="F105:G105" si="105">IF(F81&lt;0,F81*-1,0)</f>
        <v>0</v>
      </c>
      <c r="G105" s="76">
        <f t="shared" si="105"/>
        <v>0</v>
      </c>
      <c r="H105" s="76">
        <f t="shared" ref="H105:I105" si="106">IF(H81&lt;0,H81*-1,0)</f>
        <v>0</v>
      </c>
      <c r="I105" s="76">
        <f t="shared" si="106"/>
        <v>0</v>
      </c>
      <c r="J105" s="76">
        <f t="shared" ref="J105:K105" si="107">IF(J81&lt;0,J81*-1,0)</f>
        <v>0</v>
      </c>
      <c r="K105" s="76">
        <f t="shared" si="107"/>
        <v>0</v>
      </c>
      <c r="L105" s="76">
        <f t="shared" ref="L105" si="108">IF(L81&lt;0,L81*-1,0)</f>
        <v>0</v>
      </c>
      <c r="M105" s="76">
        <f t="shared" ref="M105:AF105" si="109">IF(M81&lt;0,M81*-1,0)</f>
        <v>0</v>
      </c>
      <c r="N105" s="76">
        <f t="shared" si="109"/>
        <v>0</v>
      </c>
      <c r="O105" s="76">
        <f t="shared" si="109"/>
        <v>0</v>
      </c>
      <c r="P105" s="76">
        <f t="shared" si="109"/>
        <v>0</v>
      </c>
      <c r="Q105" s="76">
        <f t="shared" si="109"/>
        <v>0</v>
      </c>
      <c r="R105" s="76">
        <f t="shared" si="109"/>
        <v>0</v>
      </c>
      <c r="S105" s="76">
        <f t="shared" si="109"/>
        <v>0</v>
      </c>
      <c r="T105" s="76">
        <f t="shared" si="109"/>
        <v>0</v>
      </c>
      <c r="U105" s="76">
        <f t="shared" si="109"/>
        <v>0</v>
      </c>
      <c r="V105" s="76">
        <f t="shared" si="109"/>
        <v>0</v>
      </c>
      <c r="W105" s="76">
        <f t="shared" si="109"/>
        <v>0</v>
      </c>
      <c r="X105" s="76">
        <f t="shared" si="109"/>
        <v>0</v>
      </c>
      <c r="Y105" s="76">
        <f t="shared" si="109"/>
        <v>0</v>
      </c>
      <c r="Z105" s="76">
        <f t="shared" si="109"/>
        <v>0</v>
      </c>
      <c r="AA105" s="76">
        <f t="shared" si="109"/>
        <v>0</v>
      </c>
      <c r="AB105" s="76">
        <f t="shared" si="109"/>
        <v>0</v>
      </c>
      <c r="AC105" s="76">
        <f t="shared" si="109"/>
        <v>0</v>
      </c>
      <c r="AD105" s="76">
        <f t="shared" si="109"/>
        <v>0</v>
      </c>
      <c r="AE105" s="76">
        <f t="shared" ref="AE105" si="110">IF(AE81&lt;0,AE81*-1,0)</f>
        <v>0</v>
      </c>
      <c r="AF105" s="76">
        <f t="shared" si="109"/>
        <v>0</v>
      </c>
      <c r="AG105" s="98"/>
      <c r="AH105" s="47">
        <f t="shared" si="36"/>
        <v>0</v>
      </c>
      <c r="AI105" s="48">
        <f t="shared" si="37"/>
        <v>0</v>
      </c>
    </row>
    <row r="106" spans="1:37" ht="15.75" thickBot="1" x14ac:dyDescent="0.3">
      <c r="A106" s="84" t="s">
        <v>106</v>
      </c>
      <c r="B106" s="94">
        <v>5</v>
      </c>
      <c r="C106" s="94">
        <v>6</v>
      </c>
      <c r="D106" s="94">
        <v>7</v>
      </c>
      <c r="E106" s="94">
        <v>8</v>
      </c>
      <c r="F106" s="94">
        <v>9</v>
      </c>
      <c r="G106" s="94">
        <v>10</v>
      </c>
      <c r="H106" s="94">
        <v>11</v>
      </c>
      <c r="I106" s="94">
        <v>12</v>
      </c>
      <c r="J106" s="94">
        <v>13</v>
      </c>
      <c r="K106" s="94">
        <v>14</v>
      </c>
      <c r="L106" s="94">
        <v>15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1</v>
      </c>
      <c r="AF106" s="94">
        <v>0</v>
      </c>
      <c r="AG106" s="85"/>
      <c r="AH106" s="47">
        <f t="shared" si="36"/>
        <v>15</v>
      </c>
      <c r="AI106" s="48">
        <f t="shared" si="37"/>
        <v>0</v>
      </c>
    </row>
    <row r="107" spans="1:37" ht="15.75" thickBot="1" x14ac:dyDescent="0.3">
      <c r="A107" s="99" t="s">
        <v>107</v>
      </c>
      <c r="B107" s="60">
        <f t="shared" ref="B107:C107" si="111">SUM(B101:B106)</f>
        <v>5</v>
      </c>
      <c r="C107" s="60">
        <f t="shared" si="111"/>
        <v>6</v>
      </c>
      <c r="D107" s="60">
        <f t="shared" ref="D107:E107" si="112">SUM(D101:D106)</f>
        <v>7</v>
      </c>
      <c r="E107" s="60">
        <f t="shared" si="112"/>
        <v>8</v>
      </c>
      <c r="F107" s="60">
        <f t="shared" ref="F107:G107" si="113">SUM(F101:F106)</f>
        <v>9</v>
      </c>
      <c r="G107" s="60">
        <f t="shared" si="113"/>
        <v>10</v>
      </c>
      <c r="H107" s="60">
        <f t="shared" ref="H107:I107" si="114">SUM(H101:H106)</f>
        <v>11</v>
      </c>
      <c r="I107" s="60">
        <f t="shared" si="114"/>
        <v>12</v>
      </c>
      <c r="J107" s="60">
        <f t="shared" ref="J107:K107" si="115">SUM(J101:J106)</f>
        <v>13</v>
      </c>
      <c r="K107" s="60">
        <f t="shared" si="115"/>
        <v>14</v>
      </c>
      <c r="L107" s="60">
        <f t="shared" ref="L107" si="116">SUM(L101:L106)</f>
        <v>15</v>
      </c>
      <c r="M107" s="60">
        <f t="shared" ref="M107:AF107" si="117">SUM(M101:M106)</f>
        <v>0</v>
      </c>
      <c r="N107" s="60">
        <f t="shared" si="117"/>
        <v>0</v>
      </c>
      <c r="O107" s="60">
        <f t="shared" si="117"/>
        <v>0</v>
      </c>
      <c r="P107" s="60">
        <f t="shared" si="117"/>
        <v>0</v>
      </c>
      <c r="Q107" s="60">
        <f t="shared" si="117"/>
        <v>0</v>
      </c>
      <c r="R107" s="60">
        <f t="shared" si="117"/>
        <v>0</v>
      </c>
      <c r="S107" s="60">
        <f t="shared" si="117"/>
        <v>0</v>
      </c>
      <c r="T107" s="60">
        <f t="shared" si="117"/>
        <v>0</v>
      </c>
      <c r="U107" s="60">
        <f t="shared" si="117"/>
        <v>0</v>
      </c>
      <c r="V107" s="60">
        <f t="shared" si="117"/>
        <v>0</v>
      </c>
      <c r="W107" s="60">
        <f t="shared" si="117"/>
        <v>0</v>
      </c>
      <c r="X107" s="60">
        <f t="shared" si="117"/>
        <v>0</v>
      </c>
      <c r="Y107" s="60">
        <f t="shared" si="117"/>
        <v>0</v>
      </c>
      <c r="Z107" s="60">
        <f t="shared" si="117"/>
        <v>0</v>
      </c>
      <c r="AA107" s="60">
        <f t="shared" si="117"/>
        <v>0</v>
      </c>
      <c r="AB107" s="60">
        <f t="shared" si="117"/>
        <v>0</v>
      </c>
      <c r="AC107" s="60">
        <f t="shared" si="117"/>
        <v>0</v>
      </c>
      <c r="AD107" s="60">
        <f t="shared" si="117"/>
        <v>0</v>
      </c>
      <c r="AE107" s="60">
        <f t="shared" ref="AE107" si="118">SUM(AE101:AE106)</f>
        <v>1</v>
      </c>
      <c r="AF107" s="60">
        <f t="shared" si="117"/>
        <v>0</v>
      </c>
      <c r="AG107" s="88"/>
      <c r="AH107" s="47">
        <f t="shared" si="36"/>
        <v>15</v>
      </c>
      <c r="AI107" s="48">
        <f t="shared" si="37"/>
        <v>0</v>
      </c>
      <c r="AK107" s="50"/>
    </row>
    <row r="108" spans="1:37" ht="15.75" thickBot="1" x14ac:dyDescent="0.3">
      <c r="A108" s="74" t="s">
        <v>108</v>
      </c>
      <c r="B108" s="60">
        <f t="shared" ref="B108:C108" si="119">B92-B107</f>
        <v>190</v>
      </c>
      <c r="C108" s="60">
        <f t="shared" si="119"/>
        <v>234</v>
      </c>
      <c r="D108" s="60">
        <f t="shared" ref="D108:E108" si="120">D92-D107</f>
        <v>207</v>
      </c>
      <c r="E108" s="60">
        <f t="shared" si="120"/>
        <v>169.4</v>
      </c>
      <c r="F108" s="60">
        <f t="shared" ref="F108:G108" si="121">F92-F107</f>
        <v>168.4</v>
      </c>
      <c r="G108" s="60">
        <f t="shared" si="121"/>
        <v>267.39999999999998</v>
      </c>
      <c r="H108" s="60">
        <f t="shared" ref="H108:I108" si="122">H92-H107</f>
        <v>276.39999999999998</v>
      </c>
      <c r="I108" s="60">
        <f t="shared" si="122"/>
        <v>355.70000000000005</v>
      </c>
      <c r="J108" s="60">
        <f t="shared" ref="J108:K108" si="123">J92-J107</f>
        <v>382.6</v>
      </c>
      <c r="K108" s="60">
        <f t="shared" si="123"/>
        <v>406.8</v>
      </c>
      <c r="L108" s="60">
        <f t="shared" ref="L108" si="124">L92-L107</f>
        <v>137.9</v>
      </c>
      <c r="M108" s="60">
        <f t="shared" ref="M108:AF108" si="125">M92-M107</f>
        <v>48</v>
      </c>
      <c r="N108" s="60">
        <f t="shared" si="125"/>
        <v>34.799999999999997</v>
      </c>
      <c r="O108" s="60">
        <f t="shared" si="125"/>
        <v>20.3</v>
      </c>
      <c r="P108" s="60">
        <f t="shared" si="125"/>
        <v>266</v>
      </c>
      <c r="Q108" s="60">
        <f t="shared" si="125"/>
        <v>353.8</v>
      </c>
      <c r="R108" s="60">
        <f t="shared" si="125"/>
        <v>386.3</v>
      </c>
      <c r="S108" s="60">
        <f t="shared" si="125"/>
        <v>444.20000000000005</v>
      </c>
      <c r="T108" s="60">
        <f t="shared" si="125"/>
        <v>437.4</v>
      </c>
      <c r="U108" s="60">
        <f t="shared" si="125"/>
        <v>461.9</v>
      </c>
      <c r="V108" s="60">
        <f t="shared" si="125"/>
        <v>144.80000000000001</v>
      </c>
      <c r="W108" s="60">
        <f t="shared" si="125"/>
        <v>148.80000000000001</v>
      </c>
      <c r="X108" s="60">
        <f t="shared" si="125"/>
        <v>117.4</v>
      </c>
      <c r="Y108" s="60">
        <f t="shared" si="125"/>
        <v>124.6</v>
      </c>
      <c r="Z108" s="60">
        <f t="shared" si="125"/>
        <v>197.8</v>
      </c>
      <c r="AA108" s="60">
        <f t="shared" si="125"/>
        <v>242</v>
      </c>
      <c r="AB108" s="60">
        <f t="shared" si="125"/>
        <v>332.7</v>
      </c>
      <c r="AC108" s="60">
        <f t="shared" si="125"/>
        <v>231.9</v>
      </c>
      <c r="AD108" s="60">
        <f t="shared" si="125"/>
        <v>242.7</v>
      </c>
      <c r="AE108" s="60">
        <f t="shared" ref="AE108" si="126">AE92-AE107</f>
        <v>263.10000000000002</v>
      </c>
      <c r="AF108" s="60">
        <f t="shared" si="125"/>
        <v>249.2</v>
      </c>
      <c r="AG108" s="88"/>
      <c r="AH108" s="47">
        <f t="shared" si="36"/>
        <v>461.9</v>
      </c>
      <c r="AI108" s="48">
        <f t="shared" si="37"/>
        <v>20.3</v>
      </c>
    </row>
    <row r="109" spans="1:37" x14ac:dyDescent="0.25">
      <c r="A109" s="100" t="s">
        <v>109</v>
      </c>
      <c r="B109" s="101">
        <v>49.9</v>
      </c>
      <c r="C109" s="101">
        <v>49.93</v>
      </c>
      <c r="D109" s="101">
        <v>50.03</v>
      </c>
      <c r="E109" s="101">
        <v>50.03</v>
      </c>
      <c r="F109" s="101">
        <v>50.03</v>
      </c>
      <c r="G109" s="101">
        <v>49.97</v>
      </c>
      <c r="H109" s="101">
        <v>49.91</v>
      </c>
      <c r="I109" s="101">
        <v>50.01</v>
      </c>
      <c r="J109" s="101">
        <v>50.03</v>
      </c>
      <c r="K109" s="101">
        <v>49.99</v>
      </c>
      <c r="L109" s="101">
        <v>50</v>
      </c>
      <c r="M109" s="101">
        <v>49.98</v>
      </c>
      <c r="N109" s="101">
        <v>50.042000000000002</v>
      </c>
      <c r="O109" s="101">
        <v>50.042999999999999</v>
      </c>
      <c r="P109" s="101">
        <v>50.067</v>
      </c>
      <c r="Q109" s="101">
        <v>49.872</v>
      </c>
      <c r="R109" s="101">
        <v>49.988999999999997</v>
      </c>
      <c r="S109" s="101">
        <v>50.012</v>
      </c>
      <c r="T109" s="101">
        <v>49.932000000000002</v>
      </c>
      <c r="U109" s="101">
        <v>49.871000000000002</v>
      </c>
      <c r="V109" s="101">
        <v>49.963000000000001</v>
      </c>
      <c r="W109" s="101">
        <v>50.027999999999999</v>
      </c>
      <c r="X109" s="101">
        <v>50.036000000000001</v>
      </c>
      <c r="Y109" s="101">
        <v>50.024000000000001</v>
      </c>
      <c r="Z109" s="101">
        <v>50.027000000000001</v>
      </c>
      <c r="AA109" s="101">
        <v>49.954999999999998</v>
      </c>
      <c r="AB109" s="101">
        <v>49.936</v>
      </c>
      <c r="AC109" s="101">
        <v>49.881</v>
      </c>
      <c r="AD109" s="101">
        <v>49.951000000000001</v>
      </c>
      <c r="AE109" s="101">
        <v>50.01</v>
      </c>
      <c r="AF109" s="101">
        <v>49.97</v>
      </c>
      <c r="AG109" s="102"/>
      <c r="AH109" s="47">
        <f t="shared" si="36"/>
        <v>50.067</v>
      </c>
      <c r="AI109" s="48">
        <f t="shared" si="37"/>
        <v>49.871000000000002</v>
      </c>
    </row>
    <row r="110" spans="1:37" x14ac:dyDescent="0.25">
      <c r="A110" s="103" t="s">
        <v>110</v>
      </c>
      <c r="B110" s="65">
        <v>130</v>
      </c>
      <c r="C110" s="65">
        <v>132</v>
      </c>
      <c r="D110" s="65">
        <v>132</v>
      </c>
      <c r="E110" s="65">
        <v>132</v>
      </c>
      <c r="F110" s="65">
        <v>132</v>
      </c>
      <c r="G110" s="65">
        <v>131.19999999999999</v>
      </c>
      <c r="H110" s="65">
        <v>129</v>
      </c>
      <c r="I110" s="65">
        <v>129</v>
      </c>
      <c r="J110" s="65">
        <v>127</v>
      </c>
      <c r="K110" s="65">
        <v>127</v>
      </c>
      <c r="L110" s="65">
        <v>127</v>
      </c>
      <c r="M110" s="65">
        <v>126.6</v>
      </c>
      <c r="N110" s="65">
        <v>124.9</v>
      </c>
      <c r="O110" s="65">
        <v>125.4</v>
      </c>
      <c r="P110" s="65">
        <v>127.6</v>
      </c>
      <c r="Q110" s="65">
        <v>124.4</v>
      </c>
      <c r="R110" s="65">
        <v>124</v>
      </c>
      <c r="S110" s="65">
        <v>124.7</v>
      </c>
      <c r="T110" s="65">
        <v>125.2</v>
      </c>
      <c r="U110" s="65">
        <v>123.8</v>
      </c>
      <c r="V110" s="65">
        <v>129.9</v>
      </c>
      <c r="W110" s="65">
        <v>128.69999999999999</v>
      </c>
      <c r="X110" s="65">
        <v>127.4</v>
      </c>
      <c r="Y110" s="65">
        <v>128.30000000000001</v>
      </c>
      <c r="Z110" s="65">
        <v>130.5</v>
      </c>
      <c r="AA110" s="65">
        <v>130.4</v>
      </c>
      <c r="AB110" s="65">
        <v>130</v>
      </c>
      <c r="AC110" s="65">
        <v>130.6</v>
      </c>
      <c r="AD110" s="65">
        <v>130.4</v>
      </c>
      <c r="AE110" s="65">
        <v>130</v>
      </c>
      <c r="AF110" s="65">
        <v>132.1</v>
      </c>
      <c r="AG110" s="104"/>
      <c r="AH110" s="47">
        <f t="shared" si="36"/>
        <v>132.1</v>
      </c>
      <c r="AI110" s="48">
        <f t="shared" si="37"/>
        <v>123.8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6"/>
        <v>0</v>
      </c>
      <c r="AI111" s="48">
        <f t="shared" si="37"/>
        <v>0</v>
      </c>
    </row>
    <row r="112" spans="1:37" x14ac:dyDescent="0.25">
      <c r="A112" s="103" t="s">
        <v>112</v>
      </c>
      <c r="B112" s="65">
        <v>131</v>
      </c>
      <c r="C112" s="65">
        <v>131</v>
      </c>
      <c r="D112" s="65">
        <v>131</v>
      </c>
      <c r="E112" s="65">
        <v>131</v>
      </c>
      <c r="F112" s="65">
        <v>131</v>
      </c>
      <c r="G112" s="65">
        <v>130.80000000000001</v>
      </c>
      <c r="H112" s="65">
        <v>129.30000000000001</v>
      </c>
      <c r="I112" s="65">
        <v>129.30000000000001</v>
      </c>
      <c r="J112" s="65">
        <v>127.1</v>
      </c>
      <c r="K112" s="65">
        <v>127.1</v>
      </c>
      <c r="L112" s="65">
        <v>127.1</v>
      </c>
      <c r="M112" s="65">
        <v>126.5</v>
      </c>
      <c r="N112" s="65">
        <v>128.69999999999999</v>
      </c>
      <c r="O112" s="65">
        <v>127.1</v>
      </c>
      <c r="P112" s="65">
        <v>127.9</v>
      </c>
      <c r="Q112" s="65">
        <v>130.4</v>
      </c>
      <c r="R112" s="65">
        <v>130.69999999999999</v>
      </c>
      <c r="S112" s="65">
        <v>129.4</v>
      </c>
      <c r="T112" s="65">
        <v>127.5</v>
      </c>
      <c r="U112" s="65">
        <v>129</v>
      </c>
      <c r="V112" s="65">
        <v>129.6</v>
      </c>
      <c r="W112" s="65">
        <v>126.3</v>
      </c>
      <c r="X112" s="65">
        <v>127.5</v>
      </c>
      <c r="Y112" s="65">
        <v>130.69999999999999</v>
      </c>
      <c r="Z112" s="65">
        <v>132.69999999999999</v>
      </c>
      <c r="AA112" s="65">
        <v>132.6</v>
      </c>
      <c r="AB112" s="65">
        <v>131</v>
      </c>
      <c r="AC112" s="65">
        <v>132</v>
      </c>
      <c r="AD112" s="65">
        <v>130.4</v>
      </c>
      <c r="AE112" s="65">
        <v>132.30000000000001</v>
      </c>
      <c r="AF112" s="65">
        <v>131.69999999999999</v>
      </c>
      <c r="AG112" s="104"/>
      <c r="AH112" s="47">
        <f t="shared" si="36"/>
        <v>132.69999999999999</v>
      </c>
      <c r="AI112" s="48">
        <f t="shared" si="37"/>
        <v>126.3</v>
      </c>
    </row>
    <row r="113" spans="1:35" x14ac:dyDescent="0.25">
      <c r="A113" s="105" t="s">
        <v>113</v>
      </c>
      <c r="B113" s="65">
        <v>131.9</v>
      </c>
      <c r="C113" s="65">
        <v>133</v>
      </c>
      <c r="D113" s="65">
        <v>133</v>
      </c>
      <c r="E113" s="65">
        <v>133</v>
      </c>
      <c r="F113" s="65">
        <v>133</v>
      </c>
      <c r="G113" s="65">
        <v>132.4</v>
      </c>
      <c r="H113" s="65">
        <v>130.5</v>
      </c>
      <c r="I113" s="65">
        <v>130.5</v>
      </c>
      <c r="J113" s="65">
        <v>129.30000000000001</v>
      </c>
      <c r="K113" s="65">
        <v>129.30000000000001</v>
      </c>
      <c r="L113" s="65">
        <v>129.30000000000001</v>
      </c>
      <c r="M113" s="65">
        <v>127</v>
      </c>
      <c r="N113" s="65">
        <v>129.19999999999999</v>
      </c>
      <c r="O113" s="65">
        <v>128.5</v>
      </c>
      <c r="P113" s="65">
        <v>129.19999999999999</v>
      </c>
      <c r="Q113" s="65">
        <v>132.80000000000001</v>
      </c>
      <c r="R113" s="65">
        <v>133.1</v>
      </c>
      <c r="S113" s="65">
        <v>131.80000000000001</v>
      </c>
      <c r="T113" s="65">
        <v>130.19999999999999</v>
      </c>
      <c r="U113" s="65">
        <v>131</v>
      </c>
      <c r="V113" s="65">
        <v>131.5</v>
      </c>
      <c r="W113" s="65">
        <v>127.4</v>
      </c>
      <c r="X113" s="65">
        <v>128.30000000000001</v>
      </c>
      <c r="Y113" s="65">
        <v>130.19999999999999</v>
      </c>
      <c r="Z113" s="65">
        <v>132.6</v>
      </c>
      <c r="AA113" s="65">
        <v>133.1</v>
      </c>
      <c r="AB113" s="65">
        <v>132.80000000000001</v>
      </c>
      <c r="AC113" s="65">
        <v>132.80000000000001</v>
      </c>
      <c r="AD113" s="65">
        <v>131.69999999999999</v>
      </c>
      <c r="AE113" s="65">
        <v>134.1</v>
      </c>
      <c r="AF113" s="65">
        <v>134.1</v>
      </c>
      <c r="AG113" s="104"/>
      <c r="AH113" s="47">
        <f t="shared" si="36"/>
        <v>134.1</v>
      </c>
      <c r="AI113" s="48">
        <f t="shared" si="37"/>
        <v>127</v>
      </c>
    </row>
    <row r="114" spans="1:35" x14ac:dyDescent="0.25">
      <c r="A114" s="105" t="s">
        <v>114</v>
      </c>
      <c r="B114" s="106">
        <v>137</v>
      </c>
      <c r="C114" s="106">
        <v>137</v>
      </c>
      <c r="D114" s="106">
        <v>137</v>
      </c>
      <c r="E114" s="106">
        <v>137</v>
      </c>
      <c r="F114" s="106">
        <v>137</v>
      </c>
      <c r="G114" s="106">
        <v>135</v>
      </c>
      <c r="H114" s="106">
        <v>131.69999999999999</v>
      </c>
      <c r="I114" s="106">
        <v>131.69999999999999</v>
      </c>
      <c r="J114" s="106">
        <v>132.6</v>
      </c>
      <c r="K114" s="106">
        <v>132.6</v>
      </c>
      <c r="L114" s="106">
        <v>132.6</v>
      </c>
      <c r="M114" s="106">
        <v>133</v>
      </c>
      <c r="N114" s="106">
        <v>132.30000000000001</v>
      </c>
      <c r="O114" s="106">
        <v>133.80000000000001</v>
      </c>
      <c r="P114" s="106">
        <v>136</v>
      </c>
      <c r="Q114" s="106">
        <v>131.19999999999999</v>
      </c>
      <c r="R114" s="106">
        <v>131.30000000000001</v>
      </c>
      <c r="S114" s="106">
        <v>131.6</v>
      </c>
      <c r="T114" s="106">
        <v>131.9</v>
      </c>
      <c r="U114" s="106">
        <v>130.6</v>
      </c>
      <c r="V114" s="106">
        <v>133.5</v>
      </c>
      <c r="W114" s="106">
        <v>134.1</v>
      </c>
      <c r="X114" s="106">
        <v>132.80000000000001</v>
      </c>
      <c r="Y114" s="106">
        <v>133.69999999999999</v>
      </c>
      <c r="Z114" s="106">
        <v>135.5</v>
      </c>
      <c r="AA114" s="106">
        <v>135.19999999999999</v>
      </c>
      <c r="AB114" s="106">
        <v>135.6</v>
      </c>
      <c r="AC114" s="106">
        <v>134.69999999999999</v>
      </c>
      <c r="AD114" s="106">
        <v>135.69999999999999</v>
      </c>
      <c r="AE114" s="106">
        <v>136</v>
      </c>
      <c r="AF114" s="106">
        <v>135.9</v>
      </c>
      <c r="AG114" s="107"/>
      <c r="AH114" s="47">
        <f t="shared" si="36"/>
        <v>137</v>
      </c>
      <c r="AI114" s="48">
        <f t="shared" si="37"/>
        <v>130.6</v>
      </c>
    </row>
    <row r="115" spans="1:35" x14ac:dyDescent="0.25">
      <c r="A115" s="103" t="s">
        <v>115</v>
      </c>
      <c r="B115" s="65">
        <v>132</v>
      </c>
      <c r="C115" s="65">
        <v>129</v>
      </c>
      <c r="D115" s="65">
        <v>129</v>
      </c>
      <c r="E115" s="65">
        <v>129</v>
      </c>
      <c r="F115" s="65">
        <v>129</v>
      </c>
      <c r="G115" s="65">
        <v>130</v>
      </c>
      <c r="H115" s="65">
        <v>134.9</v>
      </c>
      <c r="I115" s="65">
        <v>134.9</v>
      </c>
      <c r="J115" s="65">
        <v>130.69999999999999</v>
      </c>
      <c r="K115" s="65">
        <v>130.69999999999999</v>
      </c>
      <c r="L115" s="65">
        <v>130.69999999999999</v>
      </c>
      <c r="M115" s="65">
        <v>133</v>
      </c>
      <c r="N115" s="65">
        <v>131.5</v>
      </c>
      <c r="O115" s="65">
        <v>132.6</v>
      </c>
      <c r="P115" s="65">
        <v>125.8</v>
      </c>
      <c r="Q115" s="65">
        <v>135</v>
      </c>
      <c r="R115" s="65">
        <v>130.69999999999999</v>
      </c>
      <c r="S115" s="65">
        <v>130</v>
      </c>
      <c r="T115" s="65">
        <v>133.19999999999999</v>
      </c>
      <c r="U115" s="65">
        <v>130</v>
      </c>
      <c r="V115" s="65">
        <v>131.80000000000001</v>
      </c>
      <c r="W115" s="65">
        <v>132</v>
      </c>
      <c r="X115" s="65">
        <v>135</v>
      </c>
      <c r="Y115" s="65">
        <v>134.9</v>
      </c>
      <c r="Z115" s="65">
        <v>132.4</v>
      </c>
      <c r="AA115" s="65">
        <v>131.69999999999999</v>
      </c>
      <c r="AB115" s="65">
        <v>132.1</v>
      </c>
      <c r="AC115" s="65">
        <v>132.69999999999999</v>
      </c>
      <c r="AD115" s="65">
        <v>132.4</v>
      </c>
      <c r="AE115" s="65">
        <v>132</v>
      </c>
      <c r="AF115" s="65">
        <v>136.5</v>
      </c>
      <c r="AG115" s="104"/>
      <c r="AH115" s="47">
        <f t="shared" si="36"/>
        <v>136.5</v>
      </c>
      <c r="AI115" s="48">
        <f t="shared" si="37"/>
        <v>125.8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6"/>
        <v>0</v>
      </c>
      <c r="AI116" s="48">
        <f t="shared" si="3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6"/>
        <v>0</v>
      </c>
      <c r="AI117" s="48">
        <f t="shared" si="37"/>
        <v>0</v>
      </c>
    </row>
    <row r="118" spans="1:35" ht="15.75" thickBot="1" x14ac:dyDescent="0.3">
      <c r="A118" s="110" t="s">
        <v>118</v>
      </c>
      <c r="B118" s="111">
        <f t="shared" ref="B118:C118" si="127">SUM(B22,B28,B31:B32,B66,B68:B69,B71,B73,B119:B123,B153,B159,B165,B174,B176,B188,B195,B198:B199,B206,B208,B210,B214:B216,B218:B220,B225,B231:B232,B234:B236,B244,B249)</f>
        <v>127.04000000000002</v>
      </c>
      <c r="C118" s="111">
        <f t="shared" si="127"/>
        <v>62.040000000000006</v>
      </c>
      <c r="D118" s="111">
        <f t="shared" ref="D118:E118" si="128">SUM(D22,D28,D31:D32,D66,D68:D69,D71,D73,D119:D123,D153,D159,D165,D174,D176,D188,D195,D198:D199,D206,D208,D210,D214:D216,D218:D220,D225,D231:D232,D234:D236,D244,D249)</f>
        <v>94.440000000000012</v>
      </c>
      <c r="E118" s="111">
        <f t="shared" si="128"/>
        <v>89.390000000000015</v>
      </c>
      <c r="F118" s="111">
        <f t="shared" ref="F118:G118" si="129">SUM(F22,F28,F31:F32,F66,F68:F69,F71,F73,F119:F123,F153,F159,F165,F174,F176,F188,F195,F198:F199,F206,F208,F210,F214:F216,F218:F220,F225,F231:F232,F234:F236,F244,F249)</f>
        <v>89.390000000000015</v>
      </c>
      <c r="G118" s="111">
        <f t="shared" si="129"/>
        <v>130.64000000000001</v>
      </c>
      <c r="H118" s="111">
        <f t="shared" ref="H118:I118" si="130">SUM(H22,H28,H31:H32,H66,H68:H69,H71,H73,H119:H123,H153,H159,H165,H174,H176,H188,H195,H198:H199,H206,H208,H210,H214:H216,H218:H220,H225,H231:H232,H234:H236,H244,H249)</f>
        <v>155.49</v>
      </c>
      <c r="I118" s="111">
        <f t="shared" si="130"/>
        <v>188.69</v>
      </c>
      <c r="J118" s="111">
        <f t="shared" ref="J118:K118" si="131">SUM(J22,J28,J31:J32,J66,J68:J69,J71,J73,J119:J123,J153,J159,J165,J174,J176,J188,J195,J198:J199,J206,J208,J210,J214:J216,J218:J220,J225,J231:J232,J234:J236,J244,J249)</f>
        <v>204.18</v>
      </c>
      <c r="K118" s="111">
        <f t="shared" si="131"/>
        <v>217.88000000000002</v>
      </c>
      <c r="L118" s="111">
        <f t="shared" ref="L118" si="132">SUM(L22,L28,L31:L32,L66,L68:L69,L71,L73,L119:L123,L153,L159,L165,L174,L176,L188,L195,L198:L199,L206,L208,L210,L214:L216,L218:L220,L225,L231:L232,L234:L236,L244,L249)</f>
        <v>277.36</v>
      </c>
      <c r="M118" s="111">
        <f t="shared" ref="M118:O118" si="133">SUM(M22,M28,M31:M32,M66,M68:M69,M71,M73,M119:M123,M153,M159,M165,M174,M176,M188,M195,M198:M199,M206,M208,M210,M214:M216,M218:M220,M225,M231:M232,M234:M236,M244,M249)</f>
        <v>296.64000000000004</v>
      </c>
      <c r="N118" s="111">
        <f t="shared" si="133"/>
        <v>305.74000000000007</v>
      </c>
      <c r="O118" s="111">
        <f t="shared" si="133"/>
        <v>281.74</v>
      </c>
      <c r="P118" s="111">
        <v>42</v>
      </c>
      <c r="Q118" s="111">
        <f t="shared" ref="Q118:AF118" si="134">SUM(Q22,Q28,Q31:Q32,Q66,Q68:Q69,Q71,Q73,Q119:Q123,Q153,Q159,Q165,Q174,Q176,Q188,Q195,Q198:Q199,Q206,Q208,Q210,Q214:Q216,Q218:Q220,Q225,Q231:Q232,Q234:Q236,Q244,Q249)</f>
        <v>269.78000000000003</v>
      </c>
      <c r="R118" s="111">
        <f t="shared" si="134"/>
        <v>260.72000000000003</v>
      </c>
      <c r="S118" s="111">
        <f t="shared" si="134"/>
        <v>245.79000000000002</v>
      </c>
      <c r="T118" s="111">
        <f t="shared" si="134"/>
        <v>238.64000000000001</v>
      </c>
      <c r="U118" s="111">
        <f t="shared" si="134"/>
        <v>254.15</v>
      </c>
      <c r="V118" s="111">
        <f t="shared" si="134"/>
        <v>225.94</v>
      </c>
      <c r="W118" s="111">
        <f t="shared" si="134"/>
        <v>243.798</v>
      </c>
      <c r="X118" s="111">
        <f t="shared" si="134"/>
        <v>299.964</v>
      </c>
      <c r="Y118" s="111">
        <f t="shared" si="134"/>
        <v>298.27899999999994</v>
      </c>
      <c r="Z118" s="111">
        <f t="shared" si="134"/>
        <v>278.94400000000002</v>
      </c>
      <c r="AA118" s="111">
        <f t="shared" si="134"/>
        <v>274.47899999999998</v>
      </c>
      <c r="AB118" s="111">
        <f t="shared" si="134"/>
        <v>291.97999999999996</v>
      </c>
      <c r="AC118" s="111">
        <f t="shared" si="134"/>
        <v>264</v>
      </c>
      <c r="AD118" s="111"/>
      <c r="AE118" s="111"/>
      <c r="AF118" s="111">
        <f t="shared" si="134"/>
        <v>123.63999999999999</v>
      </c>
      <c r="AG118" s="112"/>
      <c r="AH118" s="47">
        <f t="shared" si="36"/>
        <v>305.74000000000007</v>
      </c>
      <c r="AI118" s="48">
        <f t="shared" si="37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36"/>
        <v>0</v>
      </c>
      <c r="AI119" s="48">
        <f t="shared" si="37"/>
        <v>0</v>
      </c>
    </row>
    <row r="120" spans="1:35" x14ac:dyDescent="0.25">
      <c r="A120" s="182" t="s">
        <v>120</v>
      </c>
      <c r="B120" s="115">
        <v>9</v>
      </c>
      <c r="C120" s="115">
        <v>-47</v>
      </c>
      <c r="D120" s="115">
        <v>-3.6</v>
      </c>
      <c r="E120" s="115">
        <v>0</v>
      </c>
      <c r="F120" s="115">
        <v>0</v>
      </c>
      <c r="G120" s="115">
        <v>-3.8</v>
      </c>
      <c r="H120" s="115">
        <v>7.9</v>
      </c>
      <c r="I120" s="115">
        <v>-1</v>
      </c>
      <c r="J120" s="115">
        <v>-11.9</v>
      </c>
      <c r="K120" s="115">
        <v>-29.2</v>
      </c>
      <c r="L120" s="115">
        <v>-31</v>
      </c>
      <c r="M120" s="115">
        <v>28.9</v>
      </c>
      <c r="N120" s="115">
        <v>32.200000000000003</v>
      </c>
      <c r="O120" s="115">
        <v>38</v>
      </c>
      <c r="P120" s="115">
        <v>41.1</v>
      </c>
      <c r="Q120" s="115">
        <v>24.3</v>
      </c>
      <c r="R120" s="115">
        <v>22.4</v>
      </c>
      <c r="S120" s="115">
        <v>15.4</v>
      </c>
      <c r="T120" s="115">
        <v>25.9</v>
      </c>
      <c r="U120" s="115">
        <v>23.2</v>
      </c>
      <c r="V120" s="115">
        <v>58.5</v>
      </c>
      <c r="W120" s="115">
        <v>51.5</v>
      </c>
      <c r="X120" s="115">
        <v>37.799999999999997</v>
      </c>
      <c r="Y120" s="115">
        <v>41.7</v>
      </c>
      <c r="Z120" s="115">
        <v>52.7</v>
      </c>
      <c r="AA120" s="115">
        <v>26.7</v>
      </c>
      <c r="AB120" s="115">
        <v>33.299999999999997</v>
      </c>
      <c r="AC120" s="115">
        <v>43.6</v>
      </c>
      <c r="AD120" s="115">
        <v>25.5</v>
      </c>
      <c r="AE120" s="115">
        <v>13.1</v>
      </c>
      <c r="AF120" s="115">
        <v>8.3000000000000007</v>
      </c>
      <c r="AG120" s="114">
        <v>240</v>
      </c>
      <c r="AH120" s="47">
        <f t="shared" si="36"/>
        <v>58.5</v>
      </c>
      <c r="AI120" s="48">
        <f t="shared" si="37"/>
        <v>-47</v>
      </c>
    </row>
    <row r="121" spans="1:35" x14ac:dyDescent="0.25">
      <c r="A121" s="182" t="s">
        <v>121</v>
      </c>
      <c r="B121" s="115">
        <v>-40</v>
      </c>
      <c r="C121" s="115">
        <v>-40</v>
      </c>
      <c r="D121" s="115">
        <v>-50</v>
      </c>
      <c r="E121" s="115">
        <v>-56</v>
      </c>
      <c r="F121" s="115">
        <v>-56</v>
      </c>
      <c r="G121" s="115">
        <v>-39</v>
      </c>
      <c r="H121" s="115">
        <v>-38</v>
      </c>
      <c r="I121" s="115">
        <v>-22</v>
      </c>
      <c r="J121" s="115">
        <v>-10</v>
      </c>
      <c r="K121" s="115">
        <v>9</v>
      </c>
      <c r="L121" s="115">
        <v>20</v>
      </c>
      <c r="M121" s="115">
        <v>2</v>
      </c>
      <c r="N121" s="115">
        <v>7</v>
      </c>
      <c r="O121" s="115">
        <v>-5.4</v>
      </c>
      <c r="P121" s="115">
        <v>3</v>
      </c>
      <c r="Q121" s="115">
        <v>-4</v>
      </c>
      <c r="R121" s="115">
        <v>-7</v>
      </c>
      <c r="S121" s="115">
        <v>-5.4</v>
      </c>
      <c r="T121" s="115">
        <f>-3.3-4</f>
        <v>-7.3</v>
      </c>
      <c r="U121" s="115">
        <v>-6</v>
      </c>
      <c r="V121" s="115">
        <v>5.6</v>
      </c>
      <c r="W121" s="115">
        <v>-14</v>
      </c>
      <c r="X121" s="115">
        <v>3.1</v>
      </c>
      <c r="Y121" s="115">
        <v>6.7</v>
      </c>
      <c r="Z121" s="115">
        <v>7</v>
      </c>
      <c r="AA121" s="115">
        <v>11</v>
      </c>
      <c r="AB121" s="115">
        <v>37</v>
      </c>
      <c r="AC121" s="115">
        <v>24</v>
      </c>
      <c r="AD121" s="115">
        <v>20</v>
      </c>
      <c r="AE121" s="115">
        <f>-6.7-7.6</f>
        <v>-14.3</v>
      </c>
      <c r="AF121" s="115">
        <f>-18.6-21.3</f>
        <v>-39.900000000000006</v>
      </c>
      <c r="AG121" s="114">
        <v>240</v>
      </c>
      <c r="AH121" s="47">
        <f t="shared" si="36"/>
        <v>37</v>
      </c>
      <c r="AI121" s="48">
        <f t="shared" si="37"/>
        <v>-56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36"/>
        <v>0</v>
      </c>
      <c r="AI122" s="48">
        <f t="shared" si="37"/>
        <v>0</v>
      </c>
    </row>
    <row r="123" spans="1:35" x14ac:dyDescent="0.25">
      <c r="A123" s="181" t="s">
        <v>267</v>
      </c>
      <c r="B123" s="117">
        <v>35</v>
      </c>
      <c r="C123" s="117">
        <v>26</v>
      </c>
      <c r="D123" s="117">
        <v>25</v>
      </c>
      <c r="E123" s="117">
        <f>14.9*1.5</f>
        <v>22.35</v>
      </c>
      <c r="F123" s="117">
        <f>14.9*1.5</f>
        <v>22.35</v>
      </c>
      <c r="G123" s="117">
        <f>33.6*1.5</f>
        <v>50.400000000000006</v>
      </c>
      <c r="H123" s="117">
        <f>41.7*1.5</f>
        <v>62.550000000000004</v>
      </c>
      <c r="I123" s="117">
        <f>59.1*1.5</f>
        <v>88.65</v>
      </c>
      <c r="J123" s="117">
        <f>64.4*1.6</f>
        <v>103.04000000000002</v>
      </c>
      <c r="K123" s="117">
        <f>71.9*1.6</f>
        <v>115.04000000000002</v>
      </c>
      <c r="L123" s="117">
        <f>102.7*1.6</f>
        <v>164.32000000000002</v>
      </c>
      <c r="M123" s="117">
        <v>145</v>
      </c>
      <c r="N123" s="117">
        <f>89.5*1.6</f>
        <v>143.20000000000002</v>
      </c>
      <c r="O123" s="117">
        <f>74*1.6</f>
        <v>118.4</v>
      </c>
      <c r="P123" s="117">
        <f>55.2*1.6</f>
        <v>88.320000000000007</v>
      </c>
      <c r="Q123" s="117">
        <f>72.4*1.6</f>
        <v>115.84000000000002</v>
      </c>
      <c r="R123" s="117">
        <f>70.3*1.6</f>
        <v>112.48</v>
      </c>
      <c r="S123" s="117">
        <f>69.3*1.5</f>
        <v>103.94999999999999</v>
      </c>
      <c r="T123" s="117">
        <f>62.6*1.5</f>
        <v>93.9</v>
      </c>
      <c r="U123" s="117">
        <f>73*1.67</f>
        <v>121.91</v>
      </c>
      <c r="V123" s="117">
        <v>51</v>
      </c>
      <c r="W123" s="117">
        <f>57.4*1.67</f>
        <v>95.85799999999999</v>
      </c>
      <c r="X123" s="117">
        <f>87.2*1.67</f>
        <v>145.624</v>
      </c>
      <c r="Y123" s="117">
        <f>81.7*1.67</f>
        <v>136.43899999999999</v>
      </c>
      <c r="Z123" s="117">
        <f>61.2*1.67</f>
        <v>102.20399999999999</v>
      </c>
      <c r="AA123" s="117">
        <f>71.7*1.67</f>
        <v>119.739</v>
      </c>
      <c r="AB123" s="117">
        <f>65.4*1.6</f>
        <v>104.64000000000001</v>
      </c>
      <c r="AC123" s="117">
        <f>49.6*1.6</f>
        <v>79.360000000000014</v>
      </c>
      <c r="AD123" s="117">
        <f>52*1.6</f>
        <v>83.2</v>
      </c>
      <c r="AE123" s="117">
        <f>52.8*1.5</f>
        <v>79.199999999999989</v>
      </c>
      <c r="AF123" s="117">
        <f>24.6*1.5</f>
        <v>36.900000000000006</v>
      </c>
      <c r="AG123" s="118">
        <v>120</v>
      </c>
      <c r="AH123" s="47">
        <f t="shared" si="36"/>
        <v>164.32000000000002</v>
      </c>
      <c r="AI123" s="48">
        <f t="shared" si="37"/>
        <v>22.35</v>
      </c>
    </row>
    <row r="124" spans="1:35" x14ac:dyDescent="0.25">
      <c r="A124" s="182" t="s">
        <v>266</v>
      </c>
      <c r="B124" s="117">
        <v>54</v>
      </c>
      <c r="C124" s="117">
        <v>51</v>
      </c>
      <c r="D124" s="117">
        <v>49</v>
      </c>
      <c r="E124" s="117">
        <v>42.5</v>
      </c>
      <c r="F124" s="117">
        <v>42.5</v>
      </c>
      <c r="G124" s="117">
        <v>56.9</v>
      </c>
      <c r="H124" s="117">
        <v>64</v>
      </c>
      <c r="I124" s="117">
        <v>77.7</v>
      </c>
      <c r="J124" s="117">
        <v>81.5</v>
      </c>
      <c r="K124" s="117">
        <v>87</v>
      </c>
      <c r="L124" s="117">
        <v>112.4</v>
      </c>
      <c r="M124" s="117">
        <v>100.9</v>
      </c>
      <c r="N124" s="117">
        <v>102.3</v>
      </c>
      <c r="O124" s="117">
        <v>89.2</v>
      </c>
      <c r="P124" s="117">
        <v>73</v>
      </c>
      <c r="Q124" s="117">
        <v>86.2</v>
      </c>
      <c r="R124" s="117">
        <v>87</v>
      </c>
      <c r="S124" s="117">
        <v>86.7</v>
      </c>
      <c r="T124" s="117">
        <v>82.4</v>
      </c>
      <c r="U124" s="117">
        <v>91.3</v>
      </c>
      <c r="V124" s="117">
        <v>57.8</v>
      </c>
      <c r="W124" s="117">
        <v>77.900000000000006</v>
      </c>
      <c r="X124" s="117">
        <v>101.7</v>
      </c>
      <c r="Y124" s="117">
        <v>97.5</v>
      </c>
      <c r="Z124" s="117">
        <v>81.7</v>
      </c>
      <c r="AA124" s="117">
        <v>90.6</v>
      </c>
      <c r="AB124" s="117">
        <v>84</v>
      </c>
      <c r="AC124" s="117">
        <v>72</v>
      </c>
      <c r="AD124" s="117">
        <v>74</v>
      </c>
      <c r="AE124" s="117">
        <v>75.8</v>
      </c>
      <c r="AF124" s="117">
        <v>52.6</v>
      </c>
      <c r="AG124" s="118"/>
      <c r="AH124" s="47"/>
      <c r="AI124" s="48"/>
    </row>
    <row r="125" spans="1:35" x14ac:dyDescent="0.25">
      <c r="A125" s="182" t="s">
        <v>263</v>
      </c>
      <c r="B125" s="117">
        <v>15</v>
      </c>
      <c r="C125" s="117">
        <v>35</v>
      </c>
      <c r="D125" s="117">
        <v>34</v>
      </c>
      <c r="E125" s="117">
        <v>25.6</v>
      </c>
      <c r="F125" s="117">
        <v>25.6</v>
      </c>
      <c r="G125" s="117">
        <v>32.799999999999997</v>
      </c>
      <c r="H125" s="117">
        <v>30.3</v>
      </c>
      <c r="I125" s="117">
        <v>31.4</v>
      </c>
      <c r="J125" s="117">
        <v>9</v>
      </c>
      <c r="K125" s="117">
        <v>-21.1</v>
      </c>
      <c r="L125" s="117">
        <v>-9</v>
      </c>
      <c r="M125" s="117">
        <v>-20.7</v>
      </c>
      <c r="N125" s="117">
        <v>-4.0999999999999996</v>
      </c>
      <c r="O125" s="117">
        <v>-10.1</v>
      </c>
      <c r="P125" s="117">
        <v>-25</v>
      </c>
      <c r="Q125" s="117">
        <v>6.6</v>
      </c>
      <c r="R125" s="117">
        <v>14</v>
      </c>
      <c r="S125" s="117">
        <v>18.7</v>
      </c>
      <c r="T125" s="117">
        <v>2.2000000000000002</v>
      </c>
      <c r="U125" s="117">
        <v>14.7</v>
      </c>
      <c r="V125" s="117">
        <v>-54.6</v>
      </c>
      <c r="W125" s="117">
        <v>-51.1</v>
      </c>
      <c r="X125" s="117">
        <v>-36.6</v>
      </c>
      <c r="Y125" s="117">
        <v>-45.8</v>
      </c>
      <c r="Z125" s="117">
        <v>-67.900000000000006</v>
      </c>
      <c r="AA125" s="117">
        <v>-40.6</v>
      </c>
      <c r="AB125" s="117">
        <v>-46</v>
      </c>
      <c r="AC125" s="117">
        <v>-53.4</v>
      </c>
      <c r="AD125" s="117">
        <v>-28</v>
      </c>
      <c r="AE125" s="117">
        <v>10</v>
      </c>
      <c r="AF125" s="117">
        <v>18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45</v>
      </c>
      <c r="C126" s="117">
        <v>46</v>
      </c>
      <c r="D126" s="117">
        <v>43</v>
      </c>
      <c r="E126" s="117">
        <v>35.799999999999997</v>
      </c>
      <c r="F126" s="117">
        <v>35.799999999999997</v>
      </c>
      <c r="G126" s="117">
        <v>55.3</v>
      </c>
      <c r="H126" s="117">
        <v>66.3</v>
      </c>
      <c r="I126" s="117">
        <v>77.099999999999994</v>
      </c>
      <c r="J126" s="117">
        <v>80</v>
      </c>
      <c r="K126" s="117">
        <v>80</v>
      </c>
      <c r="L126" s="117">
        <v>88.5</v>
      </c>
      <c r="M126" s="117">
        <v>79.3</v>
      </c>
      <c r="N126" s="117">
        <v>87</v>
      </c>
      <c r="O126" s="117">
        <v>68</v>
      </c>
      <c r="P126" s="117">
        <v>64</v>
      </c>
      <c r="Q126" s="117">
        <v>89</v>
      </c>
      <c r="R126" s="117">
        <v>85</v>
      </c>
      <c r="S126" s="117">
        <v>95.7</v>
      </c>
      <c r="T126" s="117">
        <v>80.2</v>
      </c>
      <c r="U126" s="117">
        <v>99.7</v>
      </c>
      <c r="V126" s="117">
        <v>36</v>
      </c>
      <c r="W126" s="117">
        <v>48.8</v>
      </c>
      <c r="X126" s="117">
        <v>80.5</v>
      </c>
      <c r="Y126" s="117">
        <v>74.400000000000006</v>
      </c>
      <c r="Z126" s="117">
        <v>55.7</v>
      </c>
      <c r="AA126" s="117">
        <v>72.7</v>
      </c>
      <c r="AB126" s="117">
        <v>71</v>
      </c>
      <c r="AC126" s="117">
        <v>50</v>
      </c>
      <c r="AD126" s="117">
        <v>63</v>
      </c>
      <c r="AE126" s="117">
        <v>68.5</v>
      </c>
      <c r="AF126" s="117">
        <v>47.8</v>
      </c>
      <c r="AG126" s="114"/>
      <c r="AH126" s="47">
        <f t="shared" si="36"/>
        <v>99.7</v>
      </c>
      <c r="AI126" s="48">
        <f t="shared" si="37"/>
        <v>35.799999999999997</v>
      </c>
    </row>
    <row r="127" spans="1:35" x14ac:dyDescent="0.25">
      <c r="A127" s="181" t="s">
        <v>264</v>
      </c>
      <c r="B127" s="117">
        <v>23</v>
      </c>
      <c r="C127" s="117">
        <v>18</v>
      </c>
      <c r="D127" s="117">
        <v>20</v>
      </c>
      <c r="E127" s="117">
        <v>18.3</v>
      </c>
      <c r="F127" s="117">
        <v>18.3</v>
      </c>
      <c r="G127" s="117">
        <v>25.3</v>
      </c>
      <c r="H127" s="117">
        <v>28.8</v>
      </c>
      <c r="I127" s="117">
        <v>29.4</v>
      </c>
      <c r="J127" s="117">
        <v>13</v>
      </c>
      <c r="K127" s="117">
        <v>10.6</v>
      </c>
      <c r="L127" s="117">
        <v>10.8</v>
      </c>
      <c r="M127" s="117">
        <v>15.9</v>
      </c>
      <c r="N127" s="117">
        <v>15</v>
      </c>
      <c r="O127" s="117">
        <v>12</v>
      </c>
      <c r="P127" s="117">
        <v>9</v>
      </c>
      <c r="Q127" s="117">
        <v>9</v>
      </c>
      <c r="R127" s="117">
        <v>7.5</v>
      </c>
      <c r="S127" s="117">
        <v>8.6</v>
      </c>
      <c r="T127" s="117">
        <v>1.9</v>
      </c>
      <c r="U127" s="117">
        <v>13.3</v>
      </c>
      <c r="V127" s="117">
        <v>0</v>
      </c>
      <c r="W127" s="117">
        <v>-1.3</v>
      </c>
      <c r="X127" s="117">
        <v>14.5</v>
      </c>
      <c r="Y127" s="117">
        <v>14.6</v>
      </c>
      <c r="Z127" s="117">
        <v>6.2</v>
      </c>
      <c r="AA127" s="117">
        <v>11</v>
      </c>
      <c r="AB127" s="117">
        <v>15</v>
      </c>
      <c r="AC127" s="117">
        <v>8.3000000000000007</v>
      </c>
      <c r="AD127" s="117">
        <v>10</v>
      </c>
      <c r="AE127" s="117">
        <v>23.7</v>
      </c>
      <c r="AF127" s="106">
        <v>17.399999999999999</v>
      </c>
      <c r="AG127" s="114"/>
      <c r="AH127" s="47">
        <f t="shared" si="36"/>
        <v>29.4</v>
      </c>
      <c r="AI127" s="48">
        <f t="shared" si="37"/>
        <v>-1.3</v>
      </c>
    </row>
    <row r="128" spans="1:35" x14ac:dyDescent="0.25">
      <c r="A128" s="182" t="s">
        <v>126</v>
      </c>
      <c r="B128" s="106">
        <v>1</v>
      </c>
      <c r="C128" s="106">
        <v>1</v>
      </c>
      <c r="D128" s="106">
        <v>1</v>
      </c>
      <c r="E128" s="106">
        <v>1.5</v>
      </c>
      <c r="F128" s="106">
        <v>1.5</v>
      </c>
      <c r="G128" s="106">
        <v>0</v>
      </c>
      <c r="H128" s="106">
        <v>-5</v>
      </c>
      <c r="I128" s="106">
        <v>-11.7</v>
      </c>
      <c r="J128" s="106">
        <v>-19</v>
      </c>
      <c r="K128" s="106">
        <v>-28</v>
      </c>
      <c r="L128" s="106">
        <v>-31.5</v>
      </c>
      <c r="M128" s="106">
        <v>-30.3</v>
      </c>
      <c r="N128" s="106">
        <v>-21.3</v>
      </c>
      <c r="O128" s="106">
        <v>-14</v>
      </c>
      <c r="P128" s="106">
        <v>-9</v>
      </c>
      <c r="Q128" s="106">
        <v>-4.0999999999999996</v>
      </c>
      <c r="R128" s="106">
        <v>-7.2</v>
      </c>
      <c r="S128" s="106">
        <v>-8</v>
      </c>
      <c r="T128" s="106">
        <v>-11.8</v>
      </c>
      <c r="U128" s="106">
        <v>-16.600000000000001</v>
      </c>
      <c r="V128" s="106">
        <v>-27.6</v>
      </c>
      <c r="W128" s="106">
        <v>-38.4</v>
      </c>
      <c r="X128" s="106">
        <v>-41.2</v>
      </c>
      <c r="Y128" s="106">
        <v>-36.5</v>
      </c>
      <c r="Z128" s="106">
        <v>-31.3</v>
      </c>
      <c r="AA128" s="106">
        <v>-30</v>
      </c>
      <c r="AB128" s="106">
        <v>-20.6</v>
      </c>
      <c r="AC128" s="106">
        <v>-17</v>
      </c>
      <c r="AD128" s="106">
        <v>-13</v>
      </c>
      <c r="AE128" s="106">
        <v>-6.6</v>
      </c>
      <c r="AF128" s="106">
        <v>0</v>
      </c>
      <c r="AG128" s="114"/>
      <c r="AH128" s="47">
        <f t="shared" si="36"/>
        <v>1.5</v>
      </c>
      <c r="AI128" s="48">
        <f t="shared" si="37"/>
        <v>-41.2</v>
      </c>
    </row>
    <row r="129" spans="1:37" x14ac:dyDescent="0.25">
      <c r="A129" s="182" t="s">
        <v>268</v>
      </c>
      <c r="B129" s="106">
        <v>28</v>
      </c>
      <c r="C129" s="106">
        <v>30</v>
      </c>
      <c r="D129" s="106">
        <v>31</v>
      </c>
      <c r="E129" s="106">
        <v>37.799999999999997</v>
      </c>
      <c r="F129" s="106">
        <v>37.799999999999997</v>
      </c>
      <c r="G129" s="106">
        <v>22.1</v>
      </c>
      <c r="H129" s="106">
        <v>18.899999999999999</v>
      </c>
      <c r="I129" s="106">
        <v>8.6</v>
      </c>
      <c r="J129" s="106">
        <v>7</v>
      </c>
      <c r="K129" s="106">
        <v>0</v>
      </c>
      <c r="L129" s="106">
        <v>-14.8</v>
      </c>
      <c r="M129" s="106">
        <v>0</v>
      </c>
      <c r="N129" s="106">
        <v>3</v>
      </c>
      <c r="O129" s="106">
        <v>28.3</v>
      </c>
      <c r="P129" s="106">
        <v>35</v>
      </c>
      <c r="Q129" s="106">
        <v>12</v>
      </c>
      <c r="R129" s="106">
        <v>6.8</v>
      </c>
      <c r="S129" s="106">
        <v>5.5</v>
      </c>
      <c r="T129" s="106">
        <v>13.2</v>
      </c>
      <c r="U129" s="106">
        <v>5.7</v>
      </c>
      <c r="V129" s="106">
        <v>38.200000000000003</v>
      </c>
      <c r="W129" s="106">
        <v>27.3</v>
      </c>
      <c r="X129" s="106">
        <v>3.3</v>
      </c>
      <c r="Y129" s="106">
        <v>5.0999999999999996</v>
      </c>
      <c r="Z129" s="106">
        <v>10.7</v>
      </c>
      <c r="AA129" s="106">
        <v>2.7</v>
      </c>
      <c r="AB129" s="106">
        <v>13.2</v>
      </c>
      <c r="AC129" s="106">
        <v>27.1</v>
      </c>
      <c r="AD129" s="106">
        <v>22</v>
      </c>
      <c r="AE129" s="106">
        <v>12.9</v>
      </c>
      <c r="AF129" s="106">
        <v>30.6</v>
      </c>
      <c r="AG129" s="114"/>
      <c r="AH129" s="47">
        <f t="shared" si="36"/>
        <v>38.200000000000003</v>
      </c>
      <c r="AI129" s="48">
        <f t="shared" si="37"/>
        <v>-14.8</v>
      </c>
    </row>
    <row r="130" spans="1:37" ht="15.75" thickBot="1" x14ac:dyDescent="0.3">
      <c r="A130" s="182" t="s">
        <v>265</v>
      </c>
      <c r="B130" s="106">
        <v>75</v>
      </c>
      <c r="C130" s="106">
        <v>72</v>
      </c>
      <c r="D130" s="106">
        <v>72</v>
      </c>
      <c r="E130" s="106">
        <v>74.900000000000006</v>
      </c>
      <c r="F130" s="106">
        <v>74.900000000000006</v>
      </c>
      <c r="G130" s="106">
        <v>75</v>
      </c>
      <c r="H130" s="106">
        <v>76</v>
      </c>
      <c r="I130" s="106">
        <v>87.9</v>
      </c>
      <c r="J130" s="106">
        <v>101.2</v>
      </c>
      <c r="K130" s="106">
        <v>106.1</v>
      </c>
      <c r="L130" s="106">
        <v>112</v>
      </c>
      <c r="M130" s="106">
        <v>93.5</v>
      </c>
      <c r="N130" s="106">
        <v>107</v>
      </c>
      <c r="O130" s="106">
        <v>105</v>
      </c>
      <c r="P130" s="106">
        <v>105</v>
      </c>
      <c r="Q130" s="106">
        <v>90</v>
      </c>
      <c r="R130" s="106">
        <v>93</v>
      </c>
      <c r="S130" s="106">
        <v>94</v>
      </c>
      <c r="T130" s="106">
        <v>95.9</v>
      </c>
      <c r="U130" s="106">
        <v>91.7</v>
      </c>
      <c r="V130" s="106">
        <v>98</v>
      </c>
      <c r="W130" s="106">
        <v>112.3</v>
      </c>
      <c r="X130" s="106">
        <v>114.6</v>
      </c>
      <c r="Y130" s="106">
        <v>110.2</v>
      </c>
      <c r="Z130" s="106">
        <v>95.2</v>
      </c>
      <c r="AA130" s="106">
        <v>92.6</v>
      </c>
      <c r="AB130" s="106">
        <v>95</v>
      </c>
      <c r="AC130" s="106">
        <v>92</v>
      </c>
      <c r="AD130" s="106">
        <v>86</v>
      </c>
      <c r="AE130" s="106">
        <v>80.7</v>
      </c>
      <c r="AF130" s="106">
        <v>71.2</v>
      </c>
      <c r="AG130" s="114"/>
      <c r="AH130" s="47">
        <f t="shared" si="36"/>
        <v>114.6</v>
      </c>
      <c r="AI130" s="48">
        <f t="shared" si="37"/>
        <v>71.2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243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244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245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ht="15.75" thickBot="1" x14ac:dyDescent="0.3">
      <c r="A135" s="199" t="s">
        <v>246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9"/>
      <c r="AG135" s="153"/>
      <c r="AH135" s="47"/>
      <c r="AI135" s="48"/>
    </row>
    <row r="136" spans="1:37" ht="15.75" thickBot="1" x14ac:dyDescent="0.3">
      <c r="A136" s="122" t="s">
        <v>129</v>
      </c>
      <c r="B136" s="123"/>
      <c r="C136" s="123"/>
      <c r="D136" s="123"/>
      <c r="E136" s="123"/>
      <c r="F136" s="176" t="s">
        <v>258</v>
      </c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83"/>
      <c r="AH136" s="47"/>
      <c r="AI136" s="48"/>
      <c r="AK136" s="50"/>
    </row>
    <row r="137" spans="1:37" x14ac:dyDescent="0.25">
      <c r="A137" s="125" t="s">
        <v>130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>
        <v>9.94</v>
      </c>
      <c r="AH137" s="47"/>
      <c r="AI137" s="48"/>
      <c r="AK137" s="50"/>
    </row>
    <row r="138" spans="1:37" x14ac:dyDescent="0.25">
      <c r="A138" s="103" t="s">
        <v>131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132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133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134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135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136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137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138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139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140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141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142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143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144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145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146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1">
        <v>9.9</v>
      </c>
      <c r="AH153" s="47"/>
      <c r="AI153" s="48"/>
      <c r="AK153" s="50"/>
    </row>
    <row r="154" spans="1:37" x14ac:dyDescent="0.25">
      <c r="A154" s="116" t="s">
        <v>147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9.6579999999999995</v>
      </c>
      <c r="AH154" s="47"/>
      <c r="AI154" s="48"/>
      <c r="AK154" s="50"/>
    </row>
    <row r="155" spans="1:37" x14ac:dyDescent="0.25">
      <c r="A155" s="116" t="s">
        <v>148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9.6</v>
      </c>
      <c r="AH155" s="47"/>
      <c r="AI155" s="48"/>
      <c r="AK155" s="50"/>
    </row>
    <row r="156" spans="1:37" x14ac:dyDescent="0.25">
      <c r="A156" s="116" t="s">
        <v>149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9.51</v>
      </c>
      <c r="AH156" s="47"/>
      <c r="AI156" s="48"/>
      <c r="AK156" s="50"/>
    </row>
    <row r="157" spans="1:37" x14ac:dyDescent="0.25">
      <c r="A157" s="116" t="s">
        <v>150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9.4</v>
      </c>
      <c r="AH157" s="47"/>
      <c r="AI157" s="48"/>
      <c r="AK157" s="50"/>
    </row>
    <row r="158" spans="1:37" x14ac:dyDescent="0.25">
      <c r="A158" s="116" t="s">
        <v>151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8.8000000000000007</v>
      </c>
      <c r="AH158" s="47"/>
      <c r="AI158" s="48"/>
      <c r="AK158" s="50"/>
    </row>
    <row r="159" spans="1:37" x14ac:dyDescent="0.25">
      <c r="A159" s="116" t="s">
        <v>152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8.5</v>
      </c>
      <c r="AH159" s="47"/>
      <c r="AI159" s="48"/>
      <c r="AK159" s="50"/>
    </row>
    <row r="160" spans="1:37" x14ac:dyDescent="0.25">
      <c r="A160" s="116" t="s">
        <v>153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8.5</v>
      </c>
      <c r="AH160" s="47"/>
      <c r="AI160" s="48"/>
      <c r="AK160" s="50"/>
    </row>
    <row r="161" spans="1:37" x14ac:dyDescent="0.25">
      <c r="A161" s="116" t="s">
        <v>154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8.4</v>
      </c>
      <c r="AH161" s="47"/>
      <c r="AI161" s="48"/>
      <c r="AK161" s="50"/>
    </row>
    <row r="162" spans="1:37" ht="13.5" customHeight="1" x14ac:dyDescent="0.25">
      <c r="A162" s="116" t="s">
        <v>155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</v>
      </c>
      <c r="AH162" s="47"/>
      <c r="AI162" s="48"/>
      <c r="AK162" s="50"/>
    </row>
    <row r="163" spans="1:37" x14ac:dyDescent="0.25">
      <c r="A163" s="116" t="s">
        <v>156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</v>
      </c>
      <c r="AH163" s="47"/>
      <c r="AI163" s="48"/>
      <c r="AK163" s="50"/>
    </row>
    <row r="164" spans="1:37" x14ac:dyDescent="0.25">
      <c r="A164" s="116" t="s">
        <v>157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158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7.8</v>
      </c>
      <c r="AH165" s="47"/>
      <c r="AI165" s="48"/>
      <c r="AK165" s="50"/>
    </row>
    <row r="166" spans="1:37" x14ac:dyDescent="0.25">
      <c r="A166" s="116" t="s">
        <v>159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7.6</v>
      </c>
      <c r="AH166" s="47"/>
      <c r="AI166" s="48"/>
      <c r="AK166" s="50"/>
    </row>
    <row r="167" spans="1:37" x14ac:dyDescent="0.25">
      <c r="A167" s="116" t="s">
        <v>160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7.5</v>
      </c>
      <c r="AH167" s="47"/>
      <c r="AI167" s="48"/>
      <c r="AK167" s="50"/>
    </row>
    <row r="168" spans="1:37" x14ac:dyDescent="0.25">
      <c r="A168" s="116" t="s">
        <v>161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7.5</v>
      </c>
      <c r="AH168" s="47"/>
      <c r="AI168" s="48"/>
      <c r="AK168" s="50"/>
    </row>
    <row r="169" spans="1:37" x14ac:dyDescent="0.25">
      <c r="A169" s="116" t="s">
        <v>162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</v>
      </c>
      <c r="AH169" s="47"/>
      <c r="AI169" s="48"/>
      <c r="AK169" s="50"/>
    </row>
    <row r="170" spans="1:37" x14ac:dyDescent="0.25">
      <c r="A170" s="116" t="s">
        <v>163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</v>
      </c>
      <c r="AH170" s="47"/>
      <c r="AI170" s="48"/>
      <c r="AK170" s="50"/>
    </row>
    <row r="171" spans="1:37" x14ac:dyDescent="0.25">
      <c r="A171" s="116" t="s">
        <v>164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165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166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6.6</v>
      </c>
      <c r="AH173" s="47"/>
      <c r="AI173" s="48"/>
      <c r="AK173" s="50"/>
    </row>
    <row r="174" spans="1:37" x14ac:dyDescent="0.25">
      <c r="A174" s="116" t="s">
        <v>167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6.6</v>
      </c>
      <c r="AH174" s="47"/>
      <c r="AI174" s="48"/>
      <c r="AK174" s="50"/>
    </row>
    <row r="175" spans="1:37" x14ac:dyDescent="0.25">
      <c r="A175" s="116" t="s">
        <v>168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6.4</v>
      </c>
      <c r="AH175" s="47"/>
      <c r="AI175" s="48"/>
      <c r="AK175" s="50"/>
    </row>
    <row r="176" spans="1:37" x14ac:dyDescent="0.25">
      <c r="A176" s="116" t="s">
        <v>169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</v>
      </c>
      <c r="AH176" s="47"/>
      <c r="AI176" s="48"/>
      <c r="AK176" s="50"/>
    </row>
    <row r="177" spans="1:37" x14ac:dyDescent="0.25">
      <c r="A177" s="116" t="s">
        <v>170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5.0999999999999996</v>
      </c>
      <c r="AH177" s="47"/>
      <c r="AI177" s="48"/>
      <c r="AK177" s="50"/>
    </row>
    <row r="178" spans="1:37" x14ac:dyDescent="0.25">
      <c r="A178" s="116" t="s">
        <v>171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03" t="s">
        <v>172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1">
        <v>5</v>
      </c>
      <c r="AH179" s="47"/>
      <c r="AI179" s="48"/>
      <c r="AK179" s="50"/>
    </row>
    <row r="180" spans="1:37" x14ac:dyDescent="0.25">
      <c r="A180" s="116" t="s">
        <v>173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16" t="s">
        <v>174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5</v>
      </c>
      <c r="AH181" s="47"/>
      <c r="AI181" s="48"/>
      <c r="AK181" s="50"/>
    </row>
    <row r="182" spans="1:37" x14ac:dyDescent="0.25">
      <c r="A182" s="116" t="s">
        <v>175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176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177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178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4.9930000000000003</v>
      </c>
      <c r="AH185" s="47"/>
      <c r="AI185" s="48"/>
      <c r="AK185" s="50"/>
    </row>
    <row r="186" spans="1:37" x14ac:dyDescent="0.25">
      <c r="A186" s="116" t="s">
        <v>179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4.9800000000000004</v>
      </c>
      <c r="AH186" s="47"/>
      <c r="AI186" s="48"/>
      <c r="AK186" s="50"/>
    </row>
    <row r="187" spans="1:37" x14ac:dyDescent="0.25">
      <c r="A187" s="116" t="s">
        <v>180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4.95</v>
      </c>
      <c r="AH187" s="47"/>
      <c r="AI187" s="48"/>
      <c r="AK187" s="50"/>
    </row>
    <row r="188" spans="1:37" x14ac:dyDescent="0.25">
      <c r="A188" s="116" t="s">
        <v>181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4.95</v>
      </c>
      <c r="AH188" s="47"/>
      <c r="AI188" s="48"/>
      <c r="AK188" s="50"/>
    </row>
    <row r="189" spans="1:37" x14ac:dyDescent="0.25">
      <c r="A189" s="116" t="s">
        <v>182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4.8</v>
      </c>
      <c r="AH189" s="47"/>
      <c r="AI189" s="48"/>
      <c r="AK189" s="50"/>
    </row>
    <row r="190" spans="1:37" x14ac:dyDescent="0.25">
      <c r="A190" s="116" t="s">
        <v>183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4.8</v>
      </c>
      <c r="AH190" s="47"/>
      <c r="AI190" s="48"/>
      <c r="AK190" s="50"/>
    </row>
    <row r="191" spans="1:37" x14ac:dyDescent="0.25">
      <c r="A191" s="116" t="s">
        <v>184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185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4.5</v>
      </c>
      <c r="AH192" s="47"/>
      <c r="AI192" s="48"/>
      <c r="AK192" s="50"/>
    </row>
    <row r="193" spans="1:37" x14ac:dyDescent="0.25">
      <c r="A193" s="116" t="s">
        <v>186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4.5</v>
      </c>
      <c r="AH193" s="47"/>
      <c r="AI193" s="48"/>
      <c r="AK193" s="50"/>
    </row>
    <row r="194" spans="1:37" x14ac:dyDescent="0.25">
      <c r="A194" s="116" t="s">
        <v>187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4.4550000000000001</v>
      </c>
      <c r="AH194" s="47"/>
      <c r="AI194" s="48"/>
      <c r="AK194" s="50"/>
    </row>
    <row r="195" spans="1:37" x14ac:dyDescent="0.25">
      <c r="A195" s="116" t="s">
        <v>188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4.41</v>
      </c>
      <c r="AH195" s="47"/>
      <c r="AI195" s="48"/>
      <c r="AK195" s="50"/>
    </row>
    <row r="196" spans="1:37" x14ac:dyDescent="0.25">
      <c r="A196" s="116" t="s">
        <v>189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4.4000000000000004</v>
      </c>
      <c r="AH196" s="47"/>
      <c r="AI196" s="48"/>
      <c r="AK196" s="50"/>
    </row>
    <row r="197" spans="1:37" x14ac:dyDescent="0.25">
      <c r="A197" s="116" t="s">
        <v>190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4.3600000000000003</v>
      </c>
      <c r="AH197" s="47"/>
      <c r="AI197" s="48"/>
      <c r="AK197" s="50"/>
    </row>
    <row r="198" spans="1:37" x14ac:dyDescent="0.25">
      <c r="A198" s="116" t="s">
        <v>191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4.2</v>
      </c>
      <c r="AH198" s="47"/>
      <c r="AI198" s="48"/>
      <c r="AK198" s="50"/>
    </row>
    <row r="199" spans="1:37" x14ac:dyDescent="0.25">
      <c r="A199" s="116" t="s">
        <v>192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193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194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195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196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197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198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199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200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3.75</v>
      </c>
      <c r="AH207" s="47"/>
      <c r="AI207" s="48"/>
      <c r="AK207" s="50"/>
    </row>
    <row r="208" spans="1:37" x14ac:dyDescent="0.25">
      <c r="A208" s="116" t="s">
        <v>201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3.52</v>
      </c>
      <c r="AH208" s="47"/>
      <c r="AI208" s="48"/>
      <c r="AK208" s="50"/>
    </row>
    <row r="209" spans="1:37" x14ac:dyDescent="0.25">
      <c r="A209" s="116" t="s">
        <v>202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3.33</v>
      </c>
      <c r="AH209" s="47"/>
      <c r="AI209" s="48"/>
      <c r="AK209" s="50"/>
    </row>
    <row r="210" spans="1:37" x14ac:dyDescent="0.25">
      <c r="A210" s="116" t="s">
        <v>203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3.2</v>
      </c>
      <c r="AH210" s="47"/>
      <c r="AI210" s="48"/>
      <c r="AK210" s="50"/>
    </row>
    <row r="211" spans="1:37" x14ac:dyDescent="0.25">
      <c r="A211" s="116" t="s">
        <v>204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205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206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207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208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209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210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211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212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2.83</v>
      </c>
      <c r="AH219" s="47"/>
      <c r="AI219" s="48"/>
      <c r="AK219" s="50"/>
    </row>
    <row r="220" spans="1:37" x14ac:dyDescent="0.25">
      <c r="A220" s="116" t="s">
        <v>213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2.5</v>
      </c>
      <c r="AH220" s="47"/>
      <c r="AI220" s="48"/>
      <c r="AK220" s="50"/>
    </row>
    <row r="221" spans="1:37" x14ac:dyDescent="0.25">
      <c r="A221" s="116" t="s">
        <v>214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2.5</v>
      </c>
      <c r="AH221" s="47"/>
      <c r="AI221" s="48"/>
      <c r="AK221" s="50"/>
    </row>
    <row r="222" spans="1:37" x14ac:dyDescent="0.25">
      <c r="A222" s="116" t="s">
        <v>215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2.4</v>
      </c>
      <c r="AH222" s="47"/>
      <c r="AI222" s="48"/>
      <c r="AK222" s="50"/>
    </row>
    <row r="223" spans="1:37" x14ac:dyDescent="0.25">
      <c r="A223" s="116" t="s">
        <v>216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2.4</v>
      </c>
      <c r="AH223" s="47"/>
      <c r="AI223" s="48"/>
      <c r="AK223" s="50"/>
    </row>
    <row r="224" spans="1:37" x14ac:dyDescent="0.25">
      <c r="A224" s="116" t="s">
        <v>217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2.2000000000000002</v>
      </c>
      <c r="AH224" s="47"/>
      <c r="AI224" s="48"/>
      <c r="AK224" s="50"/>
    </row>
    <row r="225" spans="1:37" x14ac:dyDescent="0.25">
      <c r="A225" s="116" t="s">
        <v>218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</v>
      </c>
      <c r="AH225" s="47"/>
      <c r="AI225" s="48"/>
      <c r="AK225" s="50"/>
    </row>
    <row r="226" spans="1:37" x14ac:dyDescent="0.25">
      <c r="A226" s="116" t="s">
        <v>219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</v>
      </c>
      <c r="AH226" s="47"/>
      <c r="AI226" s="48"/>
      <c r="AK226" s="50"/>
    </row>
    <row r="227" spans="1:37" x14ac:dyDescent="0.25">
      <c r="A227" s="116" t="s">
        <v>220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221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1.8</v>
      </c>
      <c r="AH228" s="47"/>
      <c r="AI228" s="48"/>
      <c r="AK228" s="50"/>
    </row>
    <row r="229" spans="1:37" x14ac:dyDescent="0.25">
      <c r="A229" s="116" t="s">
        <v>222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1.8</v>
      </c>
      <c r="AH229" s="47"/>
      <c r="AI229" s="48"/>
      <c r="AK229" s="50"/>
    </row>
    <row r="230" spans="1:37" x14ac:dyDescent="0.25">
      <c r="A230" s="116" t="s">
        <v>223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1.65</v>
      </c>
      <c r="AH230" s="47"/>
      <c r="AI230" s="48"/>
      <c r="AK230" s="50"/>
    </row>
    <row r="231" spans="1:37" x14ac:dyDescent="0.25">
      <c r="A231" s="116" t="s">
        <v>224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1.5</v>
      </c>
      <c r="AH231" s="47"/>
      <c r="AI231" s="48"/>
      <c r="AK231" s="50"/>
    </row>
    <row r="232" spans="1:37" x14ac:dyDescent="0.25">
      <c r="A232" s="116" t="s">
        <v>225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0.998</v>
      </c>
      <c r="AH232" s="47"/>
      <c r="AI232" s="48"/>
      <c r="AK232" s="50"/>
    </row>
    <row r="233" spans="1:37" x14ac:dyDescent="0.25">
      <c r="A233" s="116" t="s">
        <v>226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0.997</v>
      </c>
      <c r="AH233" s="47"/>
      <c r="AI233" s="48"/>
      <c r="AK233" s="50"/>
    </row>
    <row r="234" spans="1:37" x14ac:dyDescent="0.25">
      <c r="A234" s="116" t="s">
        <v>227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0.997</v>
      </c>
      <c r="AH234" s="47"/>
      <c r="AI234" s="48"/>
      <c r="AK234" s="50"/>
    </row>
    <row r="235" spans="1:37" x14ac:dyDescent="0.25">
      <c r="A235" s="116" t="s">
        <v>228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0.996</v>
      </c>
      <c r="AH235" s="47"/>
      <c r="AI235" s="48"/>
      <c r="AK235" s="50"/>
    </row>
    <row r="236" spans="1:37" x14ac:dyDescent="0.25">
      <c r="A236" s="116" t="s">
        <v>229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0.996</v>
      </c>
      <c r="AH236" s="47"/>
      <c r="AI236" s="48"/>
      <c r="AK236" s="50"/>
    </row>
    <row r="237" spans="1:37" x14ac:dyDescent="0.25">
      <c r="A237" s="116" t="s">
        <v>230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231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0.995</v>
      </c>
      <c r="AH238" s="47"/>
      <c r="AI238" s="48"/>
      <c r="AK238" s="50"/>
    </row>
    <row r="239" spans="1:37" x14ac:dyDescent="0.25">
      <c r="A239" s="116" t="s">
        <v>232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0.99299999999999999</v>
      </c>
      <c r="AH239" s="47"/>
      <c r="AI239" s="48"/>
      <c r="AK239" s="50"/>
    </row>
    <row r="240" spans="1:37" x14ac:dyDescent="0.25">
      <c r="A240" s="116" t="s">
        <v>233</v>
      </c>
      <c r="B240" s="129"/>
      <c r="C240" s="127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</v>
      </c>
      <c r="AH240" s="47"/>
      <c r="AI240" s="48"/>
      <c r="AK240" s="50"/>
    </row>
    <row r="241" spans="1:37" ht="15.75" thickBot="1" x14ac:dyDescent="0.3">
      <c r="A241" s="116" t="s">
        <v>234</v>
      </c>
      <c r="B241" s="133"/>
      <c r="C241" s="134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2">
        <v>0.97899999999999998</v>
      </c>
      <c r="AH241" s="47"/>
      <c r="AI241" s="48"/>
      <c r="AK241" s="50"/>
    </row>
    <row r="242" spans="1:37" ht="15.75" thickBot="1" x14ac:dyDescent="0.3">
      <c r="A242" s="135" t="s">
        <v>235</v>
      </c>
      <c r="B242" s="136">
        <f t="shared" ref="B242:AG242" si="135">SUM(B137:B241)</f>
        <v>0</v>
      </c>
      <c r="C242" s="137">
        <f t="shared" si="135"/>
        <v>0</v>
      </c>
      <c r="D242" s="137">
        <f t="shared" si="135"/>
        <v>0</v>
      </c>
      <c r="E242" s="137">
        <f t="shared" si="135"/>
        <v>0</v>
      </c>
      <c r="F242" s="137">
        <f t="shared" si="135"/>
        <v>0</v>
      </c>
      <c r="G242" s="137">
        <f t="shared" si="135"/>
        <v>0</v>
      </c>
      <c r="H242" s="137">
        <f t="shared" si="135"/>
        <v>0</v>
      </c>
      <c r="I242" s="137">
        <f t="shared" si="135"/>
        <v>0</v>
      </c>
      <c r="J242" s="137">
        <f t="shared" si="135"/>
        <v>0</v>
      </c>
      <c r="K242" s="137">
        <f t="shared" si="135"/>
        <v>0</v>
      </c>
      <c r="L242" s="137">
        <f t="shared" si="135"/>
        <v>0</v>
      </c>
      <c r="M242" s="137">
        <f t="shared" si="135"/>
        <v>0</v>
      </c>
      <c r="N242" s="137">
        <f t="shared" si="135"/>
        <v>0</v>
      </c>
      <c r="O242" s="137">
        <f t="shared" si="135"/>
        <v>0</v>
      </c>
      <c r="P242" s="137">
        <f t="shared" si="135"/>
        <v>0</v>
      </c>
      <c r="Q242" s="137">
        <f t="shared" si="135"/>
        <v>0</v>
      </c>
      <c r="R242" s="137">
        <f t="shared" si="135"/>
        <v>0</v>
      </c>
      <c r="S242" s="137">
        <f t="shared" si="135"/>
        <v>0</v>
      </c>
      <c r="T242" s="137">
        <f t="shared" si="135"/>
        <v>0</v>
      </c>
      <c r="U242" s="137">
        <f t="shared" si="135"/>
        <v>0</v>
      </c>
      <c r="V242" s="137">
        <f t="shared" si="135"/>
        <v>0</v>
      </c>
      <c r="W242" s="137">
        <f t="shared" si="135"/>
        <v>0</v>
      </c>
      <c r="X242" s="137">
        <f t="shared" si="135"/>
        <v>0</v>
      </c>
      <c r="Y242" s="137">
        <f t="shared" si="135"/>
        <v>0</v>
      </c>
      <c r="Z242" s="137">
        <f t="shared" si="135"/>
        <v>0</v>
      </c>
      <c r="AA242" s="137">
        <f t="shared" si="135"/>
        <v>0</v>
      </c>
      <c r="AB242" s="137">
        <f t="shared" si="135"/>
        <v>0</v>
      </c>
      <c r="AC242" s="137">
        <f t="shared" si="135"/>
        <v>0</v>
      </c>
      <c r="AD242" s="137">
        <f t="shared" si="135"/>
        <v>0</v>
      </c>
      <c r="AE242" s="137">
        <f t="shared" si="135"/>
        <v>0</v>
      </c>
      <c r="AF242" s="138">
        <f t="shared" si="135"/>
        <v>0</v>
      </c>
      <c r="AG242" s="139">
        <f t="shared" si="135"/>
        <v>412.72299999999984</v>
      </c>
      <c r="AH242" s="47"/>
      <c r="AI242" s="48"/>
      <c r="AK242" s="50"/>
    </row>
    <row r="243" spans="1:37" ht="15.75" thickBot="1" x14ac:dyDescent="0.3">
      <c r="A243" s="26" t="s">
        <v>75</v>
      </c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19"/>
      <c r="AH243" s="47"/>
      <c r="AI243" s="48"/>
      <c r="AK243" s="50"/>
    </row>
    <row r="244" spans="1:37" x14ac:dyDescent="0.25">
      <c r="A244" s="100" t="s">
        <v>236</v>
      </c>
      <c r="B244" s="141">
        <f t="shared" ref="B244:B249" si="136">AF244</f>
        <v>0.3</v>
      </c>
      <c r="C244" s="141">
        <v>0.3</v>
      </c>
      <c r="D244" s="141">
        <f t="shared" ref="D244:S249" si="137">C244</f>
        <v>0.3</v>
      </c>
      <c r="E244" s="141">
        <f t="shared" si="137"/>
        <v>0.3</v>
      </c>
      <c r="F244" s="141">
        <f t="shared" si="137"/>
        <v>0.3</v>
      </c>
      <c r="G244" s="141">
        <f t="shared" si="137"/>
        <v>0.3</v>
      </c>
      <c r="H244" s="141">
        <f t="shared" si="137"/>
        <v>0.3</v>
      </c>
      <c r="I244" s="141">
        <f t="shared" si="137"/>
        <v>0.3</v>
      </c>
      <c r="J244" s="141">
        <f t="shared" si="137"/>
        <v>0.3</v>
      </c>
      <c r="K244" s="141">
        <f t="shared" si="137"/>
        <v>0.3</v>
      </c>
      <c r="L244" s="141">
        <f t="shared" si="137"/>
        <v>0.3</v>
      </c>
      <c r="M244" s="141">
        <f t="shared" si="137"/>
        <v>0.3</v>
      </c>
      <c r="N244" s="141">
        <f t="shared" si="137"/>
        <v>0.3</v>
      </c>
      <c r="O244" s="141">
        <f t="shared" si="137"/>
        <v>0.3</v>
      </c>
      <c r="P244" s="141">
        <f t="shared" si="137"/>
        <v>0.3</v>
      </c>
      <c r="Q244" s="141">
        <f t="shared" si="137"/>
        <v>0.3</v>
      </c>
      <c r="R244" s="141">
        <f t="shared" si="137"/>
        <v>0.3</v>
      </c>
      <c r="S244" s="141">
        <f t="shared" si="137"/>
        <v>0.3</v>
      </c>
      <c r="T244" s="141">
        <f t="shared" ref="T244:AF249" si="138">S244</f>
        <v>0.3</v>
      </c>
      <c r="U244" s="141">
        <f t="shared" si="138"/>
        <v>0.3</v>
      </c>
      <c r="V244" s="141">
        <f t="shared" si="138"/>
        <v>0.3</v>
      </c>
      <c r="W244" s="141">
        <f t="shared" si="138"/>
        <v>0.3</v>
      </c>
      <c r="X244" s="141">
        <f t="shared" si="138"/>
        <v>0.3</v>
      </c>
      <c r="Y244" s="141">
        <f t="shared" si="138"/>
        <v>0.3</v>
      </c>
      <c r="Z244" s="141">
        <f t="shared" si="138"/>
        <v>0.3</v>
      </c>
      <c r="AA244" s="141">
        <f t="shared" si="138"/>
        <v>0.3</v>
      </c>
      <c r="AB244" s="141">
        <f t="shared" si="138"/>
        <v>0.3</v>
      </c>
      <c r="AC244" s="141">
        <f t="shared" si="138"/>
        <v>0.3</v>
      </c>
      <c r="AD244" s="141">
        <f t="shared" si="138"/>
        <v>0.3</v>
      </c>
      <c r="AE244" s="141">
        <f t="shared" si="138"/>
        <v>0.3</v>
      </c>
      <c r="AF244" s="141">
        <f t="shared" si="138"/>
        <v>0.3</v>
      </c>
      <c r="AG244" s="142">
        <v>2.4</v>
      </c>
      <c r="AH244" s="47"/>
      <c r="AI244" s="48"/>
      <c r="AK244" s="50"/>
    </row>
    <row r="245" spans="1:37" x14ac:dyDescent="0.25">
      <c r="A245" s="103" t="s">
        <v>237</v>
      </c>
      <c r="B245" s="129">
        <f t="shared" si="136"/>
        <v>0.4</v>
      </c>
      <c r="C245" s="129">
        <v>0.4</v>
      </c>
      <c r="D245" s="129">
        <f t="shared" si="137"/>
        <v>0.4</v>
      </c>
      <c r="E245" s="129">
        <f t="shared" si="137"/>
        <v>0.4</v>
      </c>
      <c r="F245" s="129">
        <f t="shared" si="137"/>
        <v>0.4</v>
      </c>
      <c r="G245" s="129">
        <f t="shared" si="137"/>
        <v>0.4</v>
      </c>
      <c r="H245" s="129">
        <f t="shared" si="137"/>
        <v>0.4</v>
      </c>
      <c r="I245" s="129">
        <f t="shared" si="137"/>
        <v>0.4</v>
      </c>
      <c r="J245" s="129">
        <f t="shared" si="137"/>
        <v>0.4</v>
      </c>
      <c r="K245" s="129">
        <f t="shared" si="137"/>
        <v>0.4</v>
      </c>
      <c r="L245" s="129">
        <f t="shared" si="137"/>
        <v>0.4</v>
      </c>
      <c r="M245" s="129">
        <f t="shared" si="137"/>
        <v>0.4</v>
      </c>
      <c r="N245" s="129">
        <f t="shared" si="137"/>
        <v>0.4</v>
      </c>
      <c r="O245" s="129">
        <f t="shared" si="137"/>
        <v>0.4</v>
      </c>
      <c r="P245" s="129">
        <f t="shared" si="137"/>
        <v>0.4</v>
      </c>
      <c r="Q245" s="129">
        <f t="shared" si="137"/>
        <v>0.4</v>
      </c>
      <c r="R245" s="129">
        <f t="shared" si="137"/>
        <v>0.4</v>
      </c>
      <c r="S245" s="129">
        <f t="shared" si="137"/>
        <v>0.4</v>
      </c>
      <c r="T245" s="129">
        <f t="shared" si="138"/>
        <v>0.4</v>
      </c>
      <c r="U245" s="129">
        <f t="shared" si="138"/>
        <v>0.4</v>
      </c>
      <c r="V245" s="129">
        <f t="shared" si="138"/>
        <v>0.4</v>
      </c>
      <c r="W245" s="129">
        <f t="shared" si="138"/>
        <v>0.4</v>
      </c>
      <c r="X245" s="129">
        <f t="shared" si="138"/>
        <v>0.4</v>
      </c>
      <c r="Y245" s="129">
        <f t="shared" si="138"/>
        <v>0.4</v>
      </c>
      <c r="Z245" s="129">
        <f t="shared" si="138"/>
        <v>0.4</v>
      </c>
      <c r="AA245" s="129">
        <f t="shared" si="138"/>
        <v>0.4</v>
      </c>
      <c r="AB245" s="129">
        <f t="shared" si="138"/>
        <v>0.4</v>
      </c>
      <c r="AC245" s="129">
        <f t="shared" si="138"/>
        <v>0.4</v>
      </c>
      <c r="AD245" s="129">
        <f t="shared" si="138"/>
        <v>0.4</v>
      </c>
      <c r="AE245" s="129">
        <f t="shared" si="138"/>
        <v>0.4</v>
      </c>
      <c r="AF245" s="129">
        <f t="shared" si="138"/>
        <v>0.4</v>
      </c>
      <c r="AG245" s="143">
        <v>2</v>
      </c>
      <c r="AH245" s="47"/>
      <c r="AI245" s="48"/>
      <c r="AK245" s="50"/>
    </row>
    <row r="246" spans="1:37" x14ac:dyDescent="0.25">
      <c r="A246" s="103" t="s">
        <v>238</v>
      </c>
      <c r="B246" s="129">
        <f t="shared" si="136"/>
        <v>1.5</v>
      </c>
      <c r="C246" s="129">
        <v>1.5</v>
      </c>
      <c r="D246" s="129">
        <f t="shared" si="137"/>
        <v>1.5</v>
      </c>
      <c r="E246" s="129">
        <f t="shared" si="137"/>
        <v>1.5</v>
      </c>
      <c r="F246" s="129">
        <f t="shared" si="137"/>
        <v>1.5</v>
      </c>
      <c r="G246" s="129">
        <f t="shared" si="137"/>
        <v>1.5</v>
      </c>
      <c r="H246" s="129">
        <f t="shared" si="137"/>
        <v>1.5</v>
      </c>
      <c r="I246" s="129">
        <f t="shared" si="137"/>
        <v>1.5</v>
      </c>
      <c r="J246" s="129">
        <f t="shared" si="137"/>
        <v>1.5</v>
      </c>
      <c r="K246" s="129">
        <f t="shared" si="137"/>
        <v>1.5</v>
      </c>
      <c r="L246" s="129">
        <f t="shared" si="137"/>
        <v>1.5</v>
      </c>
      <c r="M246" s="129">
        <f t="shared" si="137"/>
        <v>1.5</v>
      </c>
      <c r="N246" s="129">
        <f t="shared" si="137"/>
        <v>1.5</v>
      </c>
      <c r="O246" s="129">
        <f t="shared" si="137"/>
        <v>1.5</v>
      </c>
      <c r="P246" s="129">
        <f t="shared" si="137"/>
        <v>1.5</v>
      </c>
      <c r="Q246" s="129">
        <f t="shared" si="137"/>
        <v>1.5</v>
      </c>
      <c r="R246" s="129">
        <f t="shared" si="137"/>
        <v>1.5</v>
      </c>
      <c r="S246" s="129">
        <f t="shared" si="137"/>
        <v>1.5</v>
      </c>
      <c r="T246" s="129">
        <f t="shared" si="138"/>
        <v>1.5</v>
      </c>
      <c r="U246" s="129">
        <f t="shared" si="138"/>
        <v>1.5</v>
      </c>
      <c r="V246" s="129">
        <f t="shared" si="138"/>
        <v>1.5</v>
      </c>
      <c r="W246" s="129">
        <f t="shared" si="138"/>
        <v>1.5</v>
      </c>
      <c r="X246" s="129">
        <f t="shared" si="138"/>
        <v>1.5</v>
      </c>
      <c r="Y246" s="129">
        <f t="shared" si="138"/>
        <v>1.5</v>
      </c>
      <c r="Z246" s="129">
        <f t="shared" si="138"/>
        <v>1.5</v>
      </c>
      <c r="AA246" s="129">
        <f t="shared" si="138"/>
        <v>1.5</v>
      </c>
      <c r="AB246" s="129">
        <f t="shared" si="138"/>
        <v>1.5</v>
      </c>
      <c r="AC246" s="129">
        <f t="shared" si="138"/>
        <v>1.5</v>
      </c>
      <c r="AD246" s="129">
        <f t="shared" si="138"/>
        <v>1.5</v>
      </c>
      <c r="AE246" s="129">
        <f t="shared" si="138"/>
        <v>1.5</v>
      </c>
      <c r="AF246" s="129">
        <f t="shared" si="138"/>
        <v>1.5</v>
      </c>
      <c r="AG246" s="143">
        <v>1.5</v>
      </c>
      <c r="AH246" s="47"/>
      <c r="AI246" s="48"/>
      <c r="AK246" s="50"/>
    </row>
    <row r="247" spans="1:37" x14ac:dyDescent="0.25">
      <c r="A247" s="103" t="s">
        <v>239</v>
      </c>
      <c r="B247" s="129">
        <f t="shared" si="136"/>
        <v>0.3</v>
      </c>
      <c r="C247" s="129">
        <v>0.3</v>
      </c>
      <c r="D247" s="129">
        <f t="shared" si="137"/>
        <v>0.3</v>
      </c>
      <c r="E247" s="129">
        <f t="shared" si="137"/>
        <v>0.3</v>
      </c>
      <c r="F247" s="129">
        <f t="shared" si="137"/>
        <v>0.3</v>
      </c>
      <c r="G247" s="129">
        <f t="shared" si="137"/>
        <v>0.3</v>
      </c>
      <c r="H247" s="129">
        <f t="shared" si="137"/>
        <v>0.3</v>
      </c>
      <c r="I247" s="129">
        <f t="shared" si="137"/>
        <v>0.3</v>
      </c>
      <c r="J247" s="129">
        <f t="shared" si="137"/>
        <v>0.3</v>
      </c>
      <c r="K247" s="129">
        <f t="shared" si="137"/>
        <v>0.3</v>
      </c>
      <c r="L247" s="129">
        <f t="shared" si="137"/>
        <v>0.3</v>
      </c>
      <c r="M247" s="129">
        <f t="shared" si="137"/>
        <v>0.3</v>
      </c>
      <c r="N247" s="129">
        <f t="shared" si="137"/>
        <v>0.3</v>
      </c>
      <c r="O247" s="129">
        <f t="shared" si="137"/>
        <v>0.3</v>
      </c>
      <c r="P247" s="129">
        <f t="shared" si="137"/>
        <v>0.3</v>
      </c>
      <c r="Q247" s="129">
        <f t="shared" si="137"/>
        <v>0.3</v>
      </c>
      <c r="R247" s="129">
        <f t="shared" si="137"/>
        <v>0.3</v>
      </c>
      <c r="S247" s="129">
        <f t="shared" si="137"/>
        <v>0.3</v>
      </c>
      <c r="T247" s="129">
        <f t="shared" si="138"/>
        <v>0.3</v>
      </c>
      <c r="U247" s="129">
        <f t="shared" si="138"/>
        <v>0.3</v>
      </c>
      <c r="V247" s="129">
        <f t="shared" si="138"/>
        <v>0.3</v>
      </c>
      <c r="W247" s="129">
        <f t="shared" si="138"/>
        <v>0.3</v>
      </c>
      <c r="X247" s="129">
        <f t="shared" si="138"/>
        <v>0.3</v>
      </c>
      <c r="Y247" s="129">
        <f t="shared" si="138"/>
        <v>0.3</v>
      </c>
      <c r="Z247" s="129">
        <f t="shared" si="138"/>
        <v>0.3</v>
      </c>
      <c r="AA247" s="129">
        <f t="shared" si="138"/>
        <v>0.3</v>
      </c>
      <c r="AB247" s="129">
        <f t="shared" si="138"/>
        <v>0.3</v>
      </c>
      <c r="AC247" s="129">
        <f t="shared" si="138"/>
        <v>0.3</v>
      </c>
      <c r="AD247" s="129">
        <f t="shared" si="138"/>
        <v>0.3</v>
      </c>
      <c r="AE247" s="129">
        <f t="shared" si="138"/>
        <v>0.3</v>
      </c>
      <c r="AF247" s="129">
        <f t="shared" si="138"/>
        <v>0.3</v>
      </c>
      <c r="AG247" s="143">
        <v>1</v>
      </c>
      <c r="AH247" s="47"/>
      <c r="AI247" s="48"/>
      <c r="AK247" s="50"/>
    </row>
    <row r="248" spans="1:37" x14ac:dyDescent="0.25">
      <c r="A248" s="103" t="s">
        <v>240</v>
      </c>
      <c r="B248" s="129">
        <f t="shared" si="136"/>
        <v>0.4</v>
      </c>
      <c r="C248" s="129">
        <v>0.4</v>
      </c>
      <c r="D248" s="129">
        <f t="shared" si="137"/>
        <v>0.4</v>
      </c>
      <c r="E248" s="129">
        <f t="shared" si="137"/>
        <v>0.4</v>
      </c>
      <c r="F248" s="129">
        <f t="shared" si="137"/>
        <v>0.4</v>
      </c>
      <c r="G248" s="129">
        <f t="shared" si="137"/>
        <v>0.4</v>
      </c>
      <c r="H248" s="129">
        <f t="shared" si="137"/>
        <v>0.4</v>
      </c>
      <c r="I248" s="129">
        <f t="shared" si="137"/>
        <v>0.4</v>
      </c>
      <c r="J248" s="129">
        <f t="shared" si="137"/>
        <v>0.4</v>
      </c>
      <c r="K248" s="129">
        <f t="shared" si="137"/>
        <v>0.4</v>
      </c>
      <c r="L248" s="129">
        <f t="shared" si="137"/>
        <v>0.4</v>
      </c>
      <c r="M248" s="129">
        <f t="shared" si="137"/>
        <v>0.4</v>
      </c>
      <c r="N248" s="129">
        <f t="shared" si="137"/>
        <v>0.4</v>
      </c>
      <c r="O248" s="129">
        <f t="shared" si="137"/>
        <v>0.4</v>
      </c>
      <c r="P248" s="129">
        <f t="shared" si="137"/>
        <v>0.4</v>
      </c>
      <c r="Q248" s="129">
        <f t="shared" si="137"/>
        <v>0.4</v>
      </c>
      <c r="R248" s="129">
        <f t="shared" si="137"/>
        <v>0.4</v>
      </c>
      <c r="S248" s="129">
        <f t="shared" si="137"/>
        <v>0.4</v>
      </c>
      <c r="T248" s="129">
        <f t="shared" si="138"/>
        <v>0.4</v>
      </c>
      <c r="U248" s="129">
        <f t="shared" si="138"/>
        <v>0.4</v>
      </c>
      <c r="V248" s="129">
        <f t="shared" si="138"/>
        <v>0.4</v>
      </c>
      <c r="W248" s="129">
        <f t="shared" si="138"/>
        <v>0.4</v>
      </c>
      <c r="X248" s="129">
        <f t="shared" si="138"/>
        <v>0.4</v>
      </c>
      <c r="Y248" s="129">
        <f t="shared" si="138"/>
        <v>0.4</v>
      </c>
      <c r="Z248" s="129">
        <f t="shared" si="138"/>
        <v>0.4</v>
      </c>
      <c r="AA248" s="129">
        <f t="shared" si="138"/>
        <v>0.4</v>
      </c>
      <c r="AB248" s="129">
        <f t="shared" si="138"/>
        <v>0.4</v>
      </c>
      <c r="AC248" s="129">
        <f t="shared" si="138"/>
        <v>0.4</v>
      </c>
      <c r="AD248" s="129">
        <f t="shared" si="138"/>
        <v>0.4</v>
      </c>
      <c r="AE248" s="129">
        <f t="shared" si="138"/>
        <v>0.4</v>
      </c>
      <c r="AF248" s="129">
        <f t="shared" si="138"/>
        <v>0.4</v>
      </c>
      <c r="AG248" s="143">
        <v>1</v>
      </c>
      <c r="AH248" s="47"/>
      <c r="AI248" s="48"/>
      <c r="AK248" s="50"/>
    </row>
    <row r="249" spans="1:37" ht="15.75" thickBot="1" x14ac:dyDescent="0.3">
      <c r="A249" s="116" t="s">
        <v>241</v>
      </c>
      <c r="B249" s="133">
        <f t="shared" si="136"/>
        <v>0.64</v>
      </c>
      <c r="C249" s="133">
        <v>0.64</v>
      </c>
      <c r="D249" s="133">
        <f t="shared" si="137"/>
        <v>0.64</v>
      </c>
      <c r="E249" s="133">
        <f t="shared" si="137"/>
        <v>0.64</v>
      </c>
      <c r="F249" s="133">
        <f t="shared" si="137"/>
        <v>0.64</v>
      </c>
      <c r="G249" s="133">
        <f t="shared" si="137"/>
        <v>0.64</v>
      </c>
      <c r="H249" s="133">
        <f t="shared" si="137"/>
        <v>0.64</v>
      </c>
      <c r="I249" s="133">
        <f t="shared" si="137"/>
        <v>0.64</v>
      </c>
      <c r="J249" s="133">
        <f t="shared" si="137"/>
        <v>0.64</v>
      </c>
      <c r="K249" s="133">
        <f t="shared" si="137"/>
        <v>0.64</v>
      </c>
      <c r="L249" s="133">
        <f t="shared" si="137"/>
        <v>0.64</v>
      </c>
      <c r="M249" s="133">
        <f t="shared" si="137"/>
        <v>0.64</v>
      </c>
      <c r="N249" s="133">
        <f t="shared" si="137"/>
        <v>0.64</v>
      </c>
      <c r="O249" s="133">
        <f t="shared" si="137"/>
        <v>0.64</v>
      </c>
      <c r="P249" s="133">
        <f t="shared" si="137"/>
        <v>0.64</v>
      </c>
      <c r="Q249" s="133">
        <f t="shared" si="137"/>
        <v>0.64</v>
      </c>
      <c r="R249" s="133">
        <f t="shared" si="137"/>
        <v>0.64</v>
      </c>
      <c r="S249" s="133">
        <f t="shared" si="137"/>
        <v>0.64</v>
      </c>
      <c r="T249" s="133">
        <f t="shared" si="138"/>
        <v>0.64</v>
      </c>
      <c r="U249" s="133">
        <f t="shared" si="138"/>
        <v>0.64</v>
      </c>
      <c r="V249" s="133">
        <f t="shared" si="138"/>
        <v>0.64</v>
      </c>
      <c r="W249" s="133">
        <f t="shared" si="138"/>
        <v>0.64</v>
      </c>
      <c r="X249" s="133">
        <f t="shared" si="138"/>
        <v>0.64</v>
      </c>
      <c r="Y249" s="133">
        <f t="shared" si="138"/>
        <v>0.64</v>
      </c>
      <c r="Z249" s="133">
        <f t="shared" si="138"/>
        <v>0.64</v>
      </c>
      <c r="AA249" s="133">
        <f t="shared" si="138"/>
        <v>0.64</v>
      </c>
      <c r="AB249" s="133">
        <f t="shared" si="138"/>
        <v>0.64</v>
      </c>
      <c r="AC249" s="133">
        <f t="shared" si="138"/>
        <v>0.64</v>
      </c>
      <c r="AD249" s="133">
        <f t="shared" si="138"/>
        <v>0.64</v>
      </c>
      <c r="AE249" s="133">
        <f t="shared" si="138"/>
        <v>0.64</v>
      </c>
      <c r="AF249" s="133">
        <f t="shared" si="138"/>
        <v>0.64</v>
      </c>
      <c r="AG249" s="144">
        <v>0.66</v>
      </c>
      <c r="AH249" s="47"/>
      <c r="AI249" s="48"/>
    </row>
    <row r="250" spans="1:37" ht="15.75" thickBot="1" x14ac:dyDescent="0.3">
      <c r="A250" s="145" t="s">
        <v>75</v>
      </c>
      <c r="B250" s="137">
        <f t="shared" ref="B250:AG250" si="139">SUM(B244:B249)</f>
        <v>3.54</v>
      </c>
      <c r="C250" s="137">
        <f t="shared" si="139"/>
        <v>3.54</v>
      </c>
      <c r="D250" s="137">
        <f t="shared" si="139"/>
        <v>3.54</v>
      </c>
      <c r="E250" s="137">
        <f t="shared" si="139"/>
        <v>3.54</v>
      </c>
      <c r="F250" s="137">
        <f t="shared" si="139"/>
        <v>3.54</v>
      </c>
      <c r="G250" s="137">
        <f t="shared" si="139"/>
        <v>3.54</v>
      </c>
      <c r="H250" s="137">
        <f t="shared" si="139"/>
        <v>3.54</v>
      </c>
      <c r="I250" s="137">
        <f t="shared" si="139"/>
        <v>3.54</v>
      </c>
      <c r="J250" s="137">
        <f t="shared" si="139"/>
        <v>3.54</v>
      </c>
      <c r="K250" s="137">
        <f t="shared" si="139"/>
        <v>3.54</v>
      </c>
      <c r="L250" s="137">
        <f t="shared" si="139"/>
        <v>3.54</v>
      </c>
      <c r="M250" s="137">
        <f t="shared" si="139"/>
        <v>3.54</v>
      </c>
      <c r="N250" s="137">
        <f t="shared" si="139"/>
        <v>3.54</v>
      </c>
      <c r="O250" s="137">
        <f t="shared" si="139"/>
        <v>3.54</v>
      </c>
      <c r="P250" s="137">
        <f t="shared" si="139"/>
        <v>3.54</v>
      </c>
      <c r="Q250" s="137">
        <f t="shared" si="139"/>
        <v>3.54</v>
      </c>
      <c r="R250" s="137">
        <f t="shared" si="139"/>
        <v>3.54</v>
      </c>
      <c r="S250" s="137">
        <f t="shared" si="139"/>
        <v>3.54</v>
      </c>
      <c r="T250" s="137">
        <f t="shared" si="139"/>
        <v>3.54</v>
      </c>
      <c r="U250" s="137">
        <f t="shared" si="139"/>
        <v>3.54</v>
      </c>
      <c r="V250" s="137">
        <f t="shared" si="139"/>
        <v>3.54</v>
      </c>
      <c r="W250" s="137">
        <f t="shared" si="139"/>
        <v>3.54</v>
      </c>
      <c r="X250" s="137">
        <f t="shared" si="139"/>
        <v>3.54</v>
      </c>
      <c r="Y250" s="137">
        <f t="shared" si="139"/>
        <v>3.54</v>
      </c>
      <c r="Z250" s="137">
        <f t="shared" si="139"/>
        <v>3.54</v>
      </c>
      <c r="AA250" s="137">
        <f t="shared" si="139"/>
        <v>3.54</v>
      </c>
      <c r="AB250" s="137">
        <f t="shared" si="139"/>
        <v>3.54</v>
      </c>
      <c r="AC250" s="137">
        <f t="shared" si="139"/>
        <v>3.54</v>
      </c>
      <c r="AD250" s="137">
        <f t="shared" si="139"/>
        <v>3.54</v>
      </c>
      <c r="AE250" s="137">
        <f t="shared" si="139"/>
        <v>3.54</v>
      </c>
      <c r="AF250" s="137">
        <f t="shared" si="139"/>
        <v>3.54</v>
      </c>
      <c r="AG250" s="146">
        <f t="shared" si="139"/>
        <v>8.56</v>
      </c>
      <c r="AH250" s="47"/>
      <c r="AI250" s="48"/>
    </row>
    <row r="251" spans="1:37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140"/>
      <c r="AH251" s="43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1706.94</v>
      </c>
      <c r="C254" s="162">
        <f>INDEX(G9:N9,1,MATCH(MAX(G99:N99),G99:N99,0))</f>
        <v>0.33333333333333331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20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2080/09/20)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2080/09/20)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140">B99</f>
        <v>1014.1400000000001</v>
      </c>
      <c r="U259" s="171">
        <f t="shared" si="140"/>
        <v>1001.1400000000001</v>
      </c>
      <c r="V259" s="171">
        <f t="shared" si="140"/>
        <v>975.1400000000001</v>
      </c>
      <c r="W259" s="171">
        <f t="shared" si="140"/>
        <v>956.6400000000001</v>
      </c>
      <c r="X259" s="171">
        <f t="shared" si="140"/>
        <v>956.6400000000001</v>
      </c>
      <c r="Y259" s="171">
        <f t="shared" si="140"/>
        <v>1056.6400000000001</v>
      </c>
      <c r="Z259" s="171">
        <f t="shared" si="140"/>
        <v>1178.8400000000001</v>
      </c>
      <c r="AA259" s="171">
        <f t="shared" si="140"/>
        <v>1258.1400000000001</v>
      </c>
      <c r="AB259" s="171">
        <f t="shared" si="140"/>
        <v>1419.8400000000001</v>
      </c>
      <c r="AC259" s="171">
        <f t="shared" si="140"/>
        <v>1591.74</v>
      </c>
      <c r="AD259" s="171">
        <f t="shared" si="140"/>
        <v>1653.34</v>
      </c>
      <c r="AE259" s="171">
        <f t="shared" si="140"/>
        <v>1706.94</v>
      </c>
      <c r="AF259" s="171">
        <f t="shared" si="140"/>
        <v>1633.64</v>
      </c>
      <c r="AG259" s="171">
        <f t="shared" si="140"/>
        <v>1530.24</v>
      </c>
      <c r="AH259" s="171">
        <f t="shared" si="140"/>
        <v>1478.1399999999999</v>
      </c>
      <c r="AI259" s="171">
        <f t="shared" si="140"/>
        <v>1392.4399999999998</v>
      </c>
      <c r="AJ259" s="171">
        <f t="shared" si="140"/>
        <v>1349.4399999999998</v>
      </c>
      <c r="AK259" s="171">
        <f t="shared" si="140"/>
        <v>1341.04</v>
      </c>
      <c r="AL259" s="171">
        <f t="shared" si="140"/>
        <v>1362.6399999999999</v>
      </c>
      <c r="AM259" s="171">
        <f t="shared" si="140"/>
        <v>1350.1399999999999</v>
      </c>
      <c r="AN259" s="171">
        <f t="shared" si="140"/>
        <v>1498.54</v>
      </c>
      <c r="AO259" s="171">
        <f t="shared" si="140"/>
        <v>1645.44</v>
      </c>
      <c r="AP259" s="171">
        <f t="shared" si="140"/>
        <v>1772.8400000000001</v>
      </c>
      <c r="AQ259" s="171">
        <f t="shared" si="140"/>
        <v>1734.34</v>
      </c>
      <c r="AR259" s="171">
        <f t="shared" si="140"/>
        <v>1658.84</v>
      </c>
      <c r="AS259" s="171">
        <f t="shared" si="140"/>
        <v>1644.1399999999999</v>
      </c>
      <c r="AT259" s="171">
        <f t="shared" si="140"/>
        <v>1564.44</v>
      </c>
      <c r="AU259" s="171">
        <f t="shared" si="140"/>
        <v>1503.64</v>
      </c>
      <c r="AV259" s="171">
        <f t="shared" si="140"/>
        <v>1399.14</v>
      </c>
      <c r="AW259" s="171">
        <f t="shared" si="140"/>
        <v>1189.54</v>
      </c>
      <c r="AX259" s="171">
        <f t="shared" si="140"/>
        <v>1063.54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141">C249</f>
        <v>0.64</v>
      </c>
      <c r="C280" s="174">
        <f t="shared" si="141"/>
        <v>0.64</v>
      </c>
      <c r="D280" s="174">
        <f t="shared" si="141"/>
        <v>0.64</v>
      </c>
      <c r="E280" s="174">
        <f t="shared" si="141"/>
        <v>0.64</v>
      </c>
      <c r="F280" s="174">
        <f t="shared" si="141"/>
        <v>0.64</v>
      </c>
      <c r="G280" s="174">
        <f t="shared" si="141"/>
        <v>0.64</v>
      </c>
      <c r="H280" s="174">
        <f t="shared" si="141"/>
        <v>0.64</v>
      </c>
      <c r="I280" s="174">
        <f t="shared" si="141"/>
        <v>0.64</v>
      </c>
      <c r="J280" s="174">
        <f t="shared" si="141"/>
        <v>0.64</v>
      </c>
      <c r="K280" s="174">
        <f t="shared" si="141"/>
        <v>0.64</v>
      </c>
      <c r="L280" s="174">
        <f t="shared" si="141"/>
        <v>0.64</v>
      </c>
      <c r="M280" s="174">
        <f t="shared" si="141"/>
        <v>0.64</v>
      </c>
      <c r="N280" s="174">
        <f t="shared" si="141"/>
        <v>0.64</v>
      </c>
      <c r="O280" s="174">
        <f t="shared" si="141"/>
        <v>0.64</v>
      </c>
      <c r="P280" s="174">
        <f t="shared" si="141"/>
        <v>0.64</v>
      </c>
      <c r="Q280" s="174">
        <f t="shared" si="141"/>
        <v>0.64</v>
      </c>
      <c r="R280" s="174">
        <f t="shared" si="141"/>
        <v>0.64</v>
      </c>
      <c r="S280" s="174">
        <f t="shared" si="141"/>
        <v>0.64</v>
      </c>
      <c r="T280" s="174">
        <f t="shared" si="141"/>
        <v>0.64</v>
      </c>
      <c r="U280" s="174">
        <f t="shared" si="141"/>
        <v>0.64</v>
      </c>
      <c r="V280" s="174">
        <f t="shared" si="141"/>
        <v>0.64</v>
      </c>
      <c r="W280" s="174">
        <f t="shared" si="141"/>
        <v>0.64</v>
      </c>
      <c r="X280" s="174">
        <f t="shared" si="141"/>
        <v>0.64</v>
      </c>
      <c r="Y280" s="174">
        <f t="shared" si="141"/>
        <v>0.64</v>
      </c>
      <c r="Z280" s="174">
        <f t="shared" si="141"/>
        <v>0.64</v>
      </c>
      <c r="AA280" s="174">
        <f t="shared" si="141"/>
        <v>0.64</v>
      </c>
      <c r="AB280" s="174">
        <f t="shared" si="141"/>
        <v>0.64</v>
      </c>
      <c r="AC280" s="174">
        <f t="shared" si="141"/>
        <v>0.64</v>
      </c>
      <c r="AD280" s="174">
        <f t="shared" si="141"/>
        <v>0.64</v>
      </c>
      <c r="AE280" s="174">
        <f t="shared" si="141"/>
        <v>0.64</v>
      </c>
      <c r="AF280" s="174">
        <f>B249</f>
        <v>0.64</v>
      </c>
      <c r="AG280" s="43"/>
      <c r="AH280" s="43"/>
    </row>
    <row r="281" spans="1:34" x14ac:dyDescent="0.25">
      <c r="A281" s="175" t="str">
        <f>A132</f>
        <v>KGA</v>
      </c>
      <c r="B281" s="175" t="str">
        <f t="shared" ref="B281:AF281" si="142">IF(B132&lt;100,"",B132-520)</f>
        <v/>
      </c>
      <c r="C281" s="175" t="str">
        <f t="shared" si="142"/>
        <v/>
      </c>
      <c r="D281" s="175" t="str">
        <f t="shared" si="142"/>
        <v/>
      </c>
      <c r="E281" s="175" t="str">
        <f t="shared" si="142"/>
        <v/>
      </c>
      <c r="F281" s="175" t="str">
        <f t="shared" si="142"/>
        <v/>
      </c>
      <c r="G281" s="175" t="str">
        <f t="shared" si="142"/>
        <v/>
      </c>
      <c r="H281" s="175" t="str">
        <f t="shared" si="142"/>
        <v/>
      </c>
      <c r="I281" s="175" t="str">
        <f t="shared" si="142"/>
        <v/>
      </c>
      <c r="J281" s="175" t="str">
        <f t="shared" si="142"/>
        <v/>
      </c>
      <c r="K281" s="175" t="str">
        <f t="shared" si="142"/>
        <v/>
      </c>
      <c r="L281" s="175" t="str">
        <f t="shared" si="142"/>
        <v/>
      </c>
      <c r="M281" s="175" t="str">
        <f t="shared" si="142"/>
        <v/>
      </c>
      <c r="N281" s="175" t="str">
        <f t="shared" si="142"/>
        <v/>
      </c>
      <c r="O281" s="175" t="str">
        <f t="shared" si="142"/>
        <v/>
      </c>
      <c r="P281" s="175" t="str">
        <f t="shared" si="142"/>
        <v/>
      </c>
      <c r="Q281" s="175" t="str">
        <f t="shared" si="142"/>
        <v/>
      </c>
      <c r="R281" s="175" t="str">
        <f t="shared" si="142"/>
        <v/>
      </c>
      <c r="S281" s="175" t="str">
        <f t="shared" si="142"/>
        <v/>
      </c>
      <c r="T281" s="175" t="str">
        <f t="shared" si="142"/>
        <v/>
      </c>
      <c r="U281" s="175" t="str">
        <f t="shared" si="142"/>
        <v/>
      </c>
      <c r="V281" s="175" t="str">
        <f t="shared" si="142"/>
        <v/>
      </c>
      <c r="W281" s="175" t="str">
        <f t="shared" si="142"/>
        <v/>
      </c>
      <c r="X281" s="175" t="str">
        <f t="shared" si="142"/>
        <v/>
      </c>
      <c r="Y281" s="175" t="str">
        <f t="shared" si="142"/>
        <v/>
      </c>
      <c r="Z281" s="175" t="str">
        <f t="shared" si="142"/>
        <v/>
      </c>
      <c r="AA281" s="175" t="str">
        <f t="shared" si="142"/>
        <v/>
      </c>
      <c r="AB281" s="175" t="str">
        <f t="shared" si="142"/>
        <v/>
      </c>
      <c r="AC281" s="175" t="str">
        <f t="shared" si="142"/>
        <v/>
      </c>
      <c r="AD281" s="175" t="str">
        <f t="shared" si="142"/>
        <v/>
      </c>
      <c r="AE281" s="175" t="str">
        <f t="shared" si="142"/>
        <v/>
      </c>
      <c r="AF281" s="175" t="str">
        <f t="shared" si="142"/>
        <v/>
      </c>
      <c r="AG281" s="43"/>
      <c r="AH281" s="43"/>
    </row>
    <row r="282" spans="1:34" x14ac:dyDescent="0.25">
      <c r="A282" s="175" t="str">
        <f>A133</f>
        <v>MMRS</v>
      </c>
      <c r="B282" s="175" t="str">
        <f t="shared" ref="B282:AF282" si="143">IF(B133&lt;100,"",B133-620)</f>
        <v/>
      </c>
      <c r="C282" s="175" t="str">
        <f t="shared" si="143"/>
        <v/>
      </c>
      <c r="D282" s="175" t="str">
        <f t="shared" si="143"/>
        <v/>
      </c>
      <c r="E282" s="175" t="str">
        <f t="shared" si="143"/>
        <v/>
      </c>
      <c r="F282" s="175" t="str">
        <f t="shared" si="143"/>
        <v/>
      </c>
      <c r="G282" s="175" t="str">
        <f t="shared" si="143"/>
        <v/>
      </c>
      <c r="H282" s="175" t="str">
        <f t="shared" si="143"/>
        <v/>
      </c>
      <c r="I282" s="175" t="str">
        <f t="shared" si="143"/>
        <v/>
      </c>
      <c r="J282" s="175" t="str">
        <f t="shared" si="143"/>
        <v/>
      </c>
      <c r="K282" s="175" t="str">
        <f t="shared" si="143"/>
        <v/>
      </c>
      <c r="L282" s="175" t="str">
        <f t="shared" si="143"/>
        <v/>
      </c>
      <c r="M282" s="175" t="str">
        <f t="shared" si="143"/>
        <v/>
      </c>
      <c r="N282" s="175" t="str">
        <f t="shared" si="143"/>
        <v/>
      </c>
      <c r="O282" s="175" t="str">
        <f t="shared" si="143"/>
        <v/>
      </c>
      <c r="P282" s="175" t="str">
        <f t="shared" si="143"/>
        <v/>
      </c>
      <c r="Q282" s="175" t="str">
        <f t="shared" si="143"/>
        <v/>
      </c>
      <c r="R282" s="175" t="str">
        <f t="shared" si="143"/>
        <v/>
      </c>
      <c r="S282" s="175" t="str">
        <f t="shared" si="143"/>
        <v/>
      </c>
      <c r="T282" s="175" t="str">
        <f t="shared" si="143"/>
        <v/>
      </c>
      <c r="U282" s="175" t="str">
        <f t="shared" si="143"/>
        <v/>
      </c>
      <c r="V282" s="175" t="str">
        <f t="shared" si="143"/>
        <v/>
      </c>
      <c r="W282" s="175" t="str">
        <f t="shared" si="143"/>
        <v/>
      </c>
      <c r="X282" s="175" t="str">
        <f t="shared" si="143"/>
        <v/>
      </c>
      <c r="Y282" s="175" t="str">
        <f t="shared" si="143"/>
        <v/>
      </c>
      <c r="Z282" s="175" t="str">
        <f t="shared" si="143"/>
        <v/>
      </c>
      <c r="AA282" s="175" t="str">
        <f t="shared" si="143"/>
        <v/>
      </c>
      <c r="AB282" s="175" t="str">
        <f t="shared" si="143"/>
        <v/>
      </c>
      <c r="AC282" s="175" t="str">
        <f t="shared" si="143"/>
        <v/>
      </c>
      <c r="AD282" s="175" t="str">
        <f t="shared" si="143"/>
        <v/>
      </c>
      <c r="AE282" s="175" t="str">
        <f t="shared" si="143"/>
        <v/>
      </c>
      <c r="AF282" s="175" t="str">
        <f t="shared" si="143"/>
        <v/>
      </c>
      <c r="AG282" s="43"/>
      <c r="AH282" s="43"/>
    </row>
    <row r="283" spans="1:34" x14ac:dyDescent="0.25">
      <c r="A283" s="175" t="str">
        <f>A134</f>
        <v>MRS</v>
      </c>
      <c r="B283" s="175" t="str">
        <f t="shared" ref="B283:AF283" si="144">IF(B134&lt;100,"",B134-330)</f>
        <v/>
      </c>
      <c r="C283" s="175" t="str">
        <f t="shared" si="144"/>
        <v/>
      </c>
      <c r="D283" s="175" t="str">
        <f t="shared" si="144"/>
        <v/>
      </c>
      <c r="E283" s="175" t="str">
        <f t="shared" si="144"/>
        <v/>
      </c>
      <c r="F283" s="175" t="str">
        <f t="shared" si="144"/>
        <v/>
      </c>
      <c r="G283" s="175" t="str">
        <f t="shared" si="144"/>
        <v/>
      </c>
      <c r="H283" s="175" t="str">
        <f t="shared" si="144"/>
        <v/>
      </c>
      <c r="I283" s="175" t="str">
        <f t="shared" si="144"/>
        <v/>
      </c>
      <c r="J283" s="175" t="str">
        <f t="shared" si="144"/>
        <v/>
      </c>
      <c r="K283" s="175" t="str">
        <f t="shared" si="144"/>
        <v/>
      </c>
      <c r="L283" s="175" t="str">
        <f t="shared" si="144"/>
        <v/>
      </c>
      <c r="M283" s="175" t="str">
        <f t="shared" si="144"/>
        <v/>
      </c>
      <c r="N283" s="175" t="str">
        <f t="shared" si="144"/>
        <v/>
      </c>
      <c r="O283" s="175" t="str">
        <f t="shared" si="144"/>
        <v/>
      </c>
      <c r="P283" s="175" t="str">
        <f t="shared" si="144"/>
        <v/>
      </c>
      <c r="Q283" s="175" t="str">
        <f t="shared" si="144"/>
        <v/>
      </c>
      <c r="R283" s="175" t="str">
        <f t="shared" si="144"/>
        <v/>
      </c>
      <c r="S283" s="175" t="str">
        <f t="shared" si="144"/>
        <v/>
      </c>
      <c r="T283" s="175" t="str">
        <f t="shared" si="144"/>
        <v/>
      </c>
      <c r="U283" s="175" t="str">
        <f t="shared" si="144"/>
        <v/>
      </c>
      <c r="V283" s="175" t="str">
        <f t="shared" si="144"/>
        <v/>
      </c>
      <c r="W283" s="175" t="str">
        <f t="shared" si="144"/>
        <v/>
      </c>
      <c r="X283" s="175" t="str">
        <f t="shared" si="144"/>
        <v/>
      </c>
      <c r="Y283" s="175" t="str">
        <f t="shared" si="144"/>
        <v/>
      </c>
      <c r="Z283" s="175" t="str">
        <f t="shared" si="144"/>
        <v/>
      </c>
      <c r="AA283" s="175" t="str">
        <f t="shared" si="144"/>
        <v/>
      </c>
      <c r="AB283" s="175" t="str">
        <f t="shared" si="144"/>
        <v/>
      </c>
      <c r="AC283" s="175" t="str">
        <f t="shared" si="144"/>
        <v/>
      </c>
      <c r="AD283" s="175" t="str">
        <f t="shared" si="144"/>
        <v/>
      </c>
      <c r="AE283" s="175" t="str">
        <f t="shared" si="144"/>
        <v/>
      </c>
      <c r="AF283" s="175" t="str">
        <f t="shared" si="144"/>
        <v/>
      </c>
      <c r="AG283" s="43"/>
      <c r="AH283" s="43"/>
    </row>
    <row r="284" spans="1:34" x14ac:dyDescent="0.25">
      <c r="A284" s="175" t="str">
        <f>A135</f>
        <v>KL 1</v>
      </c>
      <c r="B284" s="175" t="str">
        <f t="shared" ref="B284:AF284" si="145">IF(B135&lt;100,"",B135-1500)</f>
        <v/>
      </c>
      <c r="C284" s="175" t="str">
        <f t="shared" si="145"/>
        <v/>
      </c>
      <c r="D284" s="175" t="str">
        <f t="shared" si="145"/>
        <v/>
      </c>
      <c r="E284" s="175" t="str">
        <f t="shared" si="145"/>
        <v/>
      </c>
      <c r="F284" s="175" t="str">
        <f t="shared" si="145"/>
        <v/>
      </c>
      <c r="G284" s="175" t="str">
        <f t="shared" si="145"/>
        <v/>
      </c>
      <c r="H284" s="175" t="str">
        <f t="shared" si="145"/>
        <v/>
      </c>
      <c r="I284" s="175" t="str">
        <f t="shared" si="145"/>
        <v/>
      </c>
      <c r="J284" s="175" t="str">
        <f t="shared" si="145"/>
        <v/>
      </c>
      <c r="K284" s="175" t="str">
        <f t="shared" si="145"/>
        <v/>
      </c>
      <c r="L284" s="175" t="str">
        <f t="shared" si="145"/>
        <v/>
      </c>
      <c r="M284" s="175" t="str">
        <f t="shared" si="145"/>
        <v/>
      </c>
      <c r="N284" s="175" t="str">
        <f t="shared" si="145"/>
        <v/>
      </c>
      <c r="O284" s="175" t="str">
        <f t="shared" si="145"/>
        <v/>
      </c>
      <c r="P284" s="175" t="str">
        <f t="shared" si="145"/>
        <v/>
      </c>
      <c r="Q284" s="175" t="str">
        <f t="shared" si="145"/>
        <v/>
      </c>
      <c r="R284" s="175" t="str">
        <f t="shared" si="145"/>
        <v/>
      </c>
      <c r="S284" s="175" t="str">
        <f t="shared" si="145"/>
        <v/>
      </c>
      <c r="T284" s="175" t="str">
        <f t="shared" si="145"/>
        <v/>
      </c>
      <c r="U284" s="175" t="str">
        <f t="shared" si="145"/>
        <v/>
      </c>
      <c r="V284" s="175" t="str">
        <f t="shared" si="145"/>
        <v/>
      </c>
      <c r="W284" s="175" t="str">
        <f t="shared" si="145"/>
        <v/>
      </c>
      <c r="X284" s="175" t="str">
        <f t="shared" si="145"/>
        <v/>
      </c>
      <c r="Y284" s="175" t="str">
        <f t="shared" si="145"/>
        <v/>
      </c>
      <c r="Z284" s="175" t="str">
        <f t="shared" si="145"/>
        <v/>
      </c>
      <c r="AA284" s="175" t="str">
        <f t="shared" si="145"/>
        <v/>
      </c>
      <c r="AB284" s="175" t="str">
        <f t="shared" si="145"/>
        <v/>
      </c>
      <c r="AC284" s="175" t="str">
        <f t="shared" si="145"/>
        <v/>
      </c>
      <c r="AD284" s="175" t="str">
        <f t="shared" si="145"/>
        <v/>
      </c>
      <c r="AE284" s="175" t="str">
        <f t="shared" si="145"/>
        <v/>
      </c>
      <c r="AF284" s="175" t="str">
        <f t="shared" si="145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phoneticPr fontId="34" type="noConversion"/>
  <conditionalFormatting sqref="A11:A130 A132:A251">
    <cfRule type="expression" dxfId="1444" priority="53">
      <formula>$AH11=0</formula>
    </cfRule>
  </conditionalFormatting>
  <conditionalFormatting sqref="B8 M8 S8 AB8">
    <cfRule type="expression" dxfId="1443" priority="115">
      <formula>C$9&lt;8/24</formula>
    </cfRule>
    <cfRule type="expression" dxfId="1442" priority="114">
      <formula>AND(C$9&gt;=8/24,C$9&lt;14/24)</formula>
    </cfRule>
    <cfRule type="expression" dxfId="1441" priority="113">
      <formula>AND(C$9&gt;=14/24,C$9&lt;20/24)</formula>
    </cfRule>
  </conditionalFormatting>
  <conditionalFormatting sqref="B63:L74 M69:T74">
    <cfRule type="expression" dxfId="1440" priority="16">
      <formula>AND(B$9&gt;=14/24,B$9&lt;20/24)</formula>
    </cfRule>
    <cfRule type="expression" dxfId="1439" priority="18">
      <formula>B$9&lt;8/24</formula>
    </cfRule>
    <cfRule type="expression" dxfId="1438" priority="15">
      <formula>B$9&gt;=20/24</formula>
    </cfRule>
    <cfRule type="expression" dxfId="1437" priority="17">
      <formula>AND(B$9&gt;=8/24,B$9&lt;14/24)</formula>
    </cfRule>
  </conditionalFormatting>
  <conditionalFormatting sqref="B9:AF52">
    <cfRule type="expression" dxfId="1436" priority="24">
      <formula>B$9&gt;=20/24</formula>
    </cfRule>
    <cfRule type="expression" dxfId="1435" priority="25">
      <formula>AND(B$9&gt;=14/24,B$9&lt;20/24)</formula>
    </cfRule>
    <cfRule type="expression" dxfId="1434" priority="26">
      <formula>AND(B$9&gt;=8/24,B$9&lt;14/24)</formula>
    </cfRule>
    <cfRule type="expression" dxfId="1433" priority="27">
      <formula>B$9&lt;8/24</formula>
    </cfRule>
  </conditionalFormatting>
  <conditionalFormatting sqref="B11:AF54">
    <cfRule type="expression" dxfId="1432" priority="9">
      <formula>B11&gt;$AG11</formula>
    </cfRule>
  </conditionalFormatting>
  <conditionalFormatting sqref="B53:AF54">
    <cfRule type="expression" dxfId="1431" priority="5">
      <formula>B$9&gt;=20/24</formula>
    </cfRule>
    <cfRule type="expression" dxfId="1430" priority="6">
      <formula>AND(B$9&gt;=14/24,B$9&lt;20/24)</formula>
    </cfRule>
    <cfRule type="expression" dxfId="1429" priority="7">
      <formula>AND(B$9&gt;=8/24,B$9&lt;14/24)</formula>
    </cfRule>
    <cfRule type="expression" dxfId="1428" priority="8">
      <formula>B$9&lt;8/24</formula>
    </cfRule>
  </conditionalFormatting>
  <conditionalFormatting sqref="B55:AF55">
    <cfRule type="expression" dxfId="1427" priority="33">
      <formula>B55&gt;$AG55</formula>
    </cfRule>
  </conditionalFormatting>
  <conditionalFormatting sqref="B55:AF57">
    <cfRule type="expression" dxfId="1426" priority="32">
      <formula>B$9&lt;8/24</formula>
    </cfRule>
    <cfRule type="expression" dxfId="1425" priority="29">
      <formula>B$9&gt;=20/24</formula>
    </cfRule>
    <cfRule type="expression" dxfId="1424" priority="30">
      <formula>AND(B$9&gt;=14/24,B$9&lt;20/24)</formula>
    </cfRule>
    <cfRule type="expression" dxfId="1423" priority="31">
      <formula>AND(B$9&gt;=8/24,B$9&lt;14/24)</formula>
    </cfRule>
  </conditionalFormatting>
  <conditionalFormatting sqref="B56:AF61">
    <cfRule type="expression" dxfId="1422" priority="28">
      <formula>B56&gt;$AG56</formula>
    </cfRule>
  </conditionalFormatting>
  <conditionalFormatting sqref="B59:AF61">
    <cfRule type="expression" dxfId="1421" priority="39">
      <formula>B$9&gt;=20/24</formula>
    </cfRule>
    <cfRule type="expression" dxfId="1420" priority="40">
      <formula>AND(B$9&gt;=14/24,B$9&lt;20/24)</formula>
    </cfRule>
    <cfRule type="expression" dxfId="1419" priority="41">
      <formula>AND(B$9&gt;=8/24,B$9&lt;14/24)</formula>
    </cfRule>
    <cfRule type="expression" dxfId="1418" priority="42">
      <formula>B$9&lt;8/24</formula>
    </cfRule>
  </conditionalFormatting>
  <conditionalFormatting sqref="B63:AF74">
    <cfRule type="expression" dxfId="1417" priority="14">
      <formula>B63&gt;$AG63</formula>
    </cfRule>
  </conditionalFormatting>
  <conditionalFormatting sqref="B77:AF79">
    <cfRule type="expression" dxfId="1416" priority="47">
      <formula>B$9&lt;8/24</formula>
    </cfRule>
    <cfRule type="expression" dxfId="1415" priority="46">
      <formula>AND(B$9&gt;=8/24,B$9&lt;14/24)</formula>
    </cfRule>
    <cfRule type="expression" dxfId="1414" priority="45">
      <formula>AND(B$9&gt;=14/24,B$9&lt;20/24)</formula>
    </cfRule>
    <cfRule type="expression" dxfId="1413" priority="44">
      <formula>B$9&gt;=20/24</formula>
    </cfRule>
    <cfRule type="expression" dxfId="1412" priority="43">
      <formula>B77&gt;$AG77</formula>
    </cfRule>
  </conditionalFormatting>
  <conditionalFormatting sqref="B81:AF99">
    <cfRule type="expression" dxfId="1411" priority="12">
      <formula>AND(B$9&gt;=8/24,B$9&lt;14/24)</formula>
    </cfRule>
    <cfRule type="expression" dxfId="1410" priority="10">
      <formula>B$9&gt;=20/24</formula>
    </cfRule>
    <cfRule type="expression" dxfId="1409" priority="11">
      <formula>AND(B$9&gt;=14/24,B$9&lt;20/24)</formula>
    </cfRule>
    <cfRule type="expression" dxfId="1408" priority="13">
      <formula>B$9&lt;8/24</formula>
    </cfRule>
  </conditionalFormatting>
  <conditionalFormatting sqref="B101:AF117">
    <cfRule type="expression" dxfId="1407" priority="3">
      <formula>AND(B$9&gt;=8/24,B$9&lt;14/24)</formula>
    </cfRule>
    <cfRule type="expression" dxfId="1406" priority="4">
      <formula>B$9&lt;8/24</formula>
    </cfRule>
    <cfRule type="expression" dxfId="1405" priority="1">
      <formula>B$9&gt;=20/24</formula>
    </cfRule>
    <cfRule type="expression" dxfId="1404" priority="2">
      <formula>AND(B$9&gt;=14/24,B$9&lt;20/24)</formula>
    </cfRule>
  </conditionalFormatting>
  <conditionalFormatting sqref="B119:AF135">
    <cfRule type="expression" dxfId="1403" priority="19">
      <formula>B$9&gt;=20/24</formula>
    </cfRule>
    <cfRule type="expression" dxfId="1402" priority="22">
      <formula>B$9&lt;8/24</formula>
    </cfRule>
    <cfRule type="expression" dxfId="1401" priority="21">
      <formula>AND(B$9&gt;=8/24,B$9&lt;14/24)</formula>
    </cfRule>
    <cfRule type="expression" dxfId="1400" priority="20">
      <formula>AND(B$9&gt;=14/24,B$9&lt;20/24)</formula>
    </cfRule>
  </conditionalFormatting>
  <conditionalFormatting sqref="B242:AF242 B244:B250 D244:AF250 U258:AF258">
    <cfRule type="expression" dxfId="1399" priority="109">
      <formula>B$9&lt;8/24</formula>
    </cfRule>
    <cfRule type="expression" dxfId="1398" priority="108">
      <formula>AND(B$9&gt;=8/24,B$9&lt;14/24)</formula>
    </cfRule>
    <cfRule type="expression" dxfId="1397" priority="107">
      <formula>AND(B$9&gt;=14/24,B$9&lt;20/24)</formula>
    </cfRule>
    <cfRule type="expression" dxfId="1396" priority="106">
      <formula>B$9&gt;=20/24</formula>
    </cfRule>
  </conditionalFormatting>
  <conditionalFormatting sqref="B62:AG62">
    <cfRule type="expression" dxfId="1395" priority="48">
      <formula>B62&gt;$AG62</formula>
    </cfRule>
    <cfRule type="expression" dxfId="1394" priority="50">
      <formula>AND(B$9&gt;=14/24,B$9&lt;20/24)</formula>
    </cfRule>
    <cfRule type="expression" dxfId="1393" priority="51">
      <formula>AND(B$9&gt;=8/24,B$9&lt;14/24)</formula>
    </cfRule>
    <cfRule type="expression" dxfId="1392" priority="52">
      <formula>B$9&lt;8/24</formula>
    </cfRule>
    <cfRule type="expression" dxfId="1391" priority="49">
      <formula>B$9&gt;=20/24</formula>
    </cfRule>
  </conditionalFormatting>
  <conditionalFormatting sqref="B75:AG76 B80:AG80">
    <cfRule type="expression" dxfId="1390" priority="34">
      <formula>B75&gt;$AG75</formula>
    </cfRule>
  </conditionalFormatting>
  <conditionalFormatting sqref="B80:AG80">
    <cfRule type="expression" dxfId="1389" priority="36">
      <formula>AND(B$9&gt;=14/24,B$9&lt;20/24)</formula>
    </cfRule>
    <cfRule type="expression" dxfId="1388" priority="35">
      <formula>B$9&gt;=20/24</formula>
    </cfRule>
    <cfRule type="expression" dxfId="1387" priority="37">
      <formula>AND(B$9&gt;=8/24,B$9&lt;14/24)</formula>
    </cfRule>
    <cfRule type="expression" dxfId="1386" priority="38">
      <formula>B$9&lt;8/24</formula>
    </cfRule>
  </conditionalFormatting>
  <conditionalFormatting sqref="M63:R67 S67">
    <cfRule type="expression" dxfId="1385" priority="94">
      <formula>M$9&lt;8/24</formula>
    </cfRule>
    <cfRule type="expression" dxfId="1384" priority="93">
      <formula>AND(M$9&gt;=8/24,M$9&lt;14/24)</formula>
    </cfRule>
    <cfRule type="expression" dxfId="1383" priority="92">
      <formula>AND(M$9&gt;=14/24,M$9&lt;20/24)</formula>
    </cfRule>
  </conditionalFormatting>
  <conditionalFormatting sqref="M68:T68">
    <cfRule type="expression" dxfId="1382" priority="66">
      <formula>AND(M$9&gt;=8/24,M$9&lt;14/24)</formula>
    </cfRule>
    <cfRule type="expression" dxfId="1381" priority="67">
      <formula>M$9&lt;8/24</formula>
    </cfRule>
    <cfRule type="expression" dxfId="1380" priority="64">
      <formula>M$9&gt;=20/24</formula>
    </cfRule>
    <cfRule type="expression" dxfId="1379" priority="65">
      <formula>AND(M$9&gt;=14/24,M$9&lt;20/24)</formula>
    </cfRule>
  </conditionalFormatting>
  <conditionalFormatting sqref="M69:AF74">
    <cfRule type="expression" dxfId="1378" priority="54">
      <formula>M$9&gt;=20/24</formula>
    </cfRule>
    <cfRule type="expression" dxfId="1377" priority="55">
      <formula>AND(M$9&gt;=14/24,M$9&lt;20/24)</formula>
    </cfRule>
    <cfRule type="expression" dxfId="1376" priority="56">
      <formula>AND(M$9&gt;=8/24,M$9&lt;14/24)</formula>
    </cfRule>
    <cfRule type="expression" dxfId="1375" priority="57">
      <formula>M$9&lt;8/24</formula>
    </cfRule>
  </conditionalFormatting>
  <conditionalFormatting sqref="O3:P3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374" priority="112">
      <formula>C$9&gt;=20/24</formula>
    </cfRule>
  </conditionalFormatting>
  <conditionalFormatting sqref="S8">
    <cfRule type="expression" dxfId="1373" priority="99">
      <formula>U$9&gt;=20/24</formula>
    </cfRule>
    <cfRule type="expression" dxfId="1372" priority="100">
      <formula>AND(U$9&gt;=14/24,U$9&lt;20/24)</formula>
    </cfRule>
    <cfRule type="expression" dxfId="1371" priority="101">
      <formula>AND(U$9&gt;=8/24,U$9&lt;14/24)</formula>
    </cfRule>
    <cfRule type="expression" dxfId="1370" priority="102">
      <formula>U$9&lt;8/24</formula>
    </cfRule>
  </conditionalFormatting>
  <conditionalFormatting sqref="S67 M63:R67">
    <cfRule type="expression" dxfId="1369" priority="91">
      <formula>M$9&gt;=20/24</formula>
    </cfRule>
  </conditionalFormatting>
  <conditionalFormatting sqref="S63:AF68">
    <cfRule type="expression" dxfId="1368" priority="58">
      <formula>S$9&gt;=20/24</formula>
    </cfRule>
    <cfRule type="expression" dxfId="1367" priority="61">
      <formula>S$9&lt;8/24</formula>
    </cfRule>
    <cfRule type="expression" dxfId="1366" priority="60">
      <formula>AND(S$9&gt;=8/24,S$9&lt;14/24)</formula>
    </cfRule>
    <cfRule type="expression" dxfId="1365" priority="59">
      <formula>AND(S$9&gt;=14/24,S$9&lt;20/24)</formula>
    </cfRule>
  </conditionalFormatting>
  <conditionalFormatting sqref="T258">
    <cfRule type="expression" dxfId="1364" priority="127">
      <formula>AX$9&lt;8/24</formula>
    </cfRule>
    <cfRule type="expression" dxfId="1363" priority="126">
      <formula>AND(AX$9&gt;=8/24,AX$9&lt;14/24)</formula>
    </cfRule>
    <cfRule type="expression" dxfId="1362" priority="124">
      <formula>AX$9&gt;=20/24</formula>
    </cfRule>
    <cfRule type="expression" dxfId="1361" priority="125">
      <formula>AND(AX$9&gt;=14/24,AX$9&lt;20/24)</formula>
    </cfRule>
  </conditionalFormatting>
  <conditionalFormatting sqref="V3 AB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360" priority="96">
      <formula>AND(AD$9&gt;=14/24,AD$9&lt;20/24)</formula>
    </cfRule>
    <cfRule type="expression" dxfId="1359" priority="95">
      <formula>AD$9&gt;=20/24</formula>
    </cfRule>
    <cfRule type="expression" dxfId="1358" priority="97">
      <formula>AND(AD$9&gt;=8/24,AD$9&lt;14/24)</formula>
    </cfRule>
    <cfRule type="expression" dxfId="1357" priority="98">
      <formula>AD$9&lt;8/24</formula>
    </cfRule>
  </conditionalFormatting>
  <conditionalFormatting sqref="AG58">
    <cfRule type="expression" dxfId="1356" priority="82">
      <formula>AG58&gt;$AG58</formula>
    </cfRule>
  </conditionalFormatting>
  <conditionalFormatting sqref="AG97">
    <cfRule type="expression" dxfId="1355" priority="84">
      <formula>AND(AG$9&gt;=14/24,AG$9&lt;20/24)</formula>
    </cfRule>
    <cfRule type="expression" dxfId="1354" priority="83">
      <formula>AG$9&gt;=20/24</formula>
    </cfRule>
    <cfRule type="expression" dxfId="1353" priority="85">
      <formula>AND(AG$9&gt;=8/24,AG$9&lt;14/24)</formula>
    </cfRule>
    <cfRule type="expression" dxfId="1352" priority="86">
      <formula>AG$9&lt;8/24</formula>
    </cfRule>
  </conditionalFormatting>
  <conditionalFormatting sqref="AG258">
    <cfRule type="expression" dxfId="1351" priority="118">
      <formula>AND(B$9&gt;=8/24,B$9&lt;14/24)</formula>
    </cfRule>
    <cfRule type="expression" dxfId="1350" priority="116">
      <formula>B$9&gt;=20/24</formula>
    </cfRule>
    <cfRule type="expression" dxfId="1349" priority="117">
      <formula>AND(B$9&gt;=14/24,B$9&lt;20/24)</formula>
    </cfRule>
    <cfRule type="expression" dxfId="1348" priority="119">
      <formula>B$9&lt;8/24</formula>
    </cfRule>
  </conditionalFormatting>
  <conditionalFormatting sqref="AH258:AX258">
    <cfRule type="expression" dxfId="1347" priority="120">
      <formula>AG$9&gt;=20/24</formula>
    </cfRule>
    <cfRule type="expression" dxfId="1346" priority="121">
      <formula>AND(AG$9&gt;=14/24,AG$9&lt;20/24)</formula>
    </cfRule>
    <cfRule type="expression" dxfId="1345" priority="122">
      <formula>AND(AG$9&gt;=8/24,AG$9&lt;14/24)</formula>
    </cfRule>
    <cfRule type="expression" dxfId="1344" priority="123">
      <formula>AG$9&lt;8/24</formula>
    </cfRule>
  </conditionalFormatting>
  <conditionalFormatting sqref="AL4:AL6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343" priority="129">
      <formula>AJ$9&gt;=20/24</formula>
    </cfRule>
    <cfRule type="expression" dxfId="1342" priority="130">
      <formula>AND(AJ$9&gt;=14/24,AJ$9&lt;20/24)</formula>
    </cfRule>
    <cfRule type="expression" dxfId="1341" priority="131">
      <formula>AND(AJ$9&gt;=8/24,AJ$9&lt;14/24)</formula>
    </cfRule>
    <cfRule type="expression" dxfId="1340" priority="132">
      <formula>AJ$9&lt;8/24</formula>
    </cfRule>
  </conditionalFormatting>
  <conditionalFormatting sqref="AL88:AN88 AL94:AN94">
    <cfRule type="expression" dxfId="1339" priority="78">
      <formula>AL$9&lt;8/24</formula>
    </cfRule>
    <cfRule type="expression" dxfId="1338" priority="76">
      <formula>AND(AL$9&gt;=14/24,AL$9&lt;20/24)</formula>
    </cfRule>
    <cfRule type="expression" dxfId="1337" priority="75">
      <formula>AL$9&gt;=20/24</formula>
    </cfRule>
    <cfRule type="expression" dxfId="1336" priority="77">
      <formula>AND(AL$9&gt;=8/24,AL$9&lt;14/24)</formula>
    </cfRule>
  </conditionalFormatting>
  <conditionalFormatting sqref="AN89:AN92">
    <cfRule type="expression" dxfId="1335" priority="74">
      <formula>AN$9&lt;8/24</formula>
    </cfRule>
    <cfRule type="expression" dxfId="1334" priority="73">
      <formula>AND(AN$9&gt;=8/24,AN$9&lt;14/24)</formula>
    </cfRule>
    <cfRule type="expression" dxfId="1333" priority="72">
      <formula>AND(AN$9&gt;=14/24,AN$9&lt;20/24)</formula>
    </cfRule>
    <cfRule type="expression" dxfId="1332" priority="7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458B-2727-47E6-A3C2-E2C30655F48E}">
  <sheetPr codeName="Sheet22"/>
  <dimension ref="A1:CJ291"/>
  <sheetViews>
    <sheetView zoomScale="106" workbookViewId="0">
      <pane xSplit="1" ySplit="10" topLeftCell="B110" activePane="bottomRight" state="frozen"/>
      <selection activeCell="P118" sqref="P118"/>
      <selection pane="topRight" activeCell="P118" sqref="P118"/>
      <selection pane="bottomLeft" activeCell="P118" sqref="P118"/>
      <selection pane="bottomRight" activeCell="O126" sqref="O12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2080/09/21</v>
      </c>
      <c r="C4" s="246"/>
      <c r="D4" s="246"/>
      <c r="E4" s="247" t="str">
        <f ca="1">"2080/"&amp;"09/"&amp;INT(MID(CELL("filename",G6),FIND("]",CELL("filename",G6))+1,200))</f>
        <v>2080/09/21</v>
      </c>
      <c r="F4" s="247"/>
      <c r="G4" s="247"/>
      <c r="H4" s="247" t="str">
        <f ca="1">TEXT(E4,"dddd")</f>
        <v>Saturday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236</v>
      </c>
      <c r="C5" s="30">
        <f t="shared" si="0"/>
        <v>214</v>
      </c>
      <c r="D5" s="30">
        <f t="shared" si="0"/>
        <v>168.4</v>
      </c>
      <c r="E5" s="30">
        <f t="shared" si="0"/>
        <v>185</v>
      </c>
      <c r="F5" s="30">
        <f t="shared" si="0"/>
        <v>232.1</v>
      </c>
      <c r="G5" s="30">
        <f t="shared" si="0"/>
        <v>272.5</v>
      </c>
      <c r="H5" s="30">
        <f t="shared" si="0"/>
        <v>318</v>
      </c>
      <c r="I5" s="30">
        <f t="shared" si="0"/>
        <v>385.2</v>
      </c>
      <c r="J5" s="30">
        <f t="shared" si="0"/>
        <v>386.40000000000003</v>
      </c>
      <c r="K5" s="30">
        <f t="shared" si="0"/>
        <v>131.9</v>
      </c>
      <c r="L5" s="30">
        <f t="shared" si="0"/>
        <v>344.6</v>
      </c>
      <c r="M5" s="30">
        <f t="shared" si="0"/>
        <v>102</v>
      </c>
      <c r="N5" s="30">
        <f t="shared" si="0"/>
        <v>83.4</v>
      </c>
      <c r="O5" s="30">
        <f t="shared" si="0"/>
        <v>204.7</v>
      </c>
      <c r="P5" s="30">
        <f t="shared" si="0"/>
        <v>371</v>
      </c>
      <c r="Q5" s="30">
        <f t="shared" si="0"/>
        <v>372</v>
      </c>
      <c r="R5" s="30">
        <f t="shared" si="0"/>
        <v>421</v>
      </c>
      <c r="S5" s="30">
        <f t="shared" si="0"/>
        <v>413.5</v>
      </c>
      <c r="T5" s="30">
        <f t="shared" si="0"/>
        <v>385.4</v>
      </c>
      <c r="U5" s="30">
        <f t="shared" si="0"/>
        <v>169.9</v>
      </c>
      <c r="V5" s="30">
        <f t="shared" si="0"/>
        <v>187.3</v>
      </c>
      <c r="W5" s="30">
        <f t="shared" si="0"/>
        <v>142.60000000000002</v>
      </c>
      <c r="X5" s="30">
        <f t="shared" si="0"/>
        <v>121.1</v>
      </c>
      <c r="Y5" s="30">
        <f t="shared" si="0"/>
        <v>152.80000000000001</v>
      </c>
      <c r="Z5" s="30">
        <f t="shared" si="0"/>
        <v>176</v>
      </c>
      <c r="AA5" s="30">
        <f t="shared" si="0"/>
        <v>208</v>
      </c>
      <c r="AB5" s="30">
        <f t="shared" si="0"/>
        <v>196.5</v>
      </c>
      <c r="AC5" s="30">
        <f t="shared" si="0"/>
        <v>261.2</v>
      </c>
      <c r="AD5" s="30">
        <f t="shared" si="0"/>
        <v>191.1</v>
      </c>
      <c r="AE5" s="30">
        <f t="shared" si="0"/>
        <v>207.1</v>
      </c>
      <c r="AF5" s="30">
        <f>B92</f>
        <v>248.1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1636MW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Load=959</v>
      </c>
      <c r="B7" s="35">
        <f>B100</f>
        <v>1035.8399999999999</v>
      </c>
      <c r="C7" s="35">
        <f t="shared" ref="C7:AF7" si="1">C100</f>
        <v>1022.54</v>
      </c>
      <c r="D7" s="35">
        <f t="shared" si="1"/>
        <v>994.1400000000001</v>
      </c>
      <c r="E7" s="35">
        <f t="shared" si="1"/>
        <v>958.54000000000008</v>
      </c>
      <c r="F7" s="35">
        <f t="shared" si="1"/>
        <v>975.1400000000001</v>
      </c>
      <c r="G7" s="35">
        <f t="shared" si="1"/>
        <v>1070.24</v>
      </c>
      <c r="H7" s="35">
        <f t="shared" si="1"/>
        <v>1139.1400000000001</v>
      </c>
      <c r="I7" s="35">
        <f t="shared" si="1"/>
        <v>1200.1400000000001</v>
      </c>
      <c r="J7" s="35">
        <f t="shared" si="1"/>
        <v>1288.3400000000001</v>
      </c>
      <c r="K7" s="35">
        <f t="shared" si="1"/>
        <v>1367.5400000000002</v>
      </c>
      <c r="L7" s="35">
        <f t="shared" si="1"/>
        <v>1574.14</v>
      </c>
      <c r="M7" s="35">
        <f t="shared" si="1"/>
        <v>1635.54</v>
      </c>
      <c r="N7" s="35">
        <f t="shared" si="1"/>
        <v>1518.2400000000002</v>
      </c>
      <c r="O7" s="35">
        <f t="shared" si="1"/>
        <v>1466.24</v>
      </c>
      <c r="P7" s="35">
        <f t="shared" si="1"/>
        <v>1352.5400000000002</v>
      </c>
      <c r="Q7" s="35">
        <f t="shared" si="1"/>
        <v>1403.24</v>
      </c>
      <c r="R7" s="35">
        <f t="shared" si="1"/>
        <v>1209.6400000000001</v>
      </c>
      <c r="S7" s="35">
        <f t="shared" si="1"/>
        <v>1149.44</v>
      </c>
      <c r="T7" s="35">
        <f t="shared" si="1"/>
        <v>1137.6400000000001</v>
      </c>
      <c r="U7" s="35">
        <f t="shared" si="1"/>
        <v>1184.2400000000002</v>
      </c>
      <c r="V7" s="35">
        <f t="shared" si="1"/>
        <v>1279.7400000000002</v>
      </c>
      <c r="W7" s="35">
        <f t="shared" si="1"/>
        <v>1388.0400000000002</v>
      </c>
      <c r="X7" s="35">
        <f t="shared" si="1"/>
        <v>1628.1399999999999</v>
      </c>
      <c r="Y7" s="35">
        <f t="shared" si="1"/>
        <v>1603.34</v>
      </c>
      <c r="Z7" s="35">
        <f t="shared" si="1"/>
        <v>1515.04</v>
      </c>
      <c r="AA7" s="35">
        <f t="shared" si="1"/>
        <v>1475.3400000000001</v>
      </c>
      <c r="AB7" s="35">
        <f t="shared" si="1"/>
        <v>1483.8400000000001</v>
      </c>
      <c r="AC7" s="35">
        <f t="shared" si="1"/>
        <v>1384.04</v>
      </c>
      <c r="AD7" s="35">
        <f t="shared" si="1"/>
        <v>1307.1400000000001</v>
      </c>
      <c r="AE7" s="35">
        <f t="shared" si="1"/>
        <v>1075.6399999999999</v>
      </c>
      <c r="AF7" s="35">
        <f t="shared" si="1"/>
        <v>960.64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36</v>
      </c>
      <c r="C11" s="45">
        <v>36</v>
      </c>
      <c r="D11" s="45">
        <v>30.2</v>
      </c>
      <c r="E11" s="45">
        <v>30.2</v>
      </c>
      <c r="F11" s="45">
        <v>30.2</v>
      </c>
      <c r="G11" s="45">
        <v>30.2</v>
      </c>
      <c r="H11" s="45">
        <v>30.2</v>
      </c>
      <c r="I11" s="45">
        <v>30.2</v>
      </c>
      <c r="J11" s="45">
        <v>30.2</v>
      </c>
      <c r="K11" s="45">
        <v>30.2</v>
      </c>
      <c r="L11" s="45">
        <v>30.2</v>
      </c>
      <c r="M11" s="45">
        <v>30.2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16.399999999999999</v>
      </c>
      <c r="Y11" s="45">
        <v>27.1</v>
      </c>
      <c r="Z11" s="45">
        <v>27.1</v>
      </c>
      <c r="AA11" s="45">
        <v>27.1</v>
      </c>
      <c r="AB11" s="45">
        <v>27.1</v>
      </c>
      <c r="AC11" s="45">
        <v>27.1</v>
      </c>
      <c r="AD11" s="45">
        <v>27.1</v>
      </c>
      <c r="AE11" s="45">
        <v>27.1</v>
      </c>
      <c r="AF11" s="45">
        <v>27.1</v>
      </c>
      <c r="AG11" s="46">
        <v>86</v>
      </c>
      <c r="AH11" s="47">
        <f t="shared" ref="AH11:AH84" si="2">MAX(B11:AF11)</f>
        <v>36</v>
      </c>
      <c r="AI11" s="48">
        <f t="shared" ref="AI11:AI8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</v>
      </c>
      <c r="C12" s="45">
        <v>13</v>
      </c>
      <c r="D12" s="45">
        <v>13</v>
      </c>
      <c r="E12" s="45">
        <v>13</v>
      </c>
      <c r="F12" s="45">
        <v>13</v>
      </c>
      <c r="G12" s="45">
        <v>13</v>
      </c>
      <c r="H12" s="45">
        <v>13</v>
      </c>
      <c r="I12" s="45">
        <v>13</v>
      </c>
      <c r="J12" s="45">
        <v>13</v>
      </c>
      <c r="K12" s="45">
        <v>13</v>
      </c>
      <c r="L12" s="45">
        <v>13</v>
      </c>
      <c r="M12" s="45">
        <v>13</v>
      </c>
      <c r="N12" s="45">
        <v>13</v>
      </c>
      <c r="O12" s="45">
        <v>13</v>
      </c>
      <c r="P12" s="45">
        <v>13</v>
      </c>
      <c r="Q12" s="45">
        <v>13</v>
      </c>
      <c r="R12" s="45">
        <v>13</v>
      </c>
      <c r="S12" s="45">
        <v>13</v>
      </c>
      <c r="T12" s="45">
        <v>13</v>
      </c>
      <c r="U12" s="45">
        <v>13</v>
      </c>
      <c r="V12" s="45">
        <v>13</v>
      </c>
      <c r="W12" s="45">
        <v>13</v>
      </c>
      <c r="X12" s="45">
        <v>13</v>
      </c>
      <c r="Y12" s="45">
        <v>13</v>
      </c>
      <c r="Z12" s="45">
        <v>13</v>
      </c>
      <c r="AA12" s="45">
        <v>13</v>
      </c>
      <c r="AB12" s="45">
        <v>13</v>
      </c>
      <c r="AC12" s="45">
        <v>13</v>
      </c>
      <c r="AD12" s="45">
        <v>13</v>
      </c>
      <c r="AE12" s="45">
        <v>13</v>
      </c>
      <c r="AF12" s="45">
        <v>13</v>
      </c>
      <c r="AG12" s="49">
        <v>54</v>
      </c>
      <c r="AH12" s="47">
        <f t="shared" si="2"/>
        <v>13</v>
      </c>
      <c r="AI12" s="48">
        <f t="shared" si="3"/>
        <v>13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16</v>
      </c>
      <c r="C13" s="45">
        <v>16</v>
      </c>
      <c r="D13" s="45">
        <v>16</v>
      </c>
      <c r="E13" s="45">
        <v>16</v>
      </c>
      <c r="F13" s="45">
        <v>16</v>
      </c>
      <c r="G13" s="45">
        <v>16</v>
      </c>
      <c r="H13" s="45">
        <v>16</v>
      </c>
      <c r="I13" s="45">
        <v>16</v>
      </c>
      <c r="J13" s="45">
        <v>16</v>
      </c>
      <c r="K13" s="45">
        <v>16</v>
      </c>
      <c r="L13" s="45">
        <v>16</v>
      </c>
      <c r="M13" s="45">
        <v>14</v>
      </c>
      <c r="N13" s="45">
        <v>14</v>
      </c>
      <c r="O13" s="45">
        <v>14</v>
      </c>
      <c r="P13" s="45">
        <v>14</v>
      </c>
      <c r="Q13" s="45">
        <v>14</v>
      </c>
      <c r="R13" s="45">
        <v>14</v>
      </c>
      <c r="S13" s="45">
        <v>14</v>
      </c>
      <c r="T13" s="45">
        <v>14</v>
      </c>
      <c r="U13" s="45">
        <v>14</v>
      </c>
      <c r="V13" s="45">
        <v>14</v>
      </c>
      <c r="W13" s="45">
        <v>14</v>
      </c>
      <c r="X13" s="45">
        <v>14</v>
      </c>
      <c r="Y13" s="45">
        <v>14</v>
      </c>
      <c r="Z13" s="45">
        <v>14</v>
      </c>
      <c r="AA13" s="45">
        <v>14</v>
      </c>
      <c r="AB13" s="45">
        <v>14</v>
      </c>
      <c r="AC13" s="45">
        <v>14</v>
      </c>
      <c r="AD13" s="45">
        <v>14</v>
      </c>
      <c r="AE13" s="45">
        <v>14</v>
      </c>
      <c r="AF13" s="45">
        <v>14</v>
      </c>
      <c r="AG13" s="49">
        <v>54</v>
      </c>
      <c r="AH13" s="47">
        <f t="shared" si="2"/>
        <v>16</v>
      </c>
      <c r="AI13" s="48">
        <f t="shared" si="3"/>
        <v>14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18.899999999999999</v>
      </c>
      <c r="C14" s="45">
        <v>18.899999999999999</v>
      </c>
      <c r="D14" s="45">
        <v>19.3</v>
      </c>
      <c r="E14" s="45">
        <v>19.3</v>
      </c>
      <c r="F14" s="45">
        <v>19.3</v>
      </c>
      <c r="G14" s="45">
        <v>19.3</v>
      </c>
      <c r="H14" s="45">
        <v>19.3</v>
      </c>
      <c r="I14" s="45">
        <v>19.3</v>
      </c>
      <c r="J14" s="45">
        <v>19.3</v>
      </c>
      <c r="K14" s="45">
        <v>19.3</v>
      </c>
      <c r="L14" s="45">
        <v>19.3</v>
      </c>
      <c r="M14" s="45">
        <v>19.3</v>
      </c>
      <c r="N14" s="45">
        <v>19.3</v>
      </c>
      <c r="O14" s="45">
        <v>19.3</v>
      </c>
      <c r="P14" s="45">
        <v>18.2</v>
      </c>
      <c r="Q14" s="45">
        <v>18.2</v>
      </c>
      <c r="R14" s="45">
        <v>18.2</v>
      </c>
      <c r="S14" s="45">
        <v>18.2</v>
      </c>
      <c r="T14" s="45">
        <v>18.2</v>
      </c>
      <c r="U14" s="45">
        <v>18.2</v>
      </c>
      <c r="V14" s="45">
        <v>18.2</v>
      </c>
      <c r="W14" s="45">
        <v>18.2</v>
      </c>
      <c r="X14" s="45">
        <v>18.2</v>
      </c>
      <c r="Y14" s="45">
        <v>18.2</v>
      </c>
      <c r="Z14" s="45">
        <v>18.2</v>
      </c>
      <c r="AA14" s="45">
        <v>18.2</v>
      </c>
      <c r="AB14" s="45">
        <v>18.2</v>
      </c>
      <c r="AC14" s="45">
        <v>18.2</v>
      </c>
      <c r="AD14" s="45">
        <v>18.2</v>
      </c>
      <c r="AE14" s="45">
        <v>18.2</v>
      </c>
      <c r="AF14" s="45">
        <v>18.2</v>
      </c>
      <c r="AG14" s="46">
        <v>52.4</v>
      </c>
      <c r="AH14" s="47">
        <f t="shared" si="2"/>
        <v>19.3</v>
      </c>
      <c r="AI14" s="48">
        <f t="shared" si="3"/>
        <v>18.2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51">
        <v>39.6</v>
      </c>
      <c r="C15" s="51">
        <v>39.6</v>
      </c>
      <c r="D15" s="51">
        <v>39.200000000000003</v>
      </c>
      <c r="E15" s="51">
        <v>39.200000000000003</v>
      </c>
      <c r="F15" s="51">
        <v>39.200000000000003</v>
      </c>
      <c r="G15" s="51">
        <v>39.200000000000003</v>
      </c>
      <c r="H15" s="51">
        <v>39.200000000000003</v>
      </c>
      <c r="I15" s="51">
        <v>39.200000000000003</v>
      </c>
      <c r="J15" s="51">
        <v>39.200000000000003</v>
      </c>
      <c r="K15" s="51">
        <v>39.200000000000003</v>
      </c>
      <c r="L15" s="51">
        <v>39.200000000000003</v>
      </c>
      <c r="M15" s="51">
        <v>39.200000000000003</v>
      </c>
      <c r="N15" s="51">
        <v>39.200000000000003</v>
      </c>
      <c r="O15" s="51">
        <v>39.200000000000003</v>
      </c>
      <c r="P15" s="51">
        <v>29.3</v>
      </c>
      <c r="Q15" s="51">
        <v>29.3</v>
      </c>
      <c r="R15" s="51">
        <v>29.3</v>
      </c>
      <c r="S15" s="51">
        <v>29.3</v>
      </c>
      <c r="T15" s="51">
        <v>29.3</v>
      </c>
      <c r="U15" s="51">
        <v>29.3</v>
      </c>
      <c r="V15" s="51">
        <v>29.3</v>
      </c>
      <c r="W15" s="51">
        <v>29.3</v>
      </c>
      <c r="X15" s="51">
        <v>29.3</v>
      </c>
      <c r="Y15" s="51">
        <v>29.3</v>
      </c>
      <c r="Z15" s="51">
        <v>29.3</v>
      </c>
      <c r="AA15" s="51">
        <v>29.3</v>
      </c>
      <c r="AB15" s="51">
        <v>29.3</v>
      </c>
      <c r="AC15" s="51">
        <v>29.3</v>
      </c>
      <c r="AD15" s="51">
        <v>29.3</v>
      </c>
      <c r="AE15" s="51">
        <v>29.3</v>
      </c>
      <c r="AF15" s="51">
        <v>29.3</v>
      </c>
      <c r="AG15" s="49">
        <v>50</v>
      </c>
      <c r="AH15" s="47">
        <f t="shared" si="2"/>
        <v>39.6</v>
      </c>
      <c r="AI15" s="48">
        <f t="shared" si="3"/>
        <v>29.3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21.5</v>
      </c>
      <c r="C16" s="45">
        <v>21.5</v>
      </c>
      <c r="D16" s="45">
        <v>20.8</v>
      </c>
      <c r="E16" s="45">
        <v>20.8</v>
      </c>
      <c r="F16" s="45">
        <v>20.8</v>
      </c>
      <c r="G16" s="45">
        <v>20.8</v>
      </c>
      <c r="H16" s="45">
        <v>20.8</v>
      </c>
      <c r="I16" s="45">
        <v>20.8</v>
      </c>
      <c r="J16" s="45">
        <v>20.8</v>
      </c>
      <c r="K16" s="45">
        <v>20.8</v>
      </c>
      <c r="L16" s="45">
        <v>20.8</v>
      </c>
      <c r="M16" s="45">
        <v>20.8</v>
      </c>
      <c r="N16" s="45">
        <v>20.8</v>
      </c>
      <c r="O16" s="45">
        <v>20.8</v>
      </c>
      <c r="P16" s="45">
        <v>19.8</v>
      </c>
      <c r="Q16" s="45">
        <v>19.8</v>
      </c>
      <c r="R16" s="45">
        <v>19.8</v>
      </c>
      <c r="S16" s="45">
        <v>19.8</v>
      </c>
      <c r="T16" s="45">
        <v>19.8</v>
      </c>
      <c r="U16" s="45">
        <v>19.8</v>
      </c>
      <c r="V16" s="45">
        <v>19.8</v>
      </c>
      <c r="W16" s="45">
        <v>19.8</v>
      </c>
      <c r="X16" s="45">
        <v>19.8</v>
      </c>
      <c r="Y16" s="45">
        <v>19.8</v>
      </c>
      <c r="Z16" s="45">
        <v>19.8</v>
      </c>
      <c r="AA16" s="45">
        <v>19.8</v>
      </c>
      <c r="AB16" s="45">
        <v>19.8</v>
      </c>
      <c r="AC16" s="45">
        <v>19.8</v>
      </c>
      <c r="AD16" s="45">
        <v>19.8</v>
      </c>
      <c r="AE16" s="45">
        <v>19.8</v>
      </c>
      <c r="AF16" s="45">
        <v>19.8</v>
      </c>
      <c r="AG16" s="49">
        <v>45</v>
      </c>
      <c r="AH16" s="47">
        <f t="shared" si="2"/>
        <v>21.5</v>
      </c>
      <c r="AI16" s="48">
        <f t="shared" si="3"/>
        <v>19.8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11</v>
      </c>
      <c r="C18" s="45">
        <v>11</v>
      </c>
      <c r="D18" s="45">
        <v>10.5</v>
      </c>
      <c r="E18" s="45">
        <v>10.5</v>
      </c>
      <c r="F18" s="45">
        <v>10.5</v>
      </c>
      <c r="G18" s="45">
        <v>10.5</v>
      </c>
      <c r="H18" s="45">
        <v>10.5</v>
      </c>
      <c r="I18" s="45">
        <v>10.5</v>
      </c>
      <c r="J18" s="45">
        <v>10.5</v>
      </c>
      <c r="K18" s="45">
        <v>10.5</v>
      </c>
      <c r="L18" s="45">
        <v>10.5</v>
      </c>
      <c r="M18" s="45">
        <v>10.5</v>
      </c>
      <c r="N18" s="45">
        <v>10.5</v>
      </c>
      <c r="O18" s="45">
        <v>10.5</v>
      </c>
      <c r="P18" s="45">
        <v>9.6999999999999993</v>
      </c>
      <c r="Q18" s="45">
        <v>9.6999999999999993</v>
      </c>
      <c r="R18" s="45">
        <v>9.6999999999999993</v>
      </c>
      <c r="S18" s="45">
        <v>9.6999999999999993</v>
      </c>
      <c r="T18" s="45">
        <v>9.6999999999999993</v>
      </c>
      <c r="U18" s="45">
        <v>9.6999999999999993</v>
      </c>
      <c r="V18" s="45">
        <v>9.6999999999999993</v>
      </c>
      <c r="W18" s="45">
        <v>9.6999999999999993</v>
      </c>
      <c r="X18" s="45">
        <v>10.5</v>
      </c>
      <c r="Y18" s="45">
        <v>10.5</v>
      </c>
      <c r="Z18" s="45">
        <v>10.5</v>
      </c>
      <c r="AA18" s="45">
        <v>10.5</v>
      </c>
      <c r="AB18" s="45">
        <v>10.5</v>
      </c>
      <c r="AC18" s="45">
        <v>10.5</v>
      </c>
      <c r="AD18" s="45">
        <v>10.5</v>
      </c>
      <c r="AE18" s="45">
        <v>10.5</v>
      </c>
      <c r="AF18" s="45">
        <v>10.5</v>
      </c>
      <c r="AG18" s="49">
        <v>42</v>
      </c>
      <c r="AH18" s="47">
        <f t="shared" si="2"/>
        <v>11</v>
      </c>
      <c r="AI18" s="48">
        <f t="shared" si="3"/>
        <v>9.6999999999999993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12.5</v>
      </c>
      <c r="C20" s="45">
        <v>12.5</v>
      </c>
      <c r="D20" s="45">
        <v>12.5</v>
      </c>
      <c r="E20" s="45">
        <v>12.5</v>
      </c>
      <c r="F20" s="45">
        <v>12.5</v>
      </c>
      <c r="G20" s="45">
        <v>12.5</v>
      </c>
      <c r="H20" s="45">
        <v>12.5</v>
      </c>
      <c r="I20" s="45">
        <v>12.5</v>
      </c>
      <c r="J20" s="45">
        <v>12.5</v>
      </c>
      <c r="K20" s="45">
        <v>12.5</v>
      </c>
      <c r="L20" s="45">
        <v>12.5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12.5</v>
      </c>
      <c r="T20" s="45">
        <v>12.5</v>
      </c>
      <c r="U20" s="45">
        <v>12.5</v>
      </c>
      <c r="V20" s="45">
        <v>12.5</v>
      </c>
      <c r="W20" s="45">
        <v>12.5</v>
      </c>
      <c r="X20" s="45">
        <v>12.5</v>
      </c>
      <c r="Y20" s="45">
        <v>12.5</v>
      </c>
      <c r="Z20" s="45">
        <v>12.5</v>
      </c>
      <c r="AA20" s="45">
        <v>12.5</v>
      </c>
      <c r="AB20" s="45">
        <v>12.5</v>
      </c>
      <c r="AC20" s="45">
        <v>12.5</v>
      </c>
      <c r="AD20" s="45">
        <v>12.5</v>
      </c>
      <c r="AE20" s="45">
        <v>12.5</v>
      </c>
      <c r="AF20" s="45">
        <v>12.5</v>
      </c>
      <c r="AG20" s="49">
        <v>38.46</v>
      </c>
      <c r="AH20" s="47">
        <f t="shared" si="2"/>
        <v>12.5</v>
      </c>
      <c r="AI20" s="48">
        <f t="shared" si="3"/>
        <v>12.5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11.7</v>
      </c>
      <c r="C22" s="45">
        <v>11.7</v>
      </c>
      <c r="D22" s="45">
        <v>11.7</v>
      </c>
      <c r="E22" s="45">
        <v>11.7</v>
      </c>
      <c r="F22" s="45">
        <v>11.7</v>
      </c>
      <c r="G22" s="45">
        <v>11.7</v>
      </c>
      <c r="H22" s="45">
        <v>11.7</v>
      </c>
      <c r="I22" s="45">
        <v>11.7</v>
      </c>
      <c r="J22" s="45">
        <v>11.7</v>
      </c>
      <c r="K22" s="45">
        <v>11.7</v>
      </c>
      <c r="L22" s="45">
        <v>11.7</v>
      </c>
      <c r="M22" s="45">
        <v>11.7</v>
      </c>
      <c r="N22" s="45">
        <v>11.7</v>
      </c>
      <c r="O22" s="45">
        <v>11.7</v>
      </c>
      <c r="P22" s="45">
        <v>11.7</v>
      </c>
      <c r="Q22" s="45">
        <v>11.7</v>
      </c>
      <c r="R22" s="45">
        <v>11.7</v>
      </c>
      <c r="S22" s="45">
        <v>11.7</v>
      </c>
      <c r="T22" s="45">
        <v>11.7</v>
      </c>
      <c r="U22" s="45">
        <v>11.7</v>
      </c>
      <c r="V22" s="45">
        <v>11.7</v>
      </c>
      <c r="W22" s="45">
        <v>11.7</v>
      </c>
      <c r="X22" s="45">
        <v>11.7</v>
      </c>
      <c r="Y22" s="45">
        <v>11.7</v>
      </c>
      <c r="Z22" s="45">
        <v>11.7</v>
      </c>
      <c r="AA22" s="45">
        <v>11.7</v>
      </c>
      <c r="AB22" s="45">
        <v>11.7</v>
      </c>
      <c r="AC22" s="45">
        <v>11.7</v>
      </c>
      <c r="AD22" s="45">
        <v>11.7</v>
      </c>
      <c r="AE22" s="45">
        <v>11.7</v>
      </c>
      <c r="AF22" s="45">
        <v>11.7</v>
      </c>
      <c r="AG22" s="52">
        <v>30</v>
      </c>
      <c r="AH22" s="47">
        <f t="shared" si="2"/>
        <v>11.7</v>
      </c>
      <c r="AI22" s="48">
        <f t="shared" si="3"/>
        <v>11.7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49">
        <v>24.2</v>
      </c>
      <c r="AH23" s="47">
        <f t="shared" si="2"/>
        <v>10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11.4</v>
      </c>
      <c r="C24" s="45">
        <v>11.4</v>
      </c>
      <c r="D24" s="45">
        <v>11.9</v>
      </c>
      <c r="E24" s="45">
        <v>11.9</v>
      </c>
      <c r="F24" s="45">
        <v>11.9</v>
      </c>
      <c r="G24" s="45">
        <v>11.9</v>
      </c>
      <c r="H24" s="45">
        <v>11.9</v>
      </c>
      <c r="I24" s="45">
        <v>11.9</v>
      </c>
      <c r="J24" s="45">
        <v>11.9</v>
      </c>
      <c r="K24" s="45">
        <v>11.9</v>
      </c>
      <c r="L24" s="45">
        <v>11.9</v>
      </c>
      <c r="M24" s="45">
        <v>11.9</v>
      </c>
      <c r="N24" s="45">
        <v>11.9</v>
      </c>
      <c r="O24" s="45">
        <v>11.9</v>
      </c>
      <c r="P24" s="45">
        <v>11.9</v>
      </c>
      <c r="Q24" s="45">
        <v>11.9</v>
      </c>
      <c r="R24" s="45">
        <v>11.9</v>
      </c>
      <c r="S24" s="45">
        <v>11.9</v>
      </c>
      <c r="T24" s="45">
        <v>11.9</v>
      </c>
      <c r="U24" s="45">
        <v>11.9</v>
      </c>
      <c r="V24" s="45">
        <v>11.9</v>
      </c>
      <c r="W24" s="45">
        <v>11.9</v>
      </c>
      <c r="X24" s="45">
        <v>11.9</v>
      </c>
      <c r="Y24" s="45">
        <v>11.9</v>
      </c>
      <c r="Z24" s="45">
        <v>11.9</v>
      </c>
      <c r="AA24" s="45">
        <v>11.9</v>
      </c>
      <c r="AB24" s="45">
        <v>11.9</v>
      </c>
      <c r="AC24" s="45">
        <v>11.9</v>
      </c>
      <c r="AD24" s="45">
        <v>11.9</v>
      </c>
      <c r="AE24" s="45">
        <v>11.9</v>
      </c>
      <c r="AF24" s="45">
        <v>11.9</v>
      </c>
      <c r="AG24" s="49">
        <v>28</v>
      </c>
      <c r="AH24" s="47">
        <f t="shared" si="2"/>
        <v>11.9</v>
      </c>
      <c r="AI24" s="48">
        <f t="shared" si="3"/>
        <v>11.4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9</v>
      </c>
      <c r="E25" s="45">
        <v>9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9</v>
      </c>
      <c r="N25" s="45">
        <v>9</v>
      </c>
      <c r="O25" s="45">
        <v>9</v>
      </c>
      <c r="P25" s="45">
        <v>9</v>
      </c>
      <c r="Q25" s="45">
        <v>9</v>
      </c>
      <c r="R25" s="45">
        <v>9</v>
      </c>
      <c r="S25" s="45">
        <v>9</v>
      </c>
      <c r="T25" s="45">
        <v>9</v>
      </c>
      <c r="U25" s="45">
        <v>9</v>
      </c>
      <c r="V25" s="45">
        <v>9</v>
      </c>
      <c r="W25" s="45">
        <v>9</v>
      </c>
      <c r="X25" s="45">
        <v>9</v>
      </c>
      <c r="Y25" s="45">
        <v>9</v>
      </c>
      <c r="Z25" s="45">
        <v>9</v>
      </c>
      <c r="AA25" s="45">
        <v>9</v>
      </c>
      <c r="AB25" s="45">
        <v>9</v>
      </c>
      <c r="AC25" s="45">
        <v>9</v>
      </c>
      <c r="AD25" s="45">
        <v>9</v>
      </c>
      <c r="AE25" s="45">
        <v>9</v>
      </c>
      <c r="AF25" s="45">
        <v>9</v>
      </c>
      <c r="AG25" s="52">
        <v>30</v>
      </c>
      <c r="AH25" s="47">
        <f t="shared" si="2"/>
        <v>9</v>
      </c>
      <c r="AI25" s="48">
        <f t="shared" si="3"/>
        <v>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11.3</v>
      </c>
      <c r="C26" s="45">
        <v>11.3</v>
      </c>
      <c r="D26" s="45">
        <v>10.3</v>
      </c>
      <c r="E26" s="45">
        <v>10.3</v>
      </c>
      <c r="F26" s="45">
        <v>10.3</v>
      </c>
      <c r="G26" s="45">
        <v>10.3</v>
      </c>
      <c r="H26" s="45">
        <v>10.3</v>
      </c>
      <c r="I26" s="45">
        <v>10.3</v>
      </c>
      <c r="J26" s="45">
        <v>10.3</v>
      </c>
      <c r="K26" s="45">
        <v>10.3</v>
      </c>
      <c r="L26" s="45">
        <v>10.3</v>
      </c>
      <c r="M26" s="45">
        <v>10.3</v>
      </c>
      <c r="N26" s="45">
        <v>10.3</v>
      </c>
      <c r="O26" s="45">
        <v>10.3</v>
      </c>
      <c r="P26" s="45">
        <v>10.3</v>
      </c>
      <c r="Q26" s="45">
        <v>10.3</v>
      </c>
      <c r="R26" s="45">
        <v>10.3</v>
      </c>
      <c r="S26" s="45">
        <v>10.3</v>
      </c>
      <c r="T26" s="45">
        <v>10.3</v>
      </c>
      <c r="U26" s="45">
        <v>10.3</v>
      </c>
      <c r="V26" s="45">
        <v>10.3</v>
      </c>
      <c r="W26" s="45">
        <v>10.3</v>
      </c>
      <c r="X26" s="45">
        <v>10.3</v>
      </c>
      <c r="Y26" s="45">
        <v>10.3</v>
      </c>
      <c r="Z26" s="45">
        <v>10.3</v>
      </c>
      <c r="AA26" s="45">
        <v>10.3</v>
      </c>
      <c r="AB26" s="45">
        <v>10.3</v>
      </c>
      <c r="AC26" s="45">
        <v>10.3</v>
      </c>
      <c r="AD26" s="45">
        <v>10.3</v>
      </c>
      <c r="AE26" s="45">
        <v>10.3</v>
      </c>
      <c r="AF26" s="45">
        <v>10.3</v>
      </c>
      <c r="AG26" s="49">
        <v>25</v>
      </c>
      <c r="AH26" s="47">
        <f t="shared" si="2"/>
        <v>11.3</v>
      </c>
      <c r="AI26" s="48">
        <f t="shared" si="3"/>
        <v>10.3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10.4</v>
      </c>
      <c r="C29" s="45">
        <v>10.4</v>
      </c>
      <c r="D29" s="45">
        <v>10.3</v>
      </c>
      <c r="E29" s="45">
        <v>10.3</v>
      </c>
      <c r="F29" s="45">
        <v>10.3</v>
      </c>
      <c r="G29" s="45">
        <v>10.3</v>
      </c>
      <c r="H29" s="45">
        <v>10.3</v>
      </c>
      <c r="I29" s="45">
        <v>10.3</v>
      </c>
      <c r="J29" s="45">
        <v>10.3</v>
      </c>
      <c r="K29" s="45">
        <v>10.3</v>
      </c>
      <c r="L29" s="45">
        <v>10.3</v>
      </c>
      <c r="M29" s="45">
        <v>10.3</v>
      </c>
      <c r="N29" s="45">
        <v>10.3</v>
      </c>
      <c r="O29" s="45">
        <v>10.3</v>
      </c>
      <c r="P29" s="45">
        <v>10.3</v>
      </c>
      <c r="Q29" s="45">
        <v>10.3</v>
      </c>
      <c r="R29" s="45">
        <v>10.3</v>
      </c>
      <c r="S29" s="45">
        <v>10.3</v>
      </c>
      <c r="T29" s="45">
        <v>10.3</v>
      </c>
      <c r="U29" s="45">
        <v>10.3</v>
      </c>
      <c r="V29" s="45">
        <v>10.3</v>
      </c>
      <c r="W29" s="45">
        <v>10.3</v>
      </c>
      <c r="X29" s="45">
        <v>10.3</v>
      </c>
      <c r="Y29" s="45">
        <v>10.3</v>
      </c>
      <c r="Z29" s="45">
        <v>10.3</v>
      </c>
      <c r="AA29" s="45">
        <v>10.3</v>
      </c>
      <c r="AB29" s="45">
        <v>10.3</v>
      </c>
      <c r="AC29" s="45">
        <v>10.3</v>
      </c>
      <c r="AD29" s="45">
        <v>10.3</v>
      </c>
      <c r="AE29" s="45">
        <v>10.3</v>
      </c>
      <c r="AF29" s="45">
        <v>10.3</v>
      </c>
      <c r="AG29" s="49">
        <v>25</v>
      </c>
      <c r="AH29" s="47">
        <f t="shared" si="2"/>
        <v>10.4</v>
      </c>
      <c r="AI29" s="48">
        <f t="shared" si="3"/>
        <v>10.3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11.4</v>
      </c>
      <c r="C30" s="45">
        <v>11.4</v>
      </c>
      <c r="D30" s="45">
        <v>10.6</v>
      </c>
      <c r="E30" s="45">
        <v>10.6</v>
      </c>
      <c r="F30" s="45">
        <v>10.6</v>
      </c>
      <c r="G30" s="45">
        <v>10.6</v>
      </c>
      <c r="H30" s="45">
        <v>10.6</v>
      </c>
      <c r="I30" s="45">
        <v>10.6</v>
      </c>
      <c r="J30" s="45">
        <v>10.6</v>
      </c>
      <c r="K30" s="45">
        <v>10.6</v>
      </c>
      <c r="L30" s="45">
        <v>10.6</v>
      </c>
      <c r="M30" s="45">
        <v>10.6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10.9</v>
      </c>
      <c r="Y30" s="45">
        <v>10.9</v>
      </c>
      <c r="Z30" s="45">
        <v>10.9</v>
      </c>
      <c r="AA30" s="45">
        <v>10.9</v>
      </c>
      <c r="AB30" s="45">
        <v>10.9</v>
      </c>
      <c r="AC30" s="45">
        <v>10.9</v>
      </c>
      <c r="AD30" s="45">
        <v>10.9</v>
      </c>
      <c r="AE30" s="45">
        <v>10.9</v>
      </c>
      <c r="AF30" s="45">
        <v>10.9</v>
      </c>
      <c r="AG30" s="49">
        <v>23.5</v>
      </c>
      <c r="AH30" s="47">
        <f t="shared" si="2"/>
        <v>11.4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6.26</v>
      </c>
      <c r="C33" s="45">
        <v>6.26</v>
      </c>
      <c r="D33" s="45">
        <v>6.26</v>
      </c>
      <c r="E33" s="45">
        <v>6.26</v>
      </c>
      <c r="F33" s="45">
        <v>6.26</v>
      </c>
      <c r="G33" s="45">
        <v>6.26</v>
      </c>
      <c r="H33" s="45">
        <v>6.26</v>
      </c>
      <c r="I33" s="45">
        <v>6.26</v>
      </c>
      <c r="J33" s="45">
        <v>6.26</v>
      </c>
      <c r="K33" s="45">
        <v>6.26</v>
      </c>
      <c r="L33" s="45">
        <v>6.26</v>
      </c>
      <c r="M33" s="45">
        <v>6.26</v>
      </c>
      <c r="N33" s="45">
        <v>6.26</v>
      </c>
      <c r="O33" s="45">
        <v>6.26</v>
      </c>
      <c r="P33" s="45">
        <v>6.26</v>
      </c>
      <c r="Q33" s="45">
        <v>6.26</v>
      </c>
      <c r="R33" s="45">
        <v>6.26</v>
      </c>
      <c r="S33" s="45">
        <v>6.26</v>
      </c>
      <c r="T33" s="45">
        <v>6.26</v>
      </c>
      <c r="U33" s="45">
        <v>6.26</v>
      </c>
      <c r="V33" s="45">
        <v>6.26</v>
      </c>
      <c r="W33" s="45">
        <v>6.26</v>
      </c>
      <c r="X33" s="45">
        <v>6.26</v>
      </c>
      <c r="Y33" s="45">
        <v>6.26</v>
      </c>
      <c r="Z33" s="45">
        <v>6.26</v>
      </c>
      <c r="AA33" s="45">
        <v>6.26</v>
      </c>
      <c r="AB33" s="45">
        <v>6.26</v>
      </c>
      <c r="AC33" s="45">
        <v>6.26</v>
      </c>
      <c r="AD33" s="45">
        <v>6.26</v>
      </c>
      <c r="AE33" s="45">
        <v>6.26</v>
      </c>
      <c r="AF33" s="45">
        <v>6.26</v>
      </c>
      <c r="AG33" s="49">
        <v>22</v>
      </c>
      <c r="AH33" s="47">
        <f t="shared" si="2"/>
        <v>6.26</v>
      </c>
      <c r="AI33" s="48">
        <f t="shared" si="3"/>
        <v>6.26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11.2</v>
      </c>
      <c r="C34" s="45">
        <v>11.2</v>
      </c>
      <c r="D34" s="45">
        <v>11</v>
      </c>
      <c r="E34" s="45">
        <v>11</v>
      </c>
      <c r="F34" s="45">
        <v>11</v>
      </c>
      <c r="G34" s="45">
        <v>11</v>
      </c>
      <c r="H34" s="45">
        <v>11</v>
      </c>
      <c r="I34" s="45">
        <v>11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5</v>
      </c>
      <c r="T34" s="45">
        <v>4</v>
      </c>
      <c r="U34" s="45">
        <v>3.8</v>
      </c>
      <c r="V34" s="45">
        <v>3.5</v>
      </c>
      <c r="W34" s="45">
        <v>3.5</v>
      </c>
      <c r="X34" s="45">
        <v>5</v>
      </c>
      <c r="Y34" s="45">
        <v>5</v>
      </c>
      <c r="Z34" s="45">
        <v>5</v>
      </c>
      <c r="AA34" s="45">
        <v>5</v>
      </c>
      <c r="AB34" s="45">
        <v>5</v>
      </c>
      <c r="AC34" s="45">
        <v>5</v>
      </c>
      <c r="AD34" s="45">
        <v>5</v>
      </c>
      <c r="AE34" s="45">
        <v>5</v>
      </c>
      <c r="AF34" s="45">
        <v>5</v>
      </c>
      <c r="AG34" s="49">
        <v>22</v>
      </c>
      <c r="AH34" s="47">
        <f t="shared" si="2"/>
        <v>11.2</v>
      </c>
      <c r="AI34" s="48">
        <f t="shared" si="3"/>
        <v>3.5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6.8</v>
      </c>
      <c r="C36" s="45">
        <v>6.8</v>
      </c>
      <c r="D36" s="45">
        <v>6.8</v>
      </c>
      <c r="E36" s="45">
        <v>6.8</v>
      </c>
      <c r="F36" s="45">
        <v>6.8</v>
      </c>
      <c r="G36" s="45">
        <v>6.8</v>
      </c>
      <c r="H36" s="45">
        <v>6.8</v>
      </c>
      <c r="I36" s="45">
        <v>6.8</v>
      </c>
      <c r="J36" s="45">
        <v>6.8</v>
      </c>
      <c r="K36" s="45">
        <v>6.8</v>
      </c>
      <c r="L36" s="45">
        <v>6.8</v>
      </c>
      <c r="M36" s="45">
        <v>6.8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6.8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11</v>
      </c>
      <c r="C45" s="45">
        <v>11</v>
      </c>
      <c r="D45" s="45">
        <v>11</v>
      </c>
      <c r="E45" s="45">
        <v>11</v>
      </c>
      <c r="F45" s="45">
        <v>11</v>
      </c>
      <c r="G45" s="45">
        <v>11</v>
      </c>
      <c r="H45" s="45">
        <v>11</v>
      </c>
      <c r="I45" s="45">
        <v>11</v>
      </c>
      <c r="J45" s="45">
        <v>11</v>
      </c>
      <c r="K45" s="45">
        <v>11</v>
      </c>
      <c r="L45" s="45">
        <v>11</v>
      </c>
      <c r="M45" s="45">
        <v>11</v>
      </c>
      <c r="N45" s="45">
        <v>11</v>
      </c>
      <c r="O45" s="45">
        <v>11</v>
      </c>
      <c r="P45" s="45">
        <v>11</v>
      </c>
      <c r="Q45" s="45">
        <v>11</v>
      </c>
      <c r="R45" s="45">
        <v>11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49">
        <v>12</v>
      </c>
      <c r="AH45" s="47">
        <f t="shared" si="2"/>
        <v>11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250</v>
      </c>
      <c r="M56" s="57">
        <v>250</v>
      </c>
      <c r="N56" s="57">
        <v>250</v>
      </c>
      <c r="O56" s="57">
        <v>250</v>
      </c>
      <c r="P56" s="57">
        <v>250</v>
      </c>
      <c r="Q56" s="57">
        <v>250</v>
      </c>
      <c r="R56" s="57">
        <v>250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250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 t="shared" ref="B58:D58" si="4">SUM(B11:B56)</f>
        <v>622.4</v>
      </c>
      <c r="C58" s="60">
        <f t="shared" si="4"/>
        <v>622.4</v>
      </c>
      <c r="D58" s="60">
        <f t="shared" si="4"/>
        <v>613.80000000000007</v>
      </c>
      <c r="E58" s="60">
        <f t="shared" ref="E58:AF58" si="5">SUM(E11:E56)</f>
        <v>613.80000000000007</v>
      </c>
      <c r="F58" s="60">
        <f t="shared" si="5"/>
        <v>613.80000000000007</v>
      </c>
      <c r="G58" s="60">
        <f t="shared" si="5"/>
        <v>613.80000000000007</v>
      </c>
      <c r="H58" s="60">
        <f t="shared" si="5"/>
        <v>613.80000000000007</v>
      </c>
      <c r="I58" s="60">
        <f t="shared" si="5"/>
        <v>613.80000000000007</v>
      </c>
      <c r="J58" s="60">
        <f t="shared" si="5"/>
        <v>613.80000000000007</v>
      </c>
      <c r="K58" s="60">
        <f t="shared" si="5"/>
        <v>613.80000000000007</v>
      </c>
      <c r="L58" s="60">
        <f t="shared" si="5"/>
        <v>663.80000000000007</v>
      </c>
      <c r="M58" s="60">
        <f t="shared" si="5"/>
        <v>661.80000000000007</v>
      </c>
      <c r="N58" s="60">
        <f t="shared" si="5"/>
        <v>614.20000000000005</v>
      </c>
      <c r="O58" s="60">
        <f t="shared" si="5"/>
        <v>614.20000000000005</v>
      </c>
      <c r="P58" s="60">
        <f t="shared" si="5"/>
        <v>601.40000000000009</v>
      </c>
      <c r="Q58" s="60">
        <f t="shared" si="5"/>
        <v>601.40000000000009</v>
      </c>
      <c r="R58" s="60">
        <f t="shared" si="5"/>
        <v>601.40000000000009</v>
      </c>
      <c r="S58" s="60">
        <f t="shared" si="5"/>
        <v>544.40000000000009</v>
      </c>
      <c r="T58" s="60">
        <f t="shared" si="5"/>
        <v>543.40000000000009</v>
      </c>
      <c r="U58" s="60">
        <f t="shared" si="5"/>
        <v>543.20000000000005</v>
      </c>
      <c r="V58" s="60">
        <f t="shared" si="5"/>
        <v>542.90000000000009</v>
      </c>
      <c r="W58" s="60">
        <f t="shared" si="5"/>
        <v>546.90000000000009</v>
      </c>
      <c r="X58" s="60">
        <f t="shared" si="5"/>
        <v>576.5</v>
      </c>
      <c r="Y58" s="60">
        <f t="shared" si="5"/>
        <v>587.20000000000005</v>
      </c>
      <c r="Z58" s="60">
        <f t="shared" si="5"/>
        <v>587.20000000000005</v>
      </c>
      <c r="AA58" s="60">
        <f t="shared" si="5"/>
        <v>587.20000000000005</v>
      </c>
      <c r="AB58" s="60">
        <f t="shared" si="5"/>
        <v>587.20000000000005</v>
      </c>
      <c r="AC58" s="60">
        <f t="shared" si="5"/>
        <v>587.20000000000005</v>
      </c>
      <c r="AD58" s="60">
        <f t="shared" si="5"/>
        <v>587.20000000000005</v>
      </c>
      <c r="AE58" s="60">
        <f t="shared" si="5"/>
        <v>587.20000000000005</v>
      </c>
      <c r="AF58" s="60">
        <f t="shared" si="5"/>
        <v>587.20000000000005</v>
      </c>
      <c r="AG58" s="61">
        <f>SUM(AG14:AG56)</f>
        <v>1042.4000000000001</v>
      </c>
      <c r="AH58" s="47">
        <f t="shared" si="2"/>
        <v>663.80000000000007</v>
      </c>
      <c r="AI58" s="48">
        <f t="shared" si="3"/>
        <v>542.90000000000009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15</v>
      </c>
      <c r="L59" s="45">
        <v>280</v>
      </c>
      <c r="M59" s="45">
        <v>90</v>
      </c>
      <c r="N59" s="45">
        <v>356</v>
      </c>
      <c r="O59" s="63">
        <v>325</v>
      </c>
      <c r="P59" s="63">
        <v>170</v>
      </c>
      <c r="Q59" s="63">
        <v>170</v>
      </c>
      <c r="R59" s="63">
        <v>0</v>
      </c>
      <c r="S59" s="45">
        <v>0</v>
      </c>
      <c r="T59" s="45">
        <v>0</v>
      </c>
      <c r="U59" s="45">
        <v>40</v>
      </c>
      <c r="V59" s="45">
        <v>220</v>
      </c>
      <c r="W59" s="45">
        <v>155</v>
      </c>
      <c r="X59" s="45">
        <v>380</v>
      </c>
      <c r="Y59" s="45">
        <v>380</v>
      </c>
      <c r="Z59" s="45">
        <v>320</v>
      </c>
      <c r="AA59" s="45">
        <v>270</v>
      </c>
      <c r="AB59" s="45">
        <v>250</v>
      </c>
      <c r="AC59" s="45">
        <v>180</v>
      </c>
      <c r="AD59" s="45">
        <v>80</v>
      </c>
      <c r="AE59" s="45">
        <v>0</v>
      </c>
      <c r="AF59" s="45">
        <v>0</v>
      </c>
      <c r="AG59" s="52">
        <v>456</v>
      </c>
      <c r="AH59" s="47">
        <f t="shared" si="2"/>
        <v>380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13.7</v>
      </c>
      <c r="C61" s="67">
        <v>13.8</v>
      </c>
      <c r="D61" s="67">
        <v>13.7</v>
      </c>
      <c r="E61" s="67">
        <v>13.7</v>
      </c>
      <c r="F61" s="67">
        <v>13.7</v>
      </c>
      <c r="G61" s="67">
        <v>13.7</v>
      </c>
      <c r="H61" s="67">
        <v>13.7</v>
      </c>
      <c r="I61" s="67">
        <v>13.7</v>
      </c>
      <c r="J61" s="67">
        <v>13.7</v>
      </c>
      <c r="K61" s="67">
        <v>13.7</v>
      </c>
      <c r="L61" s="67">
        <v>13.7</v>
      </c>
      <c r="M61" s="67">
        <v>13.7</v>
      </c>
      <c r="N61" s="67">
        <v>13.7</v>
      </c>
      <c r="O61" s="67">
        <v>14.8</v>
      </c>
      <c r="P61" s="67">
        <v>13.6</v>
      </c>
      <c r="Q61" s="67">
        <v>13.6</v>
      </c>
      <c r="R61" s="67">
        <v>13.2</v>
      </c>
      <c r="S61" s="67">
        <v>10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20.100000000000001</v>
      </c>
      <c r="Y61" s="67">
        <v>20.100000000000001</v>
      </c>
      <c r="Z61" s="67">
        <v>20.100000000000001</v>
      </c>
      <c r="AA61" s="67">
        <v>20.100000000000001</v>
      </c>
      <c r="AB61" s="67">
        <v>16.3</v>
      </c>
      <c r="AC61" s="67">
        <v>16.3</v>
      </c>
      <c r="AD61" s="67">
        <v>16.3</v>
      </c>
      <c r="AE61" s="67">
        <v>16.3</v>
      </c>
      <c r="AF61" s="67">
        <v>16.3</v>
      </c>
      <c r="AG61" s="68">
        <v>22.1</v>
      </c>
      <c r="AH61" s="47">
        <f t="shared" si="2"/>
        <v>20.100000000000001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D62" si="6">SUM(B59:B61)</f>
        <v>49.7</v>
      </c>
      <c r="C62" s="60">
        <f t="shared" si="6"/>
        <v>49.8</v>
      </c>
      <c r="D62" s="60">
        <f t="shared" si="6"/>
        <v>49.7</v>
      </c>
      <c r="E62" s="60">
        <f t="shared" ref="E62:AG62" si="7">SUM(E59:E61)</f>
        <v>49.7</v>
      </c>
      <c r="F62" s="60">
        <f t="shared" si="7"/>
        <v>49.7</v>
      </c>
      <c r="G62" s="60">
        <f t="shared" si="7"/>
        <v>49.7</v>
      </c>
      <c r="H62" s="60">
        <f t="shared" si="7"/>
        <v>49.7</v>
      </c>
      <c r="I62" s="60">
        <f t="shared" si="7"/>
        <v>49.7</v>
      </c>
      <c r="J62" s="60">
        <f t="shared" si="7"/>
        <v>49.7</v>
      </c>
      <c r="K62" s="60">
        <f t="shared" si="7"/>
        <v>64.7</v>
      </c>
      <c r="L62" s="60">
        <f t="shared" si="7"/>
        <v>329.7</v>
      </c>
      <c r="M62" s="60">
        <f t="shared" si="7"/>
        <v>139.69999999999999</v>
      </c>
      <c r="N62" s="60">
        <f t="shared" si="7"/>
        <v>405.7</v>
      </c>
      <c r="O62" s="60">
        <f t="shared" si="7"/>
        <v>375.8</v>
      </c>
      <c r="P62" s="60">
        <f t="shared" si="7"/>
        <v>219.6</v>
      </c>
      <c r="Q62" s="60">
        <f t="shared" si="7"/>
        <v>219.6</v>
      </c>
      <c r="R62" s="60">
        <f t="shared" si="7"/>
        <v>49.2</v>
      </c>
      <c r="S62" s="60">
        <f t="shared" si="7"/>
        <v>46</v>
      </c>
      <c r="T62" s="60">
        <f t="shared" si="7"/>
        <v>46.2</v>
      </c>
      <c r="U62" s="60">
        <f t="shared" si="7"/>
        <v>86.2</v>
      </c>
      <c r="V62" s="60">
        <f t="shared" si="7"/>
        <v>266.2</v>
      </c>
      <c r="W62" s="60">
        <f t="shared" si="7"/>
        <v>201.2</v>
      </c>
      <c r="X62" s="60">
        <f t="shared" si="7"/>
        <v>436.1</v>
      </c>
      <c r="Y62" s="60">
        <f t="shared" si="7"/>
        <v>436.1</v>
      </c>
      <c r="Z62" s="60">
        <f t="shared" si="7"/>
        <v>376.1</v>
      </c>
      <c r="AA62" s="60">
        <f t="shared" si="7"/>
        <v>326.10000000000002</v>
      </c>
      <c r="AB62" s="60">
        <f t="shared" si="7"/>
        <v>302.3</v>
      </c>
      <c r="AC62" s="60">
        <f t="shared" si="7"/>
        <v>232.3</v>
      </c>
      <c r="AD62" s="60">
        <f t="shared" si="7"/>
        <v>132.30000000000001</v>
      </c>
      <c r="AE62" s="60">
        <f t="shared" si="7"/>
        <v>52.3</v>
      </c>
      <c r="AF62" s="60">
        <f t="shared" si="7"/>
        <v>52.3</v>
      </c>
      <c r="AG62" s="61">
        <f t="shared" si="7"/>
        <v>538.1</v>
      </c>
      <c r="AH62" s="47">
        <f t="shared" si="2"/>
        <v>436.1</v>
      </c>
      <c r="AI62" s="48">
        <f t="shared" si="3"/>
        <v>46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48</v>
      </c>
      <c r="H63" s="45">
        <v>48</v>
      </c>
      <c r="I63" s="45">
        <v>48</v>
      </c>
      <c r="J63" s="45">
        <v>48</v>
      </c>
      <c r="K63" s="45">
        <v>81</v>
      </c>
      <c r="L63" s="45">
        <v>122.1</v>
      </c>
      <c r="M63" s="45">
        <v>144.80000000000001</v>
      </c>
      <c r="N63" s="45">
        <v>145</v>
      </c>
      <c r="O63" s="45">
        <v>145</v>
      </c>
      <c r="P63" s="45">
        <v>121</v>
      </c>
      <c r="Q63" s="45">
        <v>60</v>
      </c>
      <c r="R63" s="45">
        <v>35</v>
      </c>
      <c r="S63" s="45">
        <v>30</v>
      </c>
      <c r="T63" s="45">
        <v>30.9</v>
      </c>
      <c r="U63" s="45">
        <v>48.9</v>
      </c>
      <c r="V63" s="45">
        <v>90.8</v>
      </c>
      <c r="W63" s="45">
        <v>144.30000000000001</v>
      </c>
      <c r="X63" s="45">
        <v>143.4</v>
      </c>
      <c r="Y63" s="45">
        <v>143.4</v>
      </c>
      <c r="Z63" s="45">
        <v>143.4</v>
      </c>
      <c r="AA63" s="45">
        <v>143.69999999999999</v>
      </c>
      <c r="AB63" s="45">
        <v>141.69999999999999</v>
      </c>
      <c r="AC63" s="45">
        <v>116</v>
      </c>
      <c r="AD63" s="45">
        <v>78</v>
      </c>
      <c r="AE63" s="45">
        <v>28.6</v>
      </c>
      <c r="AF63" s="45">
        <v>0</v>
      </c>
      <c r="AG63" s="52">
        <v>144</v>
      </c>
      <c r="AH63" s="47">
        <f t="shared" si="2"/>
        <v>145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22</v>
      </c>
      <c r="I64" s="45">
        <v>35</v>
      </c>
      <c r="J64" s="45">
        <v>35</v>
      </c>
      <c r="K64" s="45">
        <v>45</v>
      </c>
      <c r="L64" s="45">
        <v>59</v>
      </c>
      <c r="M64" s="65">
        <v>69.5</v>
      </c>
      <c r="N64" s="65">
        <v>70</v>
      </c>
      <c r="O64" s="65">
        <v>70</v>
      </c>
      <c r="P64" s="65">
        <v>49</v>
      </c>
      <c r="Q64" s="65">
        <v>26</v>
      </c>
      <c r="R64" s="65">
        <v>27</v>
      </c>
      <c r="S64" s="45">
        <v>0</v>
      </c>
      <c r="T64" s="45">
        <v>0</v>
      </c>
      <c r="U64" s="45">
        <v>0</v>
      </c>
      <c r="V64" s="45">
        <v>70.400000000000006</v>
      </c>
      <c r="W64" s="45">
        <v>71.5</v>
      </c>
      <c r="X64" s="45">
        <v>68.8</v>
      </c>
      <c r="Y64" s="45">
        <v>68.8</v>
      </c>
      <c r="Z64" s="45">
        <v>68.8</v>
      </c>
      <c r="AA64" s="45">
        <v>68.7</v>
      </c>
      <c r="AB64" s="45">
        <v>69.900000000000006</v>
      </c>
      <c r="AC64" s="45">
        <v>69.900000000000006</v>
      </c>
      <c r="AD64" s="45">
        <v>69.3</v>
      </c>
      <c r="AE64" s="45">
        <v>47.3</v>
      </c>
      <c r="AF64" s="45">
        <v>0</v>
      </c>
      <c r="AG64" s="55">
        <v>70</v>
      </c>
      <c r="AH64" s="47">
        <f t="shared" si="2"/>
        <v>71.5</v>
      </c>
      <c r="AI64" s="48">
        <f t="shared" si="3"/>
        <v>0</v>
      </c>
      <c r="AK64" s="50"/>
    </row>
    <row r="65" spans="1:41" x14ac:dyDescent="0.25">
      <c r="A65" s="54" t="s">
        <v>65</v>
      </c>
      <c r="B65" s="45">
        <v>16</v>
      </c>
      <c r="C65" s="45">
        <v>16</v>
      </c>
      <c r="D65" s="45">
        <v>16</v>
      </c>
      <c r="E65" s="45">
        <v>16</v>
      </c>
      <c r="F65" s="45">
        <v>16</v>
      </c>
      <c r="G65" s="45">
        <v>16</v>
      </c>
      <c r="H65" s="45">
        <v>22.5</v>
      </c>
      <c r="I65" s="45">
        <v>20</v>
      </c>
      <c r="J65" s="45">
        <v>46</v>
      </c>
      <c r="K65" s="45">
        <v>53</v>
      </c>
      <c r="L65" s="45">
        <v>63.6</v>
      </c>
      <c r="M65" s="65">
        <v>68.5</v>
      </c>
      <c r="N65" s="65">
        <v>61</v>
      </c>
      <c r="O65" s="65">
        <v>61</v>
      </c>
      <c r="P65" s="65">
        <v>34.6</v>
      </c>
      <c r="Q65" s="65">
        <v>18</v>
      </c>
      <c r="R65" s="65">
        <v>17.8</v>
      </c>
      <c r="S65" s="45">
        <v>0</v>
      </c>
      <c r="T65" s="45">
        <v>0</v>
      </c>
      <c r="U65" s="45">
        <v>22.8</v>
      </c>
      <c r="V65" s="45">
        <v>45.9</v>
      </c>
      <c r="W65" s="45">
        <v>64.900000000000006</v>
      </c>
      <c r="X65" s="45">
        <v>64.099999999999994</v>
      </c>
      <c r="Y65" s="45">
        <v>64.099999999999994</v>
      </c>
      <c r="Z65" s="45">
        <v>64.099999999999994</v>
      </c>
      <c r="AA65" s="45">
        <v>55</v>
      </c>
      <c r="AB65" s="45">
        <v>57.3</v>
      </c>
      <c r="AC65" s="45">
        <v>57.3</v>
      </c>
      <c r="AD65" s="45">
        <v>57</v>
      </c>
      <c r="AE65" s="45">
        <v>57</v>
      </c>
      <c r="AF65" s="45">
        <v>16.899999999999999</v>
      </c>
      <c r="AG65" s="55">
        <v>69</v>
      </c>
      <c r="AH65" s="47">
        <f t="shared" si="2"/>
        <v>68.5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52.4</v>
      </c>
      <c r="C66" s="45">
        <v>51.1</v>
      </c>
      <c r="D66" s="45">
        <v>52.4</v>
      </c>
      <c r="E66" s="45">
        <v>52.4</v>
      </c>
      <c r="F66" s="45">
        <v>52.4</v>
      </c>
      <c r="G66" s="45">
        <v>52.4</v>
      </c>
      <c r="H66" s="45">
        <v>52.4</v>
      </c>
      <c r="I66" s="45">
        <v>52.4</v>
      </c>
      <c r="J66" s="45">
        <v>52.4</v>
      </c>
      <c r="K66" s="45">
        <v>52.4</v>
      </c>
      <c r="L66" s="45">
        <v>52.4</v>
      </c>
      <c r="M66" s="45">
        <v>52.4</v>
      </c>
      <c r="N66" s="65">
        <v>52.1</v>
      </c>
      <c r="O66" s="65">
        <v>50.4</v>
      </c>
      <c r="P66" s="65">
        <v>50.2</v>
      </c>
      <c r="Q66" s="65">
        <v>50.2</v>
      </c>
      <c r="R66" s="65">
        <v>50.2</v>
      </c>
      <c r="S66" s="45">
        <v>50.2</v>
      </c>
      <c r="T66" s="45">
        <v>50.2</v>
      </c>
      <c r="U66" s="45">
        <v>48.3</v>
      </c>
      <c r="V66" s="45">
        <v>46.4</v>
      </c>
      <c r="W66" s="45">
        <v>46.4</v>
      </c>
      <c r="X66" s="45">
        <v>48.3</v>
      </c>
      <c r="Y66" s="45">
        <v>48.3</v>
      </c>
      <c r="Z66" s="45">
        <v>48.3</v>
      </c>
      <c r="AA66" s="45">
        <v>48.3</v>
      </c>
      <c r="AB66" s="45">
        <v>49.1</v>
      </c>
      <c r="AC66" s="45">
        <v>49.1</v>
      </c>
      <c r="AD66" s="45">
        <v>51.4</v>
      </c>
      <c r="AE66" s="45">
        <v>51.4</v>
      </c>
      <c r="AF66" s="45">
        <v>51.4</v>
      </c>
      <c r="AG66" s="55">
        <v>60</v>
      </c>
      <c r="AH66" s="47">
        <f t="shared" si="2"/>
        <v>52.4</v>
      </c>
      <c r="AI66" s="48">
        <f t="shared" si="3"/>
        <v>46.4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10</v>
      </c>
      <c r="F67" s="45">
        <v>10</v>
      </c>
      <c r="G67" s="45">
        <v>10</v>
      </c>
      <c r="H67" s="45">
        <v>10</v>
      </c>
      <c r="I67" s="45">
        <v>15</v>
      </c>
      <c r="J67" s="45">
        <v>10</v>
      </c>
      <c r="K67" s="45">
        <v>23</v>
      </c>
      <c r="L67" s="45">
        <v>23</v>
      </c>
      <c r="M67" s="45">
        <v>23</v>
      </c>
      <c r="N67" s="45">
        <v>15</v>
      </c>
      <c r="O67" s="65">
        <v>10</v>
      </c>
      <c r="P67" s="65">
        <v>15</v>
      </c>
      <c r="Q67" s="65">
        <v>0</v>
      </c>
      <c r="R67" s="6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14</v>
      </c>
      <c r="X67" s="45">
        <v>28</v>
      </c>
      <c r="Y67" s="45">
        <v>28</v>
      </c>
      <c r="Z67" s="45">
        <v>28</v>
      </c>
      <c r="AA67" s="45">
        <v>24</v>
      </c>
      <c r="AB67" s="45">
        <v>22</v>
      </c>
      <c r="AC67" s="45">
        <v>30</v>
      </c>
      <c r="AD67" s="45">
        <v>25</v>
      </c>
      <c r="AE67" s="45">
        <v>15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0.4</v>
      </c>
      <c r="M68" s="45">
        <v>3</v>
      </c>
      <c r="N68" s="45">
        <v>5</v>
      </c>
      <c r="O68" s="45">
        <v>8.1999999999999993</v>
      </c>
      <c r="P68" s="65">
        <v>14.7</v>
      </c>
      <c r="Q68" s="65">
        <v>14.7</v>
      </c>
      <c r="R68" s="65">
        <v>14.7</v>
      </c>
      <c r="S68" s="45">
        <v>10.5</v>
      </c>
      <c r="T68" s="45">
        <v>7.1</v>
      </c>
      <c r="U68" s="45">
        <v>2.6</v>
      </c>
      <c r="V68" s="45">
        <v>0.4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14.7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16</v>
      </c>
      <c r="Q69" s="65">
        <v>16</v>
      </c>
      <c r="R69" s="65">
        <v>16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16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0</v>
      </c>
      <c r="Q70" s="65">
        <v>0</v>
      </c>
      <c r="R70" s="65">
        <v>0</v>
      </c>
      <c r="S70" s="65">
        <v>5</v>
      </c>
      <c r="T70" s="65">
        <v>4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5</v>
      </c>
      <c r="AI70" s="48">
        <f t="shared" si="3"/>
        <v>0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11.8</v>
      </c>
      <c r="C71" s="65">
        <v>11.8</v>
      </c>
      <c r="D71" s="65">
        <v>12.8</v>
      </c>
      <c r="E71" s="65">
        <v>12.8</v>
      </c>
      <c r="F71" s="65">
        <v>12.8</v>
      </c>
      <c r="G71" s="65">
        <v>12.8</v>
      </c>
      <c r="H71" s="65">
        <v>12.8</v>
      </c>
      <c r="I71" s="65">
        <v>12.8</v>
      </c>
      <c r="J71" s="65">
        <v>12.8</v>
      </c>
      <c r="K71" s="65">
        <v>12.8</v>
      </c>
      <c r="L71" s="65">
        <v>12.8</v>
      </c>
      <c r="M71" s="65">
        <v>12.8</v>
      </c>
      <c r="N71" s="65">
        <v>12.8</v>
      </c>
      <c r="O71" s="65">
        <v>12.8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12.8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4.9000000000000004</v>
      </c>
      <c r="C72" s="65">
        <v>4.9000000000000004</v>
      </c>
      <c r="D72" s="65">
        <v>4.9000000000000004</v>
      </c>
      <c r="E72" s="65">
        <v>4.9000000000000004</v>
      </c>
      <c r="F72" s="65">
        <v>4.9000000000000004</v>
      </c>
      <c r="G72" s="65">
        <v>4.9000000000000004</v>
      </c>
      <c r="H72" s="65">
        <v>4.9000000000000004</v>
      </c>
      <c r="I72" s="65">
        <v>4.9000000000000004</v>
      </c>
      <c r="J72" s="65">
        <v>4.9000000000000004</v>
      </c>
      <c r="K72" s="65">
        <v>4.9000000000000004</v>
      </c>
      <c r="L72" s="65">
        <v>4.9000000000000004</v>
      </c>
      <c r="M72" s="65">
        <v>4.9000000000000004</v>
      </c>
      <c r="N72" s="65">
        <v>4.9000000000000004</v>
      </c>
      <c r="O72" s="65">
        <v>4.9000000000000004</v>
      </c>
      <c r="P72" s="65">
        <v>5</v>
      </c>
      <c r="Q72" s="65">
        <v>5</v>
      </c>
      <c r="R72" s="65">
        <v>5</v>
      </c>
      <c r="S72" s="65">
        <v>6</v>
      </c>
      <c r="T72" s="65">
        <v>6</v>
      </c>
      <c r="U72" s="65">
        <v>6</v>
      </c>
      <c r="V72" s="65">
        <v>6</v>
      </c>
      <c r="W72" s="65">
        <v>5.7</v>
      </c>
      <c r="X72" s="65">
        <v>5.5</v>
      </c>
      <c r="Y72" s="65">
        <v>5.5</v>
      </c>
      <c r="Z72" s="65">
        <v>5.5</v>
      </c>
      <c r="AA72" s="65">
        <v>5.5</v>
      </c>
      <c r="AB72" s="65">
        <v>5.5</v>
      </c>
      <c r="AC72" s="65">
        <v>4.9000000000000004</v>
      </c>
      <c r="AD72" s="65">
        <v>4.9000000000000004</v>
      </c>
      <c r="AE72" s="65">
        <v>4.9000000000000004</v>
      </c>
      <c r="AF72" s="65">
        <v>4.9000000000000004</v>
      </c>
      <c r="AG72" s="55">
        <v>14</v>
      </c>
      <c r="AH72" s="47">
        <f t="shared" si="2"/>
        <v>6</v>
      </c>
      <c r="AI72" s="48">
        <f t="shared" si="3"/>
        <v>4.9000000000000004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AG250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" si="8">SUM(B63:B75)</f>
        <v>115.64000000000001</v>
      </c>
      <c r="C76" s="60">
        <f t="shared" ref="C76:AG76" si="9">SUM(C63:C75)</f>
        <v>114.34</v>
      </c>
      <c r="D76" s="60">
        <f t="shared" si="9"/>
        <v>116.64000000000001</v>
      </c>
      <c r="E76" s="60">
        <f t="shared" si="9"/>
        <v>126.64000000000001</v>
      </c>
      <c r="F76" s="60">
        <f t="shared" si="9"/>
        <v>126.64000000000001</v>
      </c>
      <c r="G76" s="60">
        <f t="shared" si="9"/>
        <v>174.64000000000001</v>
      </c>
      <c r="H76" s="60">
        <f t="shared" si="9"/>
        <v>203.14000000000001</v>
      </c>
      <c r="I76" s="60">
        <f t="shared" si="9"/>
        <v>218.64000000000001</v>
      </c>
      <c r="J76" s="60">
        <f t="shared" si="9"/>
        <v>239.64000000000001</v>
      </c>
      <c r="K76" s="60">
        <f t="shared" si="9"/>
        <v>302.64</v>
      </c>
      <c r="L76" s="60">
        <f t="shared" si="9"/>
        <v>368.73999999999995</v>
      </c>
      <c r="M76" s="60">
        <f t="shared" si="9"/>
        <v>409.44</v>
      </c>
      <c r="N76" s="60">
        <f t="shared" si="9"/>
        <v>396.34000000000003</v>
      </c>
      <c r="O76" s="60">
        <f t="shared" si="9"/>
        <v>392.84</v>
      </c>
      <c r="P76" s="60">
        <f t="shared" si="9"/>
        <v>326.84000000000003</v>
      </c>
      <c r="Q76" s="60">
        <f t="shared" si="9"/>
        <v>211.23999999999998</v>
      </c>
      <c r="R76" s="60">
        <f t="shared" si="9"/>
        <v>187.04</v>
      </c>
      <c r="S76" s="60">
        <f t="shared" si="9"/>
        <v>138.04</v>
      </c>
      <c r="T76" s="60">
        <f t="shared" si="9"/>
        <v>134.54</v>
      </c>
      <c r="U76" s="60">
        <f t="shared" si="9"/>
        <v>169.44</v>
      </c>
      <c r="V76" s="60">
        <f t="shared" si="9"/>
        <v>300.74</v>
      </c>
      <c r="W76" s="60">
        <f t="shared" si="9"/>
        <v>387.64000000000004</v>
      </c>
      <c r="X76" s="60">
        <f t="shared" si="9"/>
        <v>398.94</v>
      </c>
      <c r="Y76" s="60">
        <f t="shared" si="9"/>
        <v>398.94</v>
      </c>
      <c r="Z76" s="60">
        <f t="shared" si="9"/>
        <v>398.94</v>
      </c>
      <c r="AA76" s="60">
        <f t="shared" si="9"/>
        <v>386.04</v>
      </c>
      <c r="AB76" s="60">
        <f t="shared" si="9"/>
        <v>386.34000000000003</v>
      </c>
      <c r="AC76" s="60">
        <f t="shared" si="9"/>
        <v>368.04</v>
      </c>
      <c r="AD76" s="60">
        <f t="shared" si="9"/>
        <v>326.44000000000005</v>
      </c>
      <c r="AE76" s="60">
        <f t="shared" si="9"/>
        <v>245.04000000000002</v>
      </c>
      <c r="AF76" s="60">
        <f t="shared" si="9"/>
        <v>114.04</v>
      </c>
      <c r="AG76" s="61">
        <f t="shared" si="9"/>
        <v>489.91</v>
      </c>
      <c r="AH76" s="47">
        <f t="shared" si="2"/>
        <v>409.44</v>
      </c>
      <c r="AI76" s="48">
        <f t="shared" si="3"/>
        <v>114.04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>
        <v>45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45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>
        <v>14.7</v>
      </c>
      <c r="X78" s="65">
        <v>10.4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14.7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>
        <v>5.3</v>
      </c>
      <c r="X79" s="67">
        <v>3.6</v>
      </c>
      <c r="Y79" s="67">
        <v>0</v>
      </c>
      <c r="Z79" s="67">
        <v>0</v>
      </c>
      <c r="AA79" s="67">
        <v>0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5.3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" si="10">B77+B78+B79</f>
        <v>0</v>
      </c>
      <c r="C80" s="60">
        <f t="shared" ref="C80:AF80" si="11">C77+C78+C79</f>
        <v>0</v>
      </c>
      <c r="D80" s="60">
        <f t="shared" si="11"/>
        <v>0</v>
      </c>
      <c r="E80" s="60">
        <f t="shared" si="11"/>
        <v>0</v>
      </c>
      <c r="F80" s="60">
        <f t="shared" si="11"/>
        <v>0</v>
      </c>
      <c r="G80" s="60">
        <f t="shared" si="11"/>
        <v>0</v>
      </c>
      <c r="H80" s="60">
        <f t="shared" si="11"/>
        <v>0</v>
      </c>
      <c r="I80" s="60">
        <f t="shared" si="11"/>
        <v>0</v>
      </c>
      <c r="J80" s="60">
        <f t="shared" si="11"/>
        <v>0</v>
      </c>
      <c r="K80" s="60">
        <f t="shared" si="11"/>
        <v>0</v>
      </c>
      <c r="L80" s="60">
        <f t="shared" si="11"/>
        <v>0</v>
      </c>
      <c r="M80" s="60">
        <f t="shared" si="11"/>
        <v>0</v>
      </c>
      <c r="N80" s="60">
        <f t="shared" si="11"/>
        <v>0</v>
      </c>
      <c r="O80" s="60">
        <f t="shared" si="11"/>
        <v>0</v>
      </c>
      <c r="P80" s="60">
        <f t="shared" si="11"/>
        <v>0</v>
      </c>
      <c r="Q80" s="60">
        <f t="shared" si="11"/>
        <v>0</v>
      </c>
      <c r="R80" s="60">
        <f t="shared" si="11"/>
        <v>0</v>
      </c>
      <c r="S80" s="60">
        <f t="shared" si="11"/>
        <v>0</v>
      </c>
      <c r="T80" s="60">
        <f t="shared" si="11"/>
        <v>0</v>
      </c>
      <c r="U80" s="60">
        <f t="shared" si="11"/>
        <v>0</v>
      </c>
      <c r="V80" s="60">
        <f t="shared" si="11"/>
        <v>0</v>
      </c>
      <c r="W80" s="60">
        <f t="shared" si="11"/>
        <v>65</v>
      </c>
      <c r="X80" s="60">
        <f t="shared" si="11"/>
        <v>14</v>
      </c>
      <c r="Y80" s="60">
        <f t="shared" si="11"/>
        <v>0</v>
      </c>
      <c r="Z80" s="60">
        <f t="shared" si="11"/>
        <v>0</v>
      </c>
      <c r="AA80" s="60">
        <f t="shared" si="11"/>
        <v>0</v>
      </c>
      <c r="AB80" s="60">
        <f t="shared" si="11"/>
        <v>0</v>
      </c>
      <c r="AC80" s="60">
        <f t="shared" si="11"/>
        <v>0</v>
      </c>
      <c r="AD80" s="60">
        <f t="shared" si="11"/>
        <v>0</v>
      </c>
      <c r="AE80" s="60">
        <f t="shared" si="11"/>
        <v>0</v>
      </c>
      <c r="AF80" s="60">
        <f t="shared" si="11"/>
        <v>0</v>
      </c>
      <c r="AG80" s="61">
        <f>SUM(AG77:AG79)</f>
        <v>106</v>
      </c>
      <c r="AH80" s="47">
        <f t="shared" si="2"/>
        <v>65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48</v>
      </c>
      <c r="C81" s="45">
        <v>50.1</v>
      </c>
      <c r="D81" s="45">
        <v>46.9</v>
      </c>
      <c r="E81" s="45">
        <v>35</v>
      </c>
      <c r="F81" s="45">
        <v>38</v>
      </c>
      <c r="G81" s="45">
        <v>51.1</v>
      </c>
      <c r="H81" s="45">
        <v>47.5</v>
      </c>
      <c r="I81" s="45">
        <v>48</v>
      </c>
      <c r="J81" s="45">
        <v>49.2</v>
      </c>
      <c r="K81" s="45">
        <v>45.3</v>
      </c>
      <c r="L81" s="45">
        <v>42.9</v>
      </c>
      <c r="M81" s="45">
        <v>34.6</v>
      </c>
      <c r="N81" s="45">
        <v>33</v>
      </c>
      <c r="O81" s="45">
        <v>49.6</v>
      </c>
      <c r="P81" s="45">
        <v>43.7</v>
      </c>
      <c r="Q81" s="45">
        <v>48</v>
      </c>
      <c r="R81" s="45">
        <v>48</v>
      </c>
      <c r="S81" s="45">
        <v>61.9</v>
      </c>
      <c r="T81" s="45">
        <v>59.1</v>
      </c>
      <c r="U81" s="45">
        <v>51.4</v>
      </c>
      <c r="V81" s="45">
        <v>50.2</v>
      </c>
      <c r="W81" s="45">
        <v>44</v>
      </c>
      <c r="X81" s="45">
        <v>40.200000000000003</v>
      </c>
      <c r="Y81" s="45">
        <v>37</v>
      </c>
      <c r="Z81" s="45">
        <v>42.8</v>
      </c>
      <c r="AA81" s="45">
        <v>46</v>
      </c>
      <c r="AB81" s="45">
        <v>58.8</v>
      </c>
      <c r="AC81" s="45">
        <v>49.6</v>
      </c>
      <c r="AD81" s="45">
        <v>56.2</v>
      </c>
      <c r="AE81" s="45">
        <v>28.1</v>
      </c>
      <c r="AF81" s="45">
        <v>39</v>
      </c>
      <c r="AG81" s="52"/>
      <c r="AH81" s="47">
        <f t="shared" si="2"/>
        <v>61.9</v>
      </c>
      <c r="AI81" s="48">
        <f t="shared" si="3"/>
        <v>28.1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200.1</v>
      </c>
      <c r="C83" s="65">
        <v>185.9</v>
      </c>
      <c r="D83" s="65">
        <v>167.1</v>
      </c>
      <c r="E83" s="65">
        <v>133.4</v>
      </c>
      <c r="F83" s="65">
        <v>147</v>
      </c>
      <c r="G83" s="65">
        <v>181</v>
      </c>
      <c r="H83" s="65">
        <v>225</v>
      </c>
      <c r="I83" s="65">
        <v>270</v>
      </c>
      <c r="J83" s="65">
        <v>336</v>
      </c>
      <c r="K83" s="65">
        <v>341.1</v>
      </c>
      <c r="L83" s="65">
        <v>89</v>
      </c>
      <c r="M83" s="65">
        <v>310</v>
      </c>
      <c r="N83" s="65">
        <v>69</v>
      </c>
      <c r="O83" s="65">
        <v>33.799999999999997</v>
      </c>
      <c r="P83" s="65">
        <v>161</v>
      </c>
      <c r="Q83" s="65">
        <v>323</v>
      </c>
      <c r="R83" s="65">
        <v>324</v>
      </c>
      <c r="S83" s="65">
        <v>359.1</v>
      </c>
      <c r="T83" s="65">
        <v>354.4</v>
      </c>
      <c r="U83" s="65">
        <v>334</v>
      </c>
      <c r="V83" s="65">
        <v>119.7</v>
      </c>
      <c r="W83" s="65">
        <v>143.30000000000001</v>
      </c>
      <c r="X83" s="65">
        <v>102.4</v>
      </c>
      <c r="Y83" s="65">
        <v>84.1</v>
      </c>
      <c r="Z83" s="65">
        <v>110</v>
      </c>
      <c r="AA83" s="65">
        <v>130</v>
      </c>
      <c r="AB83" s="65">
        <v>149.19999999999999</v>
      </c>
      <c r="AC83" s="65">
        <v>146.9</v>
      </c>
      <c r="AD83" s="65">
        <v>205</v>
      </c>
      <c r="AE83" s="65">
        <v>163</v>
      </c>
      <c r="AF83" s="65">
        <v>168.1</v>
      </c>
      <c r="AG83" s="75"/>
      <c r="AH83" s="47">
        <f t="shared" si="2"/>
        <v>359.1</v>
      </c>
      <c r="AI83" s="48">
        <f t="shared" si="3"/>
        <v>33.799999999999997</v>
      </c>
      <c r="AK83" s="50"/>
    </row>
    <row r="84" spans="1:40" x14ac:dyDescent="0.25">
      <c r="A84" s="54" t="s">
        <v>84</v>
      </c>
      <c r="B84" s="76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12">MAX(B85:AF85)</f>
        <v>0</v>
      </c>
      <c r="AI85" s="48">
        <f t="shared" ref="AI85:AI130" si="13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12"/>
        <v>0</v>
      </c>
      <c r="AI86" s="48">
        <f t="shared" si="13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>
        <v>0</v>
      </c>
      <c r="X87" s="77">
        <v>0</v>
      </c>
      <c r="Y87" s="77">
        <v>0</v>
      </c>
      <c r="Z87" s="77">
        <v>0</v>
      </c>
      <c r="AA87" s="77">
        <v>0</v>
      </c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12"/>
        <v>0</v>
      </c>
      <c r="AI87" s="48">
        <f t="shared" si="13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>
        <v>0</v>
      </c>
      <c r="X88" s="77">
        <v>0</v>
      </c>
      <c r="Y88" s="77">
        <v>0</v>
      </c>
      <c r="Z88" s="77">
        <v>0</v>
      </c>
      <c r="AA88" s="77">
        <v>0</v>
      </c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12"/>
        <v>0</v>
      </c>
      <c r="AI88" s="48">
        <f t="shared" si="13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>
        <v>0</v>
      </c>
      <c r="X89" s="77">
        <v>0</v>
      </c>
      <c r="Y89" s="77">
        <v>0</v>
      </c>
      <c r="Z89" s="77">
        <v>0</v>
      </c>
      <c r="AA89" s="77">
        <v>0</v>
      </c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12"/>
        <v>0</v>
      </c>
      <c r="AI89" s="48">
        <f t="shared" si="13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12"/>
        <v>0</v>
      </c>
      <c r="AI90" s="48">
        <f t="shared" si="13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>
        <v>0</v>
      </c>
      <c r="X91" s="77">
        <v>0</v>
      </c>
      <c r="Y91" s="77">
        <v>0</v>
      </c>
      <c r="Z91" s="77">
        <v>0</v>
      </c>
      <c r="AA91" s="77">
        <v>0</v>
      </c>
      <c r="AB91" s="77">
        <v>0</v>
      </c>
      <c r="AC91" s="77">
        <v>0</v>
      </c>
      <c r="AD91" s="77">
        <v>0</v>
      </c>
      <c r="AE91" s="77">
        <v>0</v>
      </c>
      <c r="AF91" s="77">
        <v>0</v>
      </c>
      <c r="AG91" s="85"/>
      <c r="AH91" s="47">
        <f t="shared" si="12"/>
        <v>0</v>
      </c>
      <c r="AI91" s="48">
        <f t="shared" si="13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" si="14">SUMIF(B81:B91,"&gt;0")</f>
        <v>248.1</v>
      </c>
      <c r="C92" s="60">
        <f t="shared" ref="C92:AF92" si="15">SUMIF(C81:C91,"&gt;0")</f>
        <v>236</v>
      </c>
      <c r="D92" s="60">
        <f t="shared" si="15"/>
        <v>214</v>
      </c>
      <c r="E92" s="60">
        <f t="shared" si="15"/>
        <v>168.4</v>
      </c>
      <c r="F92" s="60">
        <f t="shared" si="15"/>
        <v>185</v>
      </c>
      <c r="G92" s="60">
        <f t="shared" si="15"/>
        <v>232.1</v>
      </c>
      <c r="H92" s="60">
        <f t="shared" si="15"/>
        <v>272.5</v>
      </c>
      <c r="I92" s="60">
        <f t="shared" si="15"/>
        <v>318</v>
      </c>
      <c r="J92" s="60">
        <f t="shared" si="15"/>
        <v>385.2</v>
      </c>
      <c r="K92" s="60">
        <f t="shared" si="15"/>
        <v>386.40000000000003</v>
      </c>
      <c r="L92" s="60">
        <f t="shared" si="15"/>
        <v>131.9</v>
      </c>
      <c r="M92" s="60">
        <f t="shared" si="15"/>
        <v>344.6</v>
      </c>
      <c r="N92" s="60">
        <f t="shared" si="15"/>
        <v>102</v>
      </c>
      <c r="O92" s="60">
        <f t="shared" si="15"/>
        <v>83.4</v>
      </c>
      <c r="P92" s="60">
        <f t="shared" si="15"/>
        <v>204.7</v>
      </c>
      <c r="Q92" s="60">
        <f t="shared" si="15"/>
        <v>371</v>
      </c>
      <c r="R92" s="60">
        <f t="shared" si="15"/>
        <v>372</v>
      </c>
      <c r="S92" s="60">
        <f t="shared" si="15"/>
        <v>421</v>
      </c>
      <c r="T92" s="60">
        <f t="shared" si="15"/>
        <v>413.5</v>
      </c>
      <c r="U92" s="60">
        <f t="shared" si="15"/>
        <v>385.4</v>
      </c>
      <c r="V92" s="60">
        <f t="shared" si="15"/>
        <v>169.9</v>
      </c>
      <c r="W92" s="60">
        <f t="shared" si="15"/>
        <v>187.3</v>
      </c>
      <c r="X92" s="60">
        <f t="shared" si="15"/>
        <v>142.60000000000002</v>
      </c>
      <c r="Y92" s="60">
        <f t="shared" si="15"/>
        <v>121.1</v>
      </c>
      <c r="Z92" s="60">
        <f t="shared" si="15"/>
        <v>152.80000000000001</v>
      </c>
      <c r="AA92" s="60">
        <f t="shared" si="15"/>
        <v>176</v>
      </c>
      <c r="AB92" s="60">
        <f t="shared" si="15"/>
        <v>208</v>
      </c>
      <c r="AC92" s="60">
        <f t="shared" si="15"/>
        <v>196.5</v>
      </c>
      <c r="AD92" s="60">
        <f t="shared" si="15"/>
        <v>261.2</v>
      </c>
      <c r="AE92" s="60">
        <f t="shared" si="15"/>
        <v>191.1</v>
      </c>
      <c r="AF92" s="60">
        <f t="shared" si="15"/>
        <v>207.1</v>
      </c>
      <c r="AG92" s="88">
        <f>SUM(AG81:AG91)</f>
        <v>0</v>
      </c>
      <c r="AH92" s="47">
        <f t="shared" si="12"/>
        <v>421</v>
      </c>
      <c r="AI92" s="48">
        <f t="shared" si="13"/>
        <v>83.4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12"/>
        <v>0</v>
      </c>
      <c r="AI93" s="48">
        <f t="shared" si="13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12"/>
        <v>0</v>
      </c>
      <c r="AI94" s="48">
        <f t="shared" si="13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12"/>
        <v>0</v>
      </c>
      <c r="AI95" s="48">
        <f t="shared" si="13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12"/>
        <v>0</v>
      </c>
      <c r="AI96" s="48">
        <f t="shared" si="13"/>
        <v>0</v>
      </c>
    </row>
    <row r="97" spans="1:37" ht="15.75" thickBot="1" x14ac:dyDescent="0.3">
      <c r="A97" s="74" t="s">
        <v>100</v>
      </c>
      <c r="B97" s="95">
        <f t="shared" ref="B97" si="16">B58+B62+B80+B76+B92+B96</f>
        <v>1035.8399999999999</v>
      </c>
      <c r="C97" s="95">
        <f t="shared" ref="C97:AG97" si="17">C58+C62+C80+C76+C92+C96</f>
        <v>1022.54</v>
      </c>
      <c r="D97" s="95">
        <f t="shared" si="17"/>
        <v>994.1400000000001</v>
      </c>
      <c r="E97" s="95">
        <f t="shared" si="17"/>
        <v>958.54000000000008</v>
      </c>
      <c r="F97" s="95">
        <f t="shared" si="17"/>
        <v>975.1400000000001</v>
      </c>
      <c r="G97" s="95">
        <f t="shared" si="17"/>
        <v>1070.24</v>
      </c>
      <c r="H97" s="95">
        <f t="shared" si="17"/>
        <v>1139.1400000000001</v>
      </c>
      <c r="I97" s="95">
        <f t="shared" si="17"/>
        <v>1200.1400000000001</v>
      </c>
      <c r="J97" s="95">
        <f t="shared" si="17"/>
        <v>1288.3400000000001</v>
      </c>
      <c r="K97" s="95">
        <f t="shared" si="17"/>
        <v>1367.5400000000002</v>
      </c>
      <c r="L97" s="95">
        <f t="shared" si="17"/>
        <v>1494.14</v>
      </c>
      <c r="M97" s="95">
        <f t="shared" si="17"/>
        <v>1555.54</v>
      </c>
      <c r="N97" s="95">
        <f t="shared" si="17"/>
        <v>1518.2400000000002</v>
      </c>
      <c r="O97" s="95">
        <f t="shared" si="17"/>
        <v>1466.24</v>
      </c>
      <c r="P97" s="95">
        <f t="shared" si="17"/>
        <v>1352.5400000000002</v>
      </c>
      <c r="Q97" s="95">
        <f t="shared" si="17"/>
        <v>1403.24</v>
      </c>
      <c r="R97" s="95">
        <f t="shared" si="17"/>
        <v>1209.6400000000001</v>
      </c>
      <c r="S97" s="95">
        <f t="shared" si="17"/>
        <v>1149.44</v>
      </c>
      <c r="T97" s="95">
        <f t="shared" si="17"/>
        <v>1137.6400000000001</v>
      </c>
      <c r="U97" s="95">
        <f t="shared" si="17"/>
        <v>1184.2400000000002</v>
      </c>
      <c r="V97" s="95">
        <f t="shared" si="17"/>
        <v>1279.7400000000002</v>
      </c>
      <c r="W97" s="95">
        <f t="shared" si="17"/>
        <v>1388.0400000000002</v>
      </c>
      <c r="X97" s="95">
        <f t="shared" si="17"/>
        <v>1568.1399999999999</v>
      </c>
      <c r="Y97" s="95">
        <f t="shared" si="17"/>
        <v>1543.34</v>
      </c>
      <c r="Z97" s="95">
        <f t="shared" si="17"/>
        <v>1515.04</v>
      </c>
      <c r="AA97" s="95">
        <f t="shared" si="17"/>
        <v>1475.3400000000001</v>
      </c>
      <c r="AB97" s="95">
        <f t="shared" si="17"/>
        <v>1483.8400000000001</v>
      </c>
      <c r="AC97" s="95">
        <f t="shared" si="17"/>
        <v>1384.04</v>
      </c>
      <c r="AD97" s="95">
        <f t="shared" si="17"/>
        <v>1307.1400000000001</v>
      </c>
      <c r="AE97" s="95">
        <f t="shared" si="17"/>
        <v>1075.6399999999999</v>
      </c>
      <c r="AF97" s="95">
        <f t="shared" si="17"/>
        <v>960.64</v>
      </c>
      <c r="AG97" s="61">
        <f t="shared" si="17"/>
        <v>2231.81</v>
      </c>
      <c r="AH97" s="47">
        <f t="shared" si="12"/>
        <v>1568.1399999999999</v>
      </c>
      <c r="AI97" s="48">
        <f t="shared" si="13"/>
        <v>958.54000000000008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80</v>
      </c>
      <c r="M98" s="97">
        <v>80</v>
      </c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>
        <v>60</v>
      </c>
      <c r="Y98" s="97">
        <v>60</v>
      </c>
      <c r="Z98" s="97"/>
      <c r="AA98" s="97"/>
      <c r="AB98" s="97"/>
      <c r="AC98" s="97"/>
      <c r="AD98" s="97"/>
      <c r="AE98" s="97"/>
      <c r="AF98" s="97"/>
      <c r="AG98" s="88"/>
      <c r="AH98" s="47">
        <f t="shared" si="12"/>
        <v>80</v>
      </c>
      <c r="AI98" s="48">
        <f t="shared" si="13"/>
        <v>60</v>
      </c>
    </row>
    <row r="99" spans="1:37" ht="15.75" thickBot="1" x14ac:dyDescent="0.3">
      <c r="A99" s="74" t="s">
        <v>102</v>
      </c>
      <c r="B99" s="95">
        <f t="shared" ref="B99" si="18">B97+B98</f>
        <v>1035.8399999999999</v>
      </c>
      <c r="C99" s="95">
        <f t="shared" ref="C99:AF99" si="19">C97+C98</f>
        <v>1022.54</v>
      </c>
      <c r="D99" s="95">
        <f t="shared" si="19"/>
        <v>994.1400000000001</v>
      </c>
      <c r="E99" s="95">
        <f t="shared" si="19"/>
        <v>958.54000000000008</v>
      </c>
      <c r="F99" s="95">
        <f t="shared" si="19"/>
        <v>975.1400000000001</v>
      </c>
      <c r="G99" s="95">
        <f t="shared" si="19"/>
        <v>1070.24</v>
      </c>
      <c r="H99" s="95">
        <f t="shared" si="19"/>
        <v>1139.1400000000001</v>
      </c>
      <c r="I99" s="95">
        <f t="shared" si="19"/>
        <v>1200.1400000000001</v>
      </c>
      <c r="J99" s="95">
        <f t="shared" si="19"/>
        <v>1288.3400000000001</v>
      </c>
      <c r="K99" s="95">
        <f t="shared" si="19"/>
        <v>1367.5400000000002</v>
      </c>
      <c r="L99" s="95">
        <f t="shared" si="19"/>
        <v>1574.14</v>
      </c>
      <c r="M99" s="95">
        <f t="shared" si="19"/>
        <v>1635.54</v>
      </c>
      <c r="N99" s="95">
        <f t="shared" si="19"/>
        <v>1518.2400000000002</v>
      </c>
      <c r="O99" s="95">
        <f t="shared" si="19"/>
        <v>1466.24</v>
      </c>
      <c r="P99" s="95">
        <f t="shared" si="19"/>
        <v>1352.5400000000002</v>
      </c>
      <c r="Q99" s="95">
        <f t="shared" si="19"/>
        <v>1403.24</v>
      </c>
      <c r="R99" s="95">
        <f t="shared" si="19"/>
        <v>1209.6400000000001</v>
      </c>
      <c r="S99" s="95">
        <f t="shared" si="19"/>
        <v>1149.44</v>
      </c>
      <c r="T99" s="95">
        <f t="shared" si="19"/>
        <v>1137.6400000000001</v>
      </c>
      <c r="U99" s="95">
        <f t="shared" si="19"/>
        <v>1184.2400000000002</v>
      </c>
      <c r="V99" s="95">
        <f t="shared" si="19"/>
        <v>1279.7400000000002</v>
      </c>
      <c r="W99" s="95">
        <f t="shared" si="19"/>
        <v>1388.0400000000002</v>
      </c>
      <c r="X99" s="95">
        <f t="shared" si="19"/>
        <v>1628.1399999999999</v>
      </c>
      <c r="Y99" s="95">
        <f t="shared" si="19"/>
        <v>1603.34</v>
      </c>
      <c r="Z99" s="95">
        <f t="shared" si="19"/>
        <v>1515.04</v>
      </c>
      <c r="AA99" s="95">
        <f t="shared" si="19"/>
        <v>1475.3400000000001</v>
      </c>
      <c r="AB99" s="95">
        <f t="shared" si="19"/>
        <v>1483.8400000000001</v>
      </c>
      <c r="AC99" s="95">
        <f t="shared" si="19"/>
        <v>1384.04</v>
      </c>
      <c r="AD99" s="95">
        <f t="shared" si="19"/>
        <v>1307.1400000000001</v>
      </c>
      <c r="AE99" s="95">
        <f t="shared" si="19"/>
        <v>1075.6399999999999</v>
      </c>
      <c r="AF99" s="95">
        <f t="shared" si="19"/>
        <v>960.64</v>
      </c>
      <c r="AG99" s="88">
        <f>AG96+AG92+AG80+AG76+AG58+AG98</f>
        <v>1693.71</v>
      </c>
      <c r="AH99" s="47">
        <f t="shared" si="12"/>
        <v>1635.54</v>
      </c>
      <c r="AI99" s="48">
        <f t="shared" si="13"/>
        <v>958.54000000000008</v>
      </c>
    </row>
    <row r="100" spans="1:37" ht="15.75" thickBot="1" x14ac:dyDescent="0.3">
      <c r="A100" s="74" t="s">
        <v>103</v>
      </c>
      <c r="B100" s="95">
        <f t="shared" ref="B100" si="20">B99-(B107)</f>
        <v>1035.8399999999999</v>
      </c>
      <c r="C100" s="95">
        <f t="shared" ref="C100:M100" si="21">C99-(C107)</f>
        <v>1022.54</v>
      </c>
      <c r="D100" s="95">
        <f t="shared" si="21"/>
        <v>994.1400000000001</v>
      </c>
      <c r="E100" s="95">
        <f t="shared" si="21"/>
        <v>958.54000000000008</v>
      </c>
      <c r="F100" s="95">
        <f t="shared" si="21"/>
        <v>975.1400000000001</v>
      </c>
      <c r="G100" s="95">
        <f t="shared" si="21"/>
        <v>1070.24</v>
      </c>
      <c r="H100" s="95">
        <f t="shared" si="21"/>
        <v>1139.1400000000001</v>
      </c>
      <c r="I100" s="95">
        <f t="shared" si="21"/>
        <v>1200.1400000000001</v>
      </c>
      <c r="J100" s="95">
        <f t="shared" si="21"/>
        <v>1288.3400000000001</v>
      </c>
      <c r="K100" s="95">
        <f t="shared" si="21"/>
        <v>1367.5400000000002</v>
      </c>
      <c r="L100" s="95">
        <f t="shared" si="21"/>
        <v>1574.14</v>
      </c>
      <c r="M100" s="95">
        <f t="shared" si="21"/>
        <v>1635.54</v>
      </c>
      <c r="N100" s="95">
        <f>N99-(N107)</f>
        <v>1518.2400000000002</v>
      </c>
      <c r="O100" s="95">
        <f t="shared" ref="O100:AF100" si="22">O99-(O107)</f>
        <v>1466.24</v>
      </c>
      <c r="P100" s="95">
        <f t="shared" si="22"/>
        <v>1352.5400000000002</v>
      </c>
      <c r="Q100" s="95">
        <f t="shared" si="22"/>
        <v>1403.24</v>
      </c>
      <c r="R100" s="95">
        <f t="shared" si="22"/>
        <v>1209.6400000000001</v>
      </c>
      <c r="S100" s="95">
        <f t="shared" si="22"/>
        <v>1149.44</v>
      </c>
      <c r="T100" s="95">
        <f t="shared" si="22"/>
        <v>1137.6400000000001</v>
      </c>
      <c r="U100" s="95">
        <f t="shared" si="22"/>
        <v>1184.2400000000002</v>
      </c>
      <c r="V100" s="95">
        <f t="shared" si="22"/>
        <v>1279.7400000000002</v>
      </c>
      <c r="W100" s="95">
        <f t="shared" si="22"/>
        <v>1388.0400000000002</v>
      </c>
      <c r="X100" s="95">
        <f t="shared" si="22"/>
        <v>1628.1399999999999</v>
      </c>
      <c r="Y100" s="95">
        <f t="shared" si="22"/>
        <v>1603.34</v>
      </c>
      <c r="Z100" s="95">
        <f t="shared" si="22"/>
        <v>1515.04</v>
      </c>
      <c r="AA100" s="95">
        <f t="shared" si="22"/>
        <v>1475.3400000000001</v>
      </c>
      <c r="AB100" s="95">
        <f t="shared" si="22"/>
        <v>1483.8400000000001</v>
      </c>
      <c r="AC100" s="95">
        <f t="shared" si="22"/>
        <v>1384.04</v>
      </c>
      <c r="AD100" s="95">
        <f t="shared" si="22"/>
        <v>1307.1400000000001</v>
      </c>
      <c r="AE100" s="95">
        <f t="shared" si="22"/>
        <v>1075.6399999999999</v>
      </c>
      <c r="AF100" s="95">
        <f t="shared" si="22"/>
        <v>960.64</v>
      </c>
      <c r="AG100" s="88"/>
      <c r="AH100" s="47">
        <f t="shared" si="12"/>
        <v>1635.54</v>
      </c>
      <c r="AI100" s="48">
        <f t="shared" si="13"/>
        <v>958.54000000000008</v>
      </c>
    </row>
    <row r="101" spans="1:37" x14ac:dyDescent="0.25">
      <c r="A101" s="44" t="s">
        <v>84</v>
      </c>
      <c r="B101" s="76">
        <f t="shared" ref="B101" si="23">IF(B84&lt;0,B84*-1,0)</f>
        <v>0</v>
      </c>
      <c r="C101" s="76">
        <f t="shared" ref="C101:AF101" si="24">IF(C84&lt;0,C84*-1,0)</f>
        <v>0</v>
      </c>
      <c r="D101" s="76">
        <f t="shared" si="24"/>
        <v>0</v>
      </c>
      <c r="E101" s="76">
        <f t="shared" si="24"/>
        <v>0</v>
      </c>
      <c r="F101" s="76">
        <f t="shared" si="24"/>
        <v>0</v>
      </c>
      <c r="G101" s="76">
        <f t="shared" si="24"/>
        <v>0</v>
      </c>
      <c r="H101" s="76">
        <f t="shared" si="24"/>
        <v>0</v>
      </c>
      <c r="I101" s="76">
        <f t="shared" si="24"/>
        <v>0</v>
      </c>
      <c r="J101" s="76">
        <f t="shared" si="24"/>
        <v>0</v>
      </c>
      <c r="K101" s="76">
        <f t="shared" si="24"/>
        <v>0</v>
      </c>
      <c r="L101" s="76">
        <f t="shared" si="24"/>
        <v>0</v>
      </c>
      <c r="M101" s="76">
        <f t="shared" si="24"/>
        <v>0</v>
      </c>
      <c r="N101" s="76">
        <f t="shared" si="24"/>
        <v>0</v>
      </c>
      <c r="O101" s="76">
        <f t="shared" si="24"/>
        <v>0</v>
      </c>
      <c r="P101" s="76">
        <f t="shared" si="24"/>
        <v>0</v>
      </c>
      <c r="Q101" s="76">
        <f t="shared" si="24"/>
        <v>0</v>
      </c>
      <c r="R101" s="76">
        <f t="shared" si="24"/>
        <v>0</v>
      </c>
      <c r="S101" s="76">
        <f t="shared" si="24"/>
        <v>0</v>
      </c>
      <c r="T101" s="76">
        <f t="shared" si="24"/>
        <v>0</v>
      </c>
      <c r="U101" s="76">
        <f t="shared" si="24"/>
        <v>0</v>
      </c>
      <c r="V101" s="76">
        <f t="shared" si="24"/>
        <v>0</v>
      </c>
      <c r="W101" s="76">
        <f t="shared" si="24"/>
        <v>0</v>
      </c>
      <c r="X101" s="76">
        <f t="shared" si="24"/>
        <v>0</v>
      </c>
      <c r="Y101" s="76">
        <f t="shared" si="24"/>
        <v>0</v>
      </c>
      <c r="Z101" s="76">
        <f t="shared" si="24"/>
        <v>0</v>
      </c>
      <c r="AA101" s="76">
        <f t="shared" si="24"/>
        <v>0</v>
      </c>
      <c r="AB101" s="76">
        <f t="shared" si="24"/>
        <v>0</v>
      </c>
      <c r="AC101" s="76">
        <f t="shared" si="24"/>
        <v>0</v>
      </c>
      <c r="AD101" s="76">
        <f t="shared" si="24"/>
        <v>0</v>
      </c>
      <c r="AE101" s="76">
        <f t="shared" si="24"/>
        <v>0</v>
      </c>
      <c r="AF101" s="76">
        <f t="shared" si="24"/>
        <v>0</v>
      </c>
      <c r="AG101" s="52"/>
      <c r="AH101" s="47">
        <f t="shared" si="12"/>
        <v>0</v>
      </c>
      <c r="AI101" s="48">
        <f t="shared" si="13"/>
        <v>0</v>
      </c>
    </row>
    <row r="102" spans="1:37" x14ac:dyDescent="0.25">
      <c r="A102" s="54" t="s">
        <v>82</v>
      </c>
      <c r="B102" s="76">
        <f t="shared" ref="B102" si="25">IF(B82&lt;0,B82*-1,0)</f>
        <v>0</v>
      </c>
      <c r="C102" s="76">
        <f t="shared" ref="C102:AF102" si="26">IF(C82&lt;0,C82*-1,0)</f>
        <v>0</v>
      </c>
      <c r="D102" s="76">
        <f t="shared" si="26"/>
        <v>0</v>
      </c>
      <c r="E102" s="76">
        <f t="shared" si="26"/>
        <v>0</v>
      </c>
      <c r="F102" s="76">
        <f t="shared" si="26"/>
        <v>0</v>
      </c>
      <c r="G102" s="76">
        <f t="shared" si="26"/>
        <v>0</v>
      </c>
      <c r="H102" s="76">
        <f t="shared" si="26"/>
        <v>0</v>
      </c>
      <c r="I102" s="76">
        <f t="shared" si="26"/>
        <v>0</v>
      </c>
      <c r="J102" s="76">
        <f t="shared" si="26"/>
        <v>0</v>
      </c>
      <c r="K102" s="76">
        <f t="shared" si="26"/>
        <v>0</v>
      </c>
      <c r="L102" s="76">
        <f t="shared" si="26"/>
        <v>0</v>
      </c>
      <c r="M102" s="76">
        <f t="shared" si="26"/>
        <v>0</v>
      </c>
      <c r="N102" s="76">
        <f t="shared" si="26"/>
        <v>0</v>
      </c>
      <c r="O102" s="76">
        <f t="shared" si="26"/>
        <v>0</v>
      </c>
      <c r="P102" s="76">
        <f t="shared" si="26"/>
        <v>0</v>
      </c>
      <c r="Q102" s="76">
        <f t="shared" si="26"/>
        <v>0</v>
      </c>
      <c r="R102" s="76">
        <f t="shared" si="26"/>
        <v>0</v>
      </c>
      <c r="S102" s="76">
        <f t="shared" si="26"/>
        <v>0</v>
      </c>
      <c r="T102" s="76">
        <f t="shared" si="26"/>
        <v>0</v>
      </c>
      <c r="U102" s="76">
        <f t="shared" si="26"/>
        <v>0</v>
      </c>
      <c r="V102" s="76">
        <f t="shared" si="26"/>
        <v>0</v>
      </c>
      <c r="W102" s="76">
        <f t="shared" si="26"/>
        <v>0</v>
      </c>
      <c r="X102" s="76">
        <f t="shared" si="26"/>
        <v>0</v>
      </c>
      <c r="Y102" s="76">
        <f t="shared" si="26"/>
        <v>0</v>
      </c>
      <c r="Z102" s="76">
        <f t="shared" si="26"/>
        <v>0</v>
      </c>
      <c r="AA102" s="76">
        <f t="shared" si="26"/>
        <v>0</v>
      </c>
      <c r="AB102" s="76">
        <f t="shared" si="26"/>
        <v>0</v>
      </c>
      <c r="AC102" s="76">
        <f t="shared" si="26"/>
        <v>0</v>
      </c>
      <c r="AD102" s="76">
        <f t="shared" si="26"/>
        <v>0</v>
      </c>
      <c r="AE102" s="76">
        <f t="shared" si="26"/>
        <v>0</v>
      </c>
      <c r="AF102" s="76">
        <f t="shared" si="26"/>
        <v>0</v>
      </c>
      <c r="AG102" s="55"/>
      <c r="AH102" s="47">
        <f t="shared" si="12"/>
        <v>0</v>
      </c>
      <c r="AI102" s="48">
        <f t="shared" si="13"/>
        <v>0</v>
      </c>
    </row>
    <row r="103" spans="1:37" x14ac:dyDescent="0.25">
      <c r="A103" s="84" t="s">
        <v>104</v>
      </c>
      <c r="B103" s="76">
        <f t="shared" ref="B103" si="27">IF(B85&lt;0,B85*-1,0)</f>
        <v>0</v>
      </c>
      <c r="C103" s="76">
        <f t="shared" ref="C103:AF103" si="28">IF(C85&lt;0,C85*-1,0)</f>
        <v>0</v>
      </c>
      <c r="D103" s="76">
        <f t="shared" si="28"/>
        <v>0</v>
      </c>
      <c r="E103" s="76">
        <f t="shared" si="28"/>
        <v>0</v>
      </c>
      <c r="F103" s="76">
        <f t="shared" si="28"/>
        <v>0</v>
      </c>
      <c r="G103" s="76">
        <f t="shared" si="28"/>
        <v>0</v>
      </c>
      <c r="H103" s="76">
        <f t="shared" si="28"/>
        <v>0</v>
      </c>
      <c r="I103" s="76">
        <f t="shared" si="28"/>
        <v>0</v>
      </c>
      <c r="J103" s="76">
        <f t="shared" si="28"/>
        <v>0</v>
      </c>
      <c r="K103" s="76">
        <f t="shared" si="28"/>
        <v>0</v>
      </c>
      <c r="L103" s="76">
        <f t="shared" si="28"/>
        <v>0</v>
      </c>
      <c r="M103" s="76">
        <f t="shared" si="28"/>
        <v>0</v>
      </c>
      <c r="N103" s="76">
        <f t="shared" si="28"/>
        <v>0</v>
      </c>
      <c r="O103" s="76">
        <f t="shared" si="28"/>
        <v>0</v>
      </c>
      <c r="P103" s="76">
        <f t="shared" si="28"/>
        <v>0</v>
      </c>
      <c r="Q103" s="76">
        <f t="shared" si="28"/>
        <v>0</v>
      </c>
      <c r="R103" s="76">
        <f t="shared" si="28"/>
        <v>0</v>
      </c>
      <c r="S103" s="76">
        <f t="shared" si="28"/>
        <v>0</v>
      </c>
      <c r="T103" s="76">
        <f t="shared" si="28"/>
        <v>0</v>
      </c>
      <c r="U103" s="76">
        <f t="shared" si="28"/>
        <v>0</v>
      </c>
      <c r="V103" s="76">
        <f t="shared" si="28"/>
        <v>0</v>
      </c>
      <c r="W103" s="76">
        <f t="shared" si="28"/>
        <v>0</v>
      </c>
      <c r="X103" s="76">
        <f t="shared" si="28"/>
        <v>0</v>
      </c>
      <c r="Y103" s="76">
        <f t="shared" si="28"/>
        <v>0</v>
      </c>
      <c r="Z103" s="76">
        <f t="shared" si="28"/>
        <v>0</v>
      </c>
      <c r="AA103" s="76">
        <f t="shared" si="28"/>
        <v>0</v>
      </c>
      <c r="AB103" s="76">
        <f t="shared" si="28"/>
        <v>0</v>
      </c>
      <c r="AC103" s="76">
        <f t="shared" si="28"/>
        <v>0</v>
      </c>
      <c r="AD103" s="76">
        <f t="shared" si="28"/>
        <v>0</v>
      </c>
      <c r="AE103" s="76">
        <f t="shared" si="28"/>
        <v>0</v>
      </c>
      <c r="AF103" s="76">
        <f t="shared" si="28"/>
        <v>0</v>
      </c>
      <c r="AG103" s="98"/>
      <c r="AH103" s="47">
        <f t="shared" si="12"/>
        <v>0</v>
      </c>
      <c r="AI103" s="48">
        <f t="shared" si="13"/>
        <v>0</v>
      </c>
    </row>
    <row r="104" spans="1:37" x14ac:dyDescent="0.25">
      <c r="A104" s="84" t="s">
        <v>105</v>
      </c>
      <c r="B104" s="76">
        <f t="shared" ref="B104" si="29">IF(B83&lt;0,B83*-1,0)</f>
        <v>0</v>
      </c>
      <c r="C104" s="76">
        <f t="shared" ref="C104:AF104" si="30">IF(C83&lt;0,C83*-1,0)</f>
        <v>0</v>
      </c>
      <c r="D104" s="76">
        <f t="shared" si="30"/>
        <v>0</v>
      </c>
      <c r="E104" s="76">
        <f t="shared" si="30"/>
        <v>0</v>
      </c>
      <c r="F104" s="76">
        <f t="shared" si="30"/>
        <v>0</v>
      </c>
      <c r="G104" s="76">
        <f t="shared" si="30"/>
        <v>0</v>
      </c>
      <c r="H104" s="76">
        <f t="shared" si="30"/>
        <v>0</v>
      </c>
      <c r="I104" s="76">
        <f t="shared" si="30"/>
        <v>0</v>
      </c>
      <c r="J104" s="76">
        <f t="shared" si="30"/>
        <v>0</v>
      </c>
      <c r="K104" s="76">
        <f t="shared" si="30"/>
        <v>0</v>
      </c>
      <c r="L104" s="76">
        <f t="shared" si="30"/>
        <v>0</v>
      </c>
      <c r="M104" s="76">
        <f t="shared" si="30"/>
        <v>0</v>
      </c>
      <c r="N104" s="76">
        <f t="shared" si="30"/>
        <v>0</v>
      </c>
      <c r="O104" s="76">
        <f t="shared" si="30"/>
        <v>0</v>
      </c>
      <c r="P104" s="76">
        <f t="shared" si="30"/>
        <v>0</v>
      </c>
      <c r="Q104" s="76">
        <f t="shared" si="30"/>
        <v>0</v>
      </c>
      <c r="R104" s="76">
        <f t="shared" si="30"/>
        <v>0</v>
      </c>
      <c r="S104" s="76">
        <f t="shared" si="30"/>
        <v>0</v>
      </c>
      <c r="T104" s="76">
        <f t="shared" si="30"/>
        <v>0</v>
      </c>
      <c r="U104" s="76">
        <f t="shared" si="30"/>
        <v>0</v>
      </c>
      <c r="V104" s="76">
        <f t="shared" si="30"/>
        <v>0</v>
      </c>
      <c r="W104" s="76">
        <f t="shared" si="30"/>
        <v>0</v>
      </c>
      <c r="X104" s="76">
        <f t="shared" si="30"/>
        <v>0</v>
      </c>
      <c r="Y104" s="76">
        <f t="shared" si="30"/>
        <v>0</v>
      </c>
      <c r="Z104" s="76">
        <f t="shared" si="30"/>
        <v>0</v>
      </c>
      <c r="AA104" s="76">
        <f t="shared" si="30"/>
        <v>0</v>
      </c>
      <c r="AB104" s="76">
        <f t="shared" si="30"/>
        <v>0</v>
      </c>
      <c r="AC104" s="76">
        <f t="shared" si="30"/>
        <v>0</v>
      </c>
      <c r="AD104" s="76">
        <f t="shared" si="30"/>
        <v>0</v>
      </c>
      <c r="AE104" s="76">
        <f t="shared" si="30"/>
        <v>0</v>
      </c>
      <c r="AF104" s="76">
        <f t="shared" si="30"/>
        <v>0</v>
      </c>
      <c r="AG104" s="98"/>
      <c r="AH104" s="47">
        <f t="shared" si="12"/>
        <v>0</v>
      </c>
      <c r="AI104" s="48">
        <f t="shared" si="13"/>
        <v>0</v>
      </c>
    </row>
    <row r="105" spans="1:37" x14ac:dyDescent="0.25">
      <c r="A105" s="84" t="s">
        <v>81</v>
      </c>
      <c r="B105" s="76">
        <f t="shared" ref="B105" si="31">IF(B81&lt;0,B81*-1,0)</f>
        <v>0</v>
      </c>
      <c r="C105" s="76">
        <f t="shared" ref="C105:AF105" si="32">IF(C81&lt;0,C81*-1,0)</f>
        <v>0</v>
      </c>
      <c r="D105" s="76">
        <f t="shared" si="32"/>
        <v>0</v>
      </c>
      <c r="E105" s="76">
        <f t="shared" si="32"/>
        <v>0</v>
      </c>
      <c r="F105" s="76">
        <f t="shared" si="32"/>
        <v>0</v>
      </c>
      <c r="G105" s="76">
        <f t="shared" si="32"/>
        <v>0</v>
      </c>
      <c r="H105" s="76">
        <f t="shared" si="32"/>
        <v>0</v>
      </c>
      <c r="I105" s="76">
        <f t="shared" si="32"/>
        <v>0</v>
      </c>
      <c r="J105" s="76">
        <f t="shared" si="32"/>
        <v>0</v>
      </c>
      <c r="K105" s="76">
        <f t="shared" si="32"/>
        <v>0</v>
      </c>
      <c r="L105" s="76">
        <f t="shared" si="32"/>
        <v>0</v>
      </c>
      <c r="M105" s="76">
        <f t="shared" si="32"/>
        <v>0</v>
      </c>
      <c r="N105" s="76">
        <f t="shared" si="32"/>
        <v>0</v>
      </c>
      <c r="O105" s="76">
        <f t="shared" si="32"/>
        <v>0</v>
      </c>
      <c r="P105" s="76">
        <f t="shared" si="32"/>
        <v>0</v>
      </c>
      <c r="Q105" s="76">
        <f t="shared" si="32"/>
        <v>0</v>
      </c>
      <c r="R105" s="76">
        <f t="shared" si="32"/>
        <v>0</v>
      </c>
      <c r="S105" s="76">
        <f t="shared" si="32"/>
        <v>0</v>
      </c>
      <c r="T105" s="76">
        <f t="shared" si="32"/>
        <v>0</v>
      </c>
      <c r="U105" s="76">
        <f t="shared" si="32"/>
        <v>0</v>
      </c>
      <c r="V105" s="76">
        <f t="shared" si="32"/>
        <v>0</v>
      </c>
      <c r="W105" s="76">
        <f t="shared" si="32"/>
        <v>0</v>
      </c>
      <c r="X105" s="76">
        <f t="shared" si="32"/>
        <v>0</v>
      </c>
      <c r="Y105" s="76">
        <f t="shared" si="32"/>
        <v>0</v>
      </c>
      <c r="Z105" s="76">
        <f t="shared" si="32"/>
        <v>0</v>
      </c>
      <c r="AA105" s="76">
        <f t="shared" si="32"/>
        <v>0</v>
      </c>
      <c r="AB105" s="76">
        <f t="shared" si="32"/>
        <v>0</v>
      </c>
      <c r="AC105" s="76">
        <f t="shared" si="32"/>
        <v>0</v>
      </c>
      <c r="AD105" s="76">
        <f t="shared" si="32"/>
        <v>0</v>
      </c>
      <c r="AE105" s="76">
        <f t="shared" si="32"/>
        <v>0</v>
      </c>
      <c r="AF105" s="76">
        <f t="shared" si="32"/>
        <v>0</v>
      </c>
      <c r="AG105" s="98"/>
      <c r="AH105" s="47">
        <f t="shared" si="12"/>
        <v>0</v>
      </c>
      <c r="AI105" s="48">
        <f t="shared" si="13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12"/>
        <v>0</v>
      </c>
      <c r="AI106" s="48">
        <f t="shared" si="13"/>
        <v>0</v>
      </c>
    </row>
    <row r="107" spans="1:37" ht="15.75" thickBot="1" x14ac:dyDescent="0.3">
      <c r="A107" s="99" t="s">
        <v>107</v>
      </c>
      <c r="B107" s="60">
        <f t="shared" ref="B107" si="33">SUM(B101:B106)</f>
        <v>0</v>
      </c>
      <c r="C107" s="60">
        <f t="shared" ref="C107:AF107" si="34">SUM(C101:C106)</f>
        <v>0</v>
      </c>
      <c r="D107" s="60">
        <f t="shared" si="34"/>
        <v>0</v>
      </c>
      <c r="E107" s="60">
        <f t="shared" si="34"/>
        <v>0</v>
      </c>
      <c r="F107" s="60">
        <f t="shared" si="34"/>
        <v>0</v>
      </c>
      <c r="G107" s="60">
        <f t="shared" si="34"/>
        <v>0</v>
      </c>
      <c r="H107" s="60">
        <f t="shared" si="34"/>
        <v>0</v>
      </c>
      <c r="I107" s="60">
        <f t="shared" si="34"/>
        <v>0</v>
      </c>
      <c r="J107" s="60">
        <f t="shared" si="34"/>
        <v>0</v>
      </c>
      <c r="K107" s="60">
        <f t="shared" si="34"/>
        <v>0</v>
      </c>
      <c r="L107" s="60">
        <f t="shared" si="34"/>
        <v>0</v>
      </c>
      <c r="M107" s="60">
        <f t="shared" si="34"/>
        <v>0</v>
      </c>
      <c r="N107" s="60">
        <f t="shared" si="34"/>
        <v>0</v>
      </c>
      <c r="O107" s="60">
        <f t="shared" si="34"/>
        <v>0</v>
      </c>
      <c r="P107" s="60">
        <f t="shared" si="34"/>
        <v>0</v>
      </c>
      <c r="Q107" s="60">
        <f t="shared" si="34"/>
        <v>0</v>
      </c>
      <c r="R107" s="60">
        <f t="shared" si="34"/>
        <v>0</v>
      </c>
      <c r="S107" s="60">
        <f t="shared" si="34"/>
        <v>0</v>
      </c>
      <c r="T107" s="60">
        <f t="shared" si="34"/>
        <v>0</v>
      </c>
      <c r="U107" s="60">
        <f t="shared" si="34"/>
        <v>0</v>
      </c>
      <c r="V107" s="60">
        <f t="shared" si="34"/>
        <v>0</v>
      </c>
      <c r="W107" s="60">
        <f t="shared" si="34"/>
        <v>0</v>
      </c>
      <c r="X107" s="60">
        <f t="shared" si="34"/>
        <v>0</v>
      </c>
      <c r="Y107" s="60">
        <f t="shared" si="34"/>
        <v>0</v>
      </c>
      <c r="Z107" s="60">
        <f t="shared" si="34"/>
        <v>0</v>
      </c>
      <c r="AA107" s="60">
        <f t="shared" si="34"/>
        <v>0</v>
      </c>
      <c r="AB107" s="60">
        <f t="shared" si="34"/>
        <v>0</v>
      </c>
      <c r="AC107" s="60">
        <f t="shared" si="34"/>
        <v>0</v>
      </c>
      <c r="AD107" s="60">
        <f t="shared" si="34"/>
        <v>0</v>
      </c>
      <c r="AE107" s="60">
        <f t="shared" si="34"/>
        <v>0</v>
      </c>
      <c r="AF107" s="60">
        <f t="shared" si="34"/>
        <v>0</v>
      </c>
      <c r="AG107" s="88"/>
      <c r="AH107" s="47">
        <f t="shared" si="12"/>
        <v>0</v>
      </c>
      <c r="AI107" s="48">
        <f t="shared" si="13"/>
        <v>0</v>
      </c>
      <c r="AK107" s="50"/>
    </row>
    <row r="108" spans="1:37" ht="15.75" thickBot="1" x14ac:dyDescent="0.3">
      <c r="A108" s="74" t="s">
        <v>108</v>
      </c>
      <c r="B108" s="60">
        <f t="shared" ref="B108" si="35">B92-B107</f>
        <v>248.1</v>
      </c>
      <c r="C108" s="60">
        <f t="shared" ref="C108:AF108" si="36">C92-C107</f>
        <v>236</v>
      </c>
      <c r="D108" s="60">
        <f t="shared" si="36"/>
        <v>214</v>
      </c>
      <c r="E108" s="60">
        <f t="shared" si="36"/>
        <v>168.4</v>
      </c>
      <c r="F108" s="60">
        <f t="shared" si="36"/>
        <v>185</v>
      </c>
      <c r="G108" s="60">
        <f t="shared" si="36"/>
        <v>232.1</v>
      </c>
      <c r="H108" s="60">
        <f t="shared" si="36"/>
        <v>272.5</v>
      </c>
      <c r="I108" s="60">
        <f t="shared" si="36"/>
        <v>318</v>
      </c>
      <c r="J108" s="60">
        <f t="shared" si="36"/>
        <v>385.2</v>
      </c>
      <c r="K108" s="60">
        <f t="shared" si="36"/>
        <v>386.40000000000003</v>
      </c>
      <c r="L108" s="60">
        <f t="shared" si="36"/>
        <v>131.9</v>
      </c>
      <c r="M108" s="60">
        <f t="shared" si="36"/>
        <v>344.6</v>
      </c>
      <c r="N108" s="60">
        <f t="shared" si="36"/>
        <v>102</v>
      </c>
      <c r="O108" s="60">
        <f t="shared" si="36"/>
        <v>83.4</v>
      </c>
      <c r="P108" s="60">
        <f t="shared" si="36"/>
        <v>204.7</v>
      </c>
      <c r="Q108" s="60">
        <f t="shared" si="36"/>
        <v>371</v>
      </c>
      <c r="R108" s="60">
        <f t="shared" si="36"/>
        <v>372</v>
      </c>
      <c r="S108" s="60">
        <f t="shared" si="36"/>
        <v>421</v>
      </c>
      <c r="T108" s="60">
        <f t="shared" si="36"/>
        <v>413.5</v>
      </c>
      <c r="U108" s="60">
        <f t="shared" si="36"/>
        <v>385.4</v>
      </c>
      <c r="V108" s="60">
        <f t="shared" si="36"/>
        <v>169.9</v>
      </c>
      <c r="W108" s="60">
        <f t="shared" si="36"/>
        <v>187.3</v>
      </c>
      <c r="X108" s="60">
        <f t="shared" si="36"/>
        <v>142.60000000000002</v>
      </c>
      <c r="Y108" s="60">
        <f t="shared" si="36"/>
        <v>121.1</v>
      </c>
      <c r="Z108" s="60">
        <f t="shared" si="36"/>
        <v>152.80000000000001</v>
      </c>
      <c r="AA108" s="60">
        <f t="shared" si="36"/>
        <v>176</v>
      </c>
      <c r="AB108" s="60">
        <f t="shared" si="36"/>
        <v>208</v>
      </c>
      <c r="AC108" s="60">
        <f t="shared" si="36"/>
        <v>196.5</v>
      </c>
      <c r="AD108" s="60">
        <f t="shared" si="36"/>
        <v>261.2</v>
      </c>
      <c r="AE108" s="60">
        <f t="shared" si="36"/>
        <v>191.1</v>
      </c>
      <c r="AF108" s="60">
        <f t="shared" si="36"/>
        <v>207.1</v>
      </c>
      <c r="AG108" s="88"/>
      <c r="AH108" s="47">
        <f t="shared" si="12"/>
        <v>421</v>
      </c>
      <c r="AI108" s="48">
        <f t="shared" si="13"/>
        <v>83.4</v>
      </c>
    </row>
    <row r="109" spans="1:37" x14ac:dyDescent="0.25">
      <c r="A109" s="100" t="s">
        <v>109</v>
      </c>
      <c r="B109" s="101">
        <v>49.97</v>
      </c>
      <c r="C109" s="101">
        <v>50</v>
      </c>
      <c r="D109" s="101">
        <v>50.026000000000003</v>
      </c>
      <c r="E109" s="101">
        <v>50.061</v>
      </c>
      <c r="F109" s="101">
        <v>50.021000000000001</v>
      </c>
      <c r="G109" s="101">
        <v>49.972000000000001</v>
      </c>
      <c r="H109" s="101">
        <v>49.965000000000003</v>
      </c>
      <c r="I109" s="101">
        <v>50.057000000000002</v>
      </c>
      <c r="J109" s="101">
        <v>50.015000000000001</v>
      </c>
      <c r="K109" s="101">
        <v>49.996000000000002</v>
      </c>
      <c r="L109" s="101">
        <v>49.988999999999997</v>
      </c>
      <c r="M109" s="101">
        <v>50.021000000000001</v>
      </c>
      <c r="N109" s="101">
        <v>50.006</v>
      </c>
      <c r="O109" s="101">
        <v>50.029000000000003</v>
      </c>
      <c r="P109" s="101">
        <v>50.002000000000002</v>
      </c>
      <c r="Q109" s="101">
        <v>49.896999999999998</v>
      </c>
      <c r="R109" s="101">
        <v>49.808</v>
      </c>
      <c r="S109" s="101">
        <v>50.003999999999998</v>
      </c>
      <c r="T109" s="101">
        <v>50.048000000000002</v>
      </c>
      <c r="U109" s="101">
        <v>49.999000000000002</v>
      </c>
      <c r="V109" s="101">
        <v>50.034999999999997</v>
      </c>
      <c r="W109" s="101">
        <v>49.847000000000001</v>
      </c>
      <c r="X109" s="101">
        <v>50.088999999999999</v>
      </c>
      <c r="Y109" s="101">
        <v>49.968000000000004</v>
      </c>
      <c r="Z109" s="101">
        <v>50.027000000000001</v>
      </c>
      <c r="AA109" s="101">
        <v>50.082000000000001</v>
      </c>
      <c r="AB109" s="101">
        <v>50.107999999999997</v>
      </c>
      <c r="AC109" s="101">
        <v>50.033000000000001</v>
      </c>
      <c r="AD109" s="101">
        <v>50.07</v>
      </c>
      <c r="AE109" s="101">
        <v>50.026000000000003</v>
      </c>
      <c r="AF109" s="101">
        <v>49.76</v>
      </c>
      <c r="AG109" s="102"/>
      <c r="AH109" s="47">
        <f t="shared" si="12"/>
        <v>50.107999999999997</v>
      </c>
      <c r="AI109" s="48">
        <f t="shared" si="13"/>
        <v>49.76</v>
      </c>
    </row>
    <row r="110" spans="1:37" x14ac:dyDescent="0.25">
      <c r="A110" s="103" t="s">
        <v>110</v>
      </c>
      <c r="B110" s="65">
        <v>132.1</v>
      </c>
      <c r="C110" s="65">
        <v>132.4</v>
      </c>
      <c r="D110" s="65">
        <v>133.1</v>
      </c>
      <c r="E110" s="65">
        <v>133.69999999999999</v>
      </c>
      <c r="F110" s="65">
        <v>133.1</v>
      </c>
      <c r="G110" s="65">
        <v>132.80000000000001</v>
      </c>
      <c r="H110" s="65">
        <v>131.5</v>
      </c>
      <c r="I110" s="65">
        <v>130.4</v>
      </c>
      <c r="J110" s="65">
        <v>128.80000000000001</v>
      </c>
      <c r="K110" s="65">
        <v>126.3</v>
      </c>
      <c r="L110" s="65">
        <v>127</v>
      </c>
      <c r="M110" s="65">
        <v>125.9</v>
      </c>
      <c r="N110" s="65">
        <v>124.7</v>
      </c>
      <c r="O110" s="65">
        <v>125.3</v>
      </c>
      <c r="P110" s="65">
        <v>128.1</v>
      </c>
      <c r="Q110" s="65">
        <v>128.19999999999999</v>
      </c>
      <c r="R110" s="65">
        <v>127.8</v>
      </c>
      <c r="S110" s="65">
        <v>127.1</v>
      </c>
      <c r="T110" s="65">
        <v>126.8</v>
      </c>
      <c r="U110" s="65">
        <v>126.1</v>
      </c>
      <c r="V110" s="65">
        <v>127</v>
      </c>
      <c r="W110" s="65">
        <v>128.19999999999999</v>
      </c>
      <c r="X110" s="65">
        <v>125.5</v>
      </c>
      <c r="Y110" s="65">
        <v>125.9</v>
      </c>
      <c r="Z110" s="65">
        <v>126.6</v>
      </c>
      <c r="AA110" s="65">
        <v>126.5</v>
      </c>
      <c r="AB110" s="65">
        <v>127.3</v>
      </c>
      <c r="AC110" s="65">
        <v>127.1</v>
      </c>
      <c r="AD110" s="65">
        <v>128.6</v>
      </c>
      <c r="AE110" s="65">
        <v>131.69999999999999</v>
      </c>
      <c r="AF110" s="65">
        <v>132.1</v>
      </c>
      <c r="AG110" s="104"/>
      <c r="AH110" s="47">
        <f t="shared" si="12"/>
        <v>133.69999999999999</v>
      </c>
      <c r="AI110" s="48">
        <f t="shared" si="13"/>
        <v>124.7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12"/>
        <v>0</v>
      </c>
      <c r="AI111" s="48">
        <f t="shared" si="13"/>
        <v>0</v>
      </c>
    </row>
    <row r="112" spans="1:37" x14ac:dyDescent="0.25">
      <c r="A112" s="103" t="s">
        <v>112</v>
      </c>
      <c r="B112" s="65">
        <v>131.69999999999999</v>
      </c>
      <c r="C112" s="65">
        <v>132</v>
      </c>
      <c r="D112" s="65">
        <v>132.30000000000001</v>
      </c>
      <c r="E112" s="65">
        <v>131.80000000000001</v>
      </c>
      <c r="F112" s="65">
        <v>132.4</v>
      </c>
      <c r="G112" s="65">
        <v>130.5</v>
      </c>
      <c r="H112" s="65">
        <v>127.6</v>
      </c>
      <c r="I112" s="65">
        <v>132</v>
      </c>
      <c r="J112" s="65">
        <v>127</v>
      </c>
      <c r="K112" s="65">
        <v>127.8</v>
      </c>
      <c r="L112" s="65">
        <v>126.5</v>
      </c>
      <c r="M112" s="65">
        <v>131.30000000000001</v>
      </c>
      <c r="N112" s="65">
        <v>127.35</v>
      </c>
      <c r="O112" s="65">
        <v>131.69999999999999</v>
      </c>
      <c r="P112" s="65">
        <v>129.80000000000001</v>
      </c>
      <c r="Q112" s="65">
        <v>131.1</v>
      </c>
      <c r="R112" s="65">
        <v>129.69999999999999</v>
      </c>
      <c r="S112" s="65">
        <v>130.1</v>
      </c>
      <c r="T112" s="65">
        <v>129.5</v>
      </c>
      <c r="U112" s="65">
        <v>128.69999999999999</v>
      </c>
      <c r="V112" s="65">
        <v>129.80000000000001</v>
      </c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12"/>
        <v>132.4</v>
      </c>
      <c r="AI112" s="48">
        <f t="shared" si="13"/>
        <v>126.5</v>
      </c>
    </row>
    <row r="113" spans="1:35" x14ac:dyDescent="0.25">
      <c r="A113" s="105" t="s">
        <v>113</v>
      </c>
      <c r="B113" s="65">
        <v>134.1</v>
      </c>
      <c r="C113" s="65">
        <v>133.4</v>
      </c>
      <c r="D113" s="65">
        <v>133</v>
      </c>
      <c r="E113" s="65">
        <v>132.5</v>
      </c>
      <c r="F113" s="65">
        <v>132.80000000000001</v>
      </c>
      <c r="G113" s="65">
        <v>131.30000000000001</v>
      </c>
      <c r="H113" s="65">
        <v>128.69999999999999</v>
      </c>
      <c r="I113" s="65">
        <v>133.1</v>
      </c>
      <c r="J113" s="65">
        <v>128.1</v>
      </c>
      <c r="K113" s="65">
        <v>128.69999999999999</v>
      </c>
      <c r="L113" s="65">
        <v>128.30000000000001</v>
      </c>
      <c r="M113" s="65">
        <v>134.30000000000001</v>
      </c>
      <c r="N113" s="65">
        <v>130.30000000000001</v>
      </c>
      <c r="O113" s="65">
        <v>133.5</v>
      </c>
      <c r="P113" s="65">
        <v>133.6</v>
      </c>
      <c r="Q113" s="65">
        <v>132.80000000000001</v>
      </c>
      <c r="R113" s="65">
        <v>131.9</v>
      </c>
      <c r="S113" s="65">
        <v>131.9</v>
      </c>
      <c r="T113" s="65">
        <v>131.1</v>
      </c>
      <c r="U113" s="65">
        <v>131.9</v>
      </c>
      <c r="V113" s="65">
        <v>133</v>
      </c>
      <c r="W113" s="65">
        <v>128.4</v>
      </c>
      <c r="X113" s="65">
        <v>131.30000000000001</v>
      </c>
      <c r="Y113" s="65">
        <v>131.69999999999999</v>
      </c>
      <c r="Z113" s="65">
        <v>131.9</v>
      </c>
      <c r="AA113" s="65">
        <v>132.6</v>
      </c>
      <c r="AB113" s="65">
        <v>133.69999999999999</v>
      </c>
      <c r="AC113" s="65">
        <v>131.9</v>
      </c>
      <c r="AD113" s="65">
        <v>132.30000000000001</v>
      </c>
      <c r="AE113" s="65">
        <v>133.5</v>
      </c>
      <c r="AF113" s="65">
        <v>132.1</v>
      </c>
      <c r="AG113" s="104"/>
      <c r="AH113" s="47">
        <f t="shared" si="12"/>
        <v>134.30000000000001</v>
      </c>
      <c r="AI113" s="48">
        <f t="shared" si="13"/>
        <v>128.1</v>
      </c>
    </row>
    <row r="114" spans="1:35" x14ac:dyDescent="0.25">
      <c r="A114" s="105" t="s">
        <v>114</v>
      </c>
      <c r="B114" s="106">
        <v>135.9</v>
      </c>
      <c r="C114" s="106">
        <v>136</v>
      </c>
      <c r="D114" s="106">
        <v>136</v>
      </c>
      <c r="E114" s="106">
        <v>138</v>
      </c>
      <c r="F114" s="106">
        <v>136.30000000000001</v>
      </c>
      <c r="G114" s="106">
        <v>137.69999999999999</v>
      </c>
      <c r="H114" s="106">
        <v>136.80000000000001</v>
      </c>
      <c r="I114" s="106">
        <v>135.1</v>
      </c>
      <c r="J114" s="106">
        <v>132.9</v>
      </c>
      <c r="K114" s="106">
        <v>131.6</v>
      </c>
      <c r="L114" s="106">
        <v>132.9</v>
      </c>
      <c r="M114" s="106">
        <v>133.1</v>
      </c>
      <c r="N114" s="106">
        <v>132.9</v>
      </c>
      <c r="O114" s="106">
        <v>131.4</v>
      </c>
      <c r="P114" s="106">
        <v>134.80000000000001</v>
      </c>
      <c r="Q114" s="106">
        <v>133.80000000000001</v>
      </c>
      <c r="R114" s="106">
        <v>132.9</v>
      </c>
      <c r="S114" s="106">
        <v>133.4</v>
      </c>
      <c r="T114" s="106">
        <v>131.69999999999999</v>
      </c>
      <c r="U114" s="106">
        <v>131.19999999999999</v>
      </c>
      <c r="V114" s="106">
        <v>133</v>
      </c>
      <c r="W114" s="106">
        <v>135.6</v>
      </c>
      <c r="X114" s="106">
        <v>133</v>
      </c>
      <c r="Y114" s="106">
        <v>133.5</v>
      </c>
      <c r="Z114" s="106">
        <v>134.1</v>
      </c>
      <c r="AA114" s="106">
        <v>134.19999999999999</v>
      </c>
      <c r="AB114" s="106">
        <v>135.30000000000001</v>
      </c>
      <c r="AC114" s="106">
        <v>133.4</v>
      </c>
      <c r="AD114" s="106">
        <v>136</v>
      </c>
      <c r="AE114" s="106">
        <v>137.5</v>
      </c>
      <c r="AF114" s="106">
        <v>136.69999999999999</v>
      </c>
      <c r="AG114" s="107"/>
      <c r="AH114" s="47">
        <f t="shared" si="12"/>
        <v>138</v>
      </c>
      <c r="AI114" s="48">
        <f t="shared" si="13"/>
        <v>131.19999999999999</v>
      </c>
    </row>
    <row r="115" spans="1:35" x14ac:dyDescent="0.25">
      <c r="A115" s="103" t="s">
        <v>115</v>
      </c>
      <c r="B115" s="65">
        <v>136.5</v>
      </c>
      <c r="C115" s="65">
        <v>134.5</v>
      </c>
      <c r="D115" s="65">
        <v>134.19999999999999</v>
      </c>
      <c r="E115" s="65">
        <v>135</v>
      </c>
      <c r="F115" s="65">
        <v>131.30000000000001</v>
      </c>
      <c r="G115" s="65">
        <v>125.3</v>
      </c>
      <c r="H115" s="65">
        <v>132.4</v>
      </c>
      <c r="I115" s="65">
        <v>129.4</v>
      </c>
      <c r="J115" s="65">
        <v>125.2</v>
      </c>
      <c r="K115" s="65">
        <v>133.19999999999999</v>
      </c>
      <c r="L115" s="65">
        <v>130.5</v>
      </c>
      <c r="M115" s="65">
        <v>132.19999999999999</v>
      </c>
      <c r="N115" s="65">
        <v>136.69999999999999</v>
      </c>
      <c r="O115" s="65">
        <v>132.30000000000001</v>
      </c>
      <c r="P115" s="65">
        <v>131.80000000000001</v>
      </c>
      <c r="Q115" s="65">
        <v>133.6</v>
      </c>
      <c r="R115" s="65"/>
      <c r="S115" s="65">
        <v>137</v>
      </c>
      <c r="T115" s="65">
        <v>132</v>
      </c>
      <c r="U115" s="65">
        <v>129.1</v>
      </c>
      <c r="V115" s="65">
        <v>129.80000000000001</v>
      </c>
      <c r="W115" s="65">
        <v>126.3</v>
      </c>
      <c r="X115" s="65">
        <v>129.30000000000001</v>
      </c>
      <c r="Y115" s="65">
        <v>129.30000000000001</v>
      </c>
      <c r="Z115" s="65">
        <v>129</v>
      </c>
      <c r="AA115" s="65">
        <v>132.19999999999999</v>
      </c>
      <c r="AB115" s="65">
        <v>128.30000000000001</v>
      </c>
      <c r="AC115" s="65">
        <v>130.5</v>
      </c>
      <c r="AD115" s="65">
        <v>133.30000000000001</v>
      </c>
      <c r="AE115" s="65">
        <v>133.69999999999999</v>
      </c>
      <c r="AF115" s="65">
        <v>134.4</v>
      </c>
      <c r="AG115" s="104"/>
      <c r="AH115" s="47">
        <f t="shared" si="12"/>
        <v>137</v>
      </c>
      <c r="AI115" s="48">
        <f t="shared" si="13"/>
        <v>125.2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12"/>
        <v>0</v>
      </c>
      <c r="AI116" s="48">
        <f t="shared" si="13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2"/>
        <v>0</v>
      </c>
      <c r="AI117" s="48">
        <f t="shared" si="13"/>
        <v>0</v>
      </c>
    </row>
    <row r="118" spans="1:35" ht="15.75" thickBot="1" x14ac:dyDescent="0.3">
      <c r="A118" s="110" t="s">
        <v>118</v>
      </c>
      <c r="B118" s="111">
        <f t="shared" ref="B118" si="37">SUM(B22,B28,B31:B32,B66,B68:B69,B71,B73,B119:B123,B153,B159,B165,B174,B176,B188,B195,B198:B199,B206,B208,B210,B214:B216,B218:B220,B225,B231:B232,B234:B236,B244,B249)</f>
        <v>125.53999999999999</v>
      </c>
      <c r="C118" s="111">
        <f t="shared" ref="C118:Q118" si="38">SUM(C22,C28,C31:C32,C66,C68:C69,C71,C73,C119:C123,C153,C159,C165,C174,C176,C188,C195,C198:C199,C206,C208,C210,C214:C216,C218:C220,C225,C231:C232,C234:C236,C244,C249)</f>
        <v>101.44000000000001</v>
      </c>
      <c r="D118" s="111">
        <f t="shared" si="38"/>
        <v>95.839999999999989</v>
      </c>
      <c r="E118" s="111">
        <f t="shared" si="38"/>
        <v>89.999999999999986</v>
      </c>
      <c r="F118" s="111">
        <f t="shared" si="38"/>
        <v>104.53999999999999</v>
      </c>
      <c r="G118" s="111">
        <f t="shared" si="38"/>
        <v>114.38</v>
      </c>
      <c r="H118" s="111">
        <f t="shared" si="38"/>
        <v>144.34</v>
      </c>
      <c r="I118" s="111">
        <f t="shared" si="38"/>
        <v>167.14</v>
      </c>
      <c r="J118" s="111">
        <f t="shared" si="38"/>
        <v>194.33999999999997</v>
      </c>
      <c r="K118" s="111">
        <f t="shared" si="38"/>
        <v>241.41999999999996</v>
      </c>
      <c r="L118" s="111">
        <f t="shared" si="38"/>
        <v>265.59999999999997</v>
      </c>
      <c r="M118" s="111">
        <f t="shared" si="38"/>
        <v>237.64</v>
      </c>
      <c r="N118" s="111">
        <f t="shared" si="38"/>
        <v>247.04000000000002</v>
      </c>
      <c r="O118" s="111">
        <f t="shared" si="38"/>
        <v>226.54</v>
      </c>
      <c r="P118" s="111">
        <f t="shared" si="38"/>
        <v>206.94</v>
      </c>
      <c r="Q118" s="111">
        <f t="shared" si="38"/>
        <v>191.44</v>
      </c>
      <c r="R118" s="111">
        <f t="shared" ref="R118:AF118" si="39">SUM(R22,R28,R31:R32,R66,R68:R69,R71,R73,R119:R123,R153,R159,R165,R174,R176,R188,R195,R198:R199,R206,R208,R210,R214:R216,R218:R220,R225,R231:R232,R234:R236,R244,R249)</f>
        <v>115.94</v>
      </c>
      <c r="S118" s="111">
        <f t="shared" si="39"/>
        <v>209.30599999999998</v>
      </c>
      <c r="T118" s="111">
        <f t="shared" si="39"/>
        <v>208.70999999999998</v>
      </c>
      <c r="U118" s="111">
        <f t="shared" si="39"/>
        <v>215.92</v>
      </c>
      <c r="V118" s="111">
        <f t="shared" si="39"/>
        <v>211.44</v>
      </c>
      <c r="W118" s="111">
        <f t="shared" si="39"/>
        <v>220.54</v>
      </c>
      <c r="X118" s="111">
        <f t="shared" si="39"/>
        <v>318.26599999999996</v>
      </c>
      <c r="Y118" s="111">
        <f t="shared" si="39"/>
        <v>326.90500000000003</v>
      </c>
      <c r="Z118" s="111">
        <f t="shared" si="39"/>
        <v>320.78100000000001</v>
      </c>
      <c r="AA118" s="111">
        <f t="shared" si="39"/>
        <v>317.012</v>
      </c>
      <c r="AB118" s="111">
        <f t="shared" si="39"/>
        <v>284.44</v>
      </c>
      <c r="AC118" s="111">
        <f t="shared" si="39"/>
        <v>270.02</v>
      </c>
      <c r="AD118" s="111"/>
      <c r="AE118" s="111">
        <f t="shared" si="39"/>
        <v>167.92</v>
      </c>
      <c r="AF118" s="111">
        <f t="shared" si="39"/>
        <v>129.33999999999997</v>
      </c>
      <c r="AG118" s="112"/>
      <c r="AH118" s="47">
        <f t="shared" si="12"/>
        <v>326.90500000000003</v>
      </c>
      <c r="AI118" s="48">
        <f t="shared" si="13"/>
        <v>89.999999999999986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12"/>
        <v>0</v>
      </c>
      <c r="AI119" s="48">
        <f t="shared" si="13"/>
        <v>0</v>
      </c>
    </row>
    <row r="120" spans="1:35" x14ac:dyDescent="0.25">
      <c r="A120" s="182" t="s">
        <v>120</v>
      </c>
      <c r="B120" s="115">
        <v>9</v>
      </c>
      <c r="C120" s="115">
        <v>-1.1000000000000001</v>
      </c>
      <c r="D120" s="115">
        <v>-2.2999999999999998</v>
      </c>
      <c r="E120" s="115">
        <v>3.3</v>
      </c>
      <c r="F120" s="115">
        <v>-1.4</v>
      </c>
      <c r="G120" s="115">
        <v>9</v>
      </c>
      <c r="H120" s="115">
        <v>7.2</v>
      </c>
      <c r="I120" s="115">
        <v>5.4</v>
      </c>
      <c r="J120" s="115">
        <v>10.5</v>
      </c>
      <c r="K120" s="115">
        <v>13</v>
      </c>
      <c r="L120" s="115">
        <v>29</v>
      </c>
      <c r="M120" s="115">
        <v>44.1</v>
      </c>
      <c r="N120" s="115">
        <v>45</v>
      </c>
      <c r="O120" s="115">
        <v>71</v>
      </c>
      <c r="P120" s="115">
        <v>52.3</v>
      </c>
      <c r="Q120" s="115">
        <v>26.1</v>
      </c>
      <c r="R120" s="115">
        <v>5.4</v>
      </c>
      <c r="S120" s="115">
        <v>0.8</v>
      </c>
      <c r="T120" s="115">
        <v>0</v>
      </c>
      <c r="U120" s="115">
        <v>12.7</v>
      </c>
      <c r="V120" s="115">
        <v>53.3</v>
      </c>
      <c r="W120" s="115">
        <v>73.2</v>
      </c>
      <c r="X120" s="115">
        <v>55.4</v>
      </c>
      <c r="Y120" s="115">
        <v>53.7</v>
      </c>
      <c r="Z120" s="115">
        <v>63.1</v>
      </c>
      <c r="AA120" s="115">
        <v>58.1</v>
      </c>
      <c r="AB120" s="115">
        <v>67.400000000000006</v>
      </c>
      <c r="AC120" s="115">
        <v>64.099999999999994</v>
      </c>
      <c r="AD120" s="115">
        <v>62.9</v>
      </c>
      <c r="AE120" s="115">
        <v>50.5</v>
      </c>
      <c r="AF120" s="115">
        <v>9</v>
      </c>
      <c r="AG120" s="114">
        <v>240</v>
      </c>
      <c r="AH120" s="47">
        <f t="shared" si="12"/>
        <v>73.2</v>
      </c>
      <c r="AI120" s="48">
        <f t="shared" si="13"/>
        <v>-2.2999999999999998</v>
      </c>
    </row>
    <row r="121" spans="1:35" x14ac:dyDescent="0.25">
      <c r="A121" s="182" t="s">
        <v>121</v>
      </c>
      <c r="B121" s="115">
        <v>-39.799999999999997</v>
      </c>
      <c r="C121" s="115">
        <v>-41.5</v>
      </c>
      <c r="D121" s="115">
        <v>-51.2</v>
      </c>
      <c r="E121" s="115">
        <v>-52</v>
      </c>
      <c r="F121" s="115">
        <v>-47</v>
      </c>
      <c r="G121" s="115">
        <v>-45</v>
      </c>
      <c r="H121" s="115">
        <v>-35</v>
      </c>
      <c r="I121" s="115">
        <v>-28</v>
      </c>
      <c r="J121" s="115">
        <v>-18</v>
      </c>
      <c r="K121" s="115">
        <v>-5</v>
      </c>
      <c r="L121" s="115">
        <v>0.7</v>
      </c>
      <c r="M121" s="115">
        <v>9</v>
      </c>
      <c r="N121" s="115">
        <v>2</v>
      </c>
      <c r="O121" s="115">
        <v>-31</v>
      </c>
      <c r="P121" s="115">
        <v>-29</v>
      </c>
      <c r="Q121" s="115">
        <v>-19</v>
      </c>
      <c r="R121" s="115">
        <v>-78.900000000000006</v>
      </c>
      <c r="S121" s="115">
        <v>-16</v>
      </c>
      <c r="T121" s="115">
        <v>-14.4</v>
      </c>
      <c r="U121" s="115">
        <v>-18.5</v>
      </c>
      <c r="V121" s="115">
        <v>-37.6</v>
      </c>
      <c r="W121" s="115">
        <v>-28</v>
      </c>
      <c r="X121" s="115">
        <v>4</v>
      </c>
      <c r="Y121" s="115">
        <v>11.5</v>
      </c>
      <c r="Z121" s="115">
        <v>8</v>
      </c>
      <c r="AA121" s="115">
        <v>10.4</v>
      </c>
      <c r="AB121" s="115">
        <f>-1.2-1.9</f>
        <v>-3.0999999999999996</v>
      </c>
      <c r="AC121" s="115">
        <v>-11.6</v>
      </c>
      <c r="AD121" s="115">
        <v>-21</v>
      </c>
      <c r="AE121" s="115">
        <v>-40</v>
      </c>
      <c r="AF121" s="115">
        <v>-43</v>
      </c>
      <c r="AG121" s="114">
        <v>240</v>
      </c>
      <c r="AH121" s="47">
        <f t="shared" si="12"/>
        <v>11.5</v>
      </c>
      <c r="AI121" s="48">
        <f t="shared" si="13"/>
        <v>-78.900000000000006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12"/>
        <v>0</v>
      </c>
      <c r="AI122" s="48">
        <f t="shared" si="13"/>
        <v>0</v>
      </c>
    </row>
    <row r="123" spans="1:35" x14ac:dyDescent="0.25">
      <c r="A123" s="181" t="s">
        <v>267</v>
      </c>
      <c r="B123" s="117">
        <v>38</v>
      </c>
      <c r="C123" s="117">
        <v>27</v>
      </c>
      <c r="D123" s="117">
        <v>30</v>
      </c>
      <c r="E123" s="117">
        <f>12.1*1.6</f>
        <v>19.36</v>
      </c>
      <c r="F123" s="117">
        <f>21*1.6</f>
        <v>33.6</v>
      </c>
      <c r="G123" s="117">
        <f>19.4*1.6</f>
        <v>31.04</v>
      </c>
      <c r="H123" s="117">
        <f>33*1.6</f>
        <v>52.800000000000004</v>
      </c>
      <c r="I123" s="117">
        <f>44*1.6</f>
        <v>70.400000000000006</v>
      </c>
      <c r="J123" s="117">
        <f>50*1.65</f>
        <v>82.5</v>
      </c>
      <c r="K123" s="117">
        <f>71.3*1.6</f>
        <v>114.08</v>
      </c>
      <c r="L123" s="117">
        <f>72.6*1.6</f>
        <v>116.16</v>
      </c>
      <c r="M123" s="117">
        <v>62.2</v>
      </c>
      <c r="N123" s="117">
        <v>76</v>
      </c>
      <c r="O123" s="117">
        <v>61</v>
      </c>
      <c r="P123" s="117">
        <v>53.8</v>
      </c>
      <c r="Q123" s="117">
        <v>54.5</v>
      </c>
      <c r="R123" s="117">
        <v>59.6</v>
      </c>
      <c r="S123" s="117">
        <f>59.8*1.67</f>
        <v>99.865999999999985</v>
      </c>
      <c r="T123" s="117">
        <f>61*1.67</f>
        <v>101.86999999999999</v>
      </c>
      <c r="U123" s="117">
        <f>64*1.67</f>
        <v>106.88</v>
      </c>
      <c r="V123" s="117">
        <v>85</v>
      </c>
      <c r="W123" s="117">
        <v>65</v>
      </c>
      <c r="X123" s="117">
        <f>87.8*1.67</f>
        <v>146.62599999999998</v>
      </c>
      <c r="Y123" s="117">
        <f>89.5*1.67</f>
        <v>149.465</v>
      </c>
      <c r="Z123" s="117">
        <f>82.3*1.67</f>
        <v>137.441</v>
      </c>
      <c r="AA123" s="117">
        <f>81.6*1.67</f>
        <v>136.27199999999999</v>
      </c>
      <c r="AB123" s="117">
        <f>71.4*1.5</f>
        <v>107.10000000000001</v>
      </c>
      <c r="AC123" s="117">
        <f>65.3*1.6</f>
        <v>104.48</v>
      </c>
      <c r="AD123" s="117">
        <f>52.3*1.6</f>
        <v>83.68</v>
      </c>
      <c r="AE123" s="117">
        <f>26.3*1.6</f>
        <v>42.080000000000005</v>
      </c>
      <c r="AF123" s="117">
        <f>30*1.6</f>
        <v>48</v>
      </c>
      <c r="AG123" s="118">
        <v>120</v>
      </c>
      <c r="AH123" s="47">
        <f t="shared" si="12"/>
        <v>149.465</v>
      </c>
      <c r="AI123" s="48">
        <f t="shared" si="13"/>
        <v>19.36</v>
      </c>
    </row>
    <row r="124" spans="1:35" x14ac:dyDescent="0.25">
      <c r="A124" s="182" t="s">
        <v>266</v>
      </c>
      <c r="B124" s="117">
        <v>53.2</v>
      </c>
      <c r="C124" s="117">
        <v>49.2</v>
      </c>
      <c r="D124" s="117">
        <v>47.8</v>
      </c>
      <c r="E124" s="117">
        <v>41.3</v>
      </c>
      <c r="F124" s="117">
        <v>47</v>
      </c>
      <c r="G124" s="117">
        <v>47.3</v>
      </c>
      <c r="H124" s="117">
        <v>58</v>
      </c>
      <c r="I124" s="117">
        <v>66</v>
      </c>
      <c r="J124" s="117">
        <v>72</v>
      </c>
      <c r="K124" s="117">
        <v>89</v>
      </c>
      <c r="L124" s="117">
        <v>90</v>
      </c>
      <c r="M124" s="117">
        <v>80.400000000000006</v>
      </c>
      <c r="N124" s="117">
        <v>92.3</v>
      </c>
      <c r="O124" s="117">
        <v>80</v>
      </c>
      <c r="P124" s="117">
        <v>74.3</v>
      </c>
      <c r="Q124" s="117">
        <v>75</v>
      </c>
      <c r="R124" s="117">
        <v>79.5</v>
      </c>
      <c r="S124" s="117">
        <v>79.2</v>
      </c>
      <c r="T124" s="117">
        <v>81.7</v>
      </c>
      <c r="U124" s="117">
        <v>83.3</v>
      </c>
      <c r="V124" s="117">
        <v>76.099999999999994</v>
      </c>
      <c r="W124" s="117">
        <v>63.5</v>
      </c>
      <c r="X124" s="117">
        <v>102.1</v>
      </c>
      <c r="Y124" s="117">
        <v>103.4</v>
      </c>
      <c r="Z124" s="117">
        <v>98</v>
      </c>
      <c r="AA124" s="117">
        <v>97</v>
      </c>
      <c r="AB124" s="117">
        <v>90</v>
      </c>
      <c r="AC124" s="117">
        <v>84</v>
      </c>
      <c r="AD124" s="117">
        <v>72.8</v>
      </c>
      <c r="AE124" s="117">
        <v>53</v>
      </c>
      <c r="AF124" s="117">
        <v>57</v>
      </c>
      <c r="AG124" s="118"/>
      <c r="AH124" s="47"/>
      <c r="AI124" s="48"/>
    </row>
    <row r="125" spans="1:35" x14ac:dyDescent="0.25">
      <c r="A125" s="182" t="s">
        <v>263</v>
      </c>
      <c r="B125" s="117">
        <v>15</v>
      </c>
      <c r="C125" s="117">
        <v>21</v>
      </c>
      <c r="D125" s="117">
        <v>27.7</v>
      </c>
      <c r="E125" s="117">
        <v>22.9</v>
      </c>
      <c r="F125" s="117">
        <v>28.3</v>
      </c>
      <c r="G125" s="117">
        <v>14.3</v>
      </c>
      <c r="H125" s="117">
        <v>17.100000000000001</v>
      </c>
      <c r="I125" s="117">
        <v>21</v>
      </c>
      <c r="J125" s="117">
        <v>11.2</v>
      </c>
      <c r="K125" s="117">
        <v>8.4</v>
      </c>
      <c r="L125" s="117">
        <v>-10.1</v>
      </c>
      <c r="M125" s="117">
        <v>-40</v>
      </c>
      <c r="N125" s="117">
        <v>-22</v>
      </c>
      <c r="O125" s="117">
        <v>-34</v>
      </c>
      <c r="P125" s="117">
        <v>-22.3</v>
      </c>
      <c r="Q125" s="117">
        <v>0.1</v>
      </c>
      <c r="R125" s="117">
        <v>-27</v>
      </c>
      <c r="S125" s="117">
        <v>-28.4</v>
      </c>
      <c r="T125" s="117">
        <v>20</v>
      </c>
      <c r="U125" s="117">
        <v>24.7</v>
      </c>
      <c r="V125" s="117">
        <v>-13.4</v>
      </c>
      <c r="W125" s="117">
        <v>-64.2</v>
      </c>
      <c r="X125" s="117">
        <v>-36.700000000000003</v>
      </c>
      <c r="Y125" s="117">
        <v>-35</v>
      </c>
      <c r="Z125" s="117">
        <v>-40.6</v>
      </c>
      <c r="AA125" s="117">
        <v>-38.200000000000003</v>
      </c>
      <c r="AB125" s="117">
        <v>-41.4</v>
      </c>
      <c r="AC125" s="117">
        <v>-35</v>
      </c>
      <c r="AD125" s="117">
        <v>-35.700000000000003</v>
      </c>
      <c r="AE125" s="117">
        <v>-27</v>
      </c>
      <c r="AF125" s="117">
        <v>19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45</v>
      </c>
      <c r="C126" s="117">
        <v>43</v>
      </c>
      <c r="D126" s="117">
        <v>40.1</v>
      </c>
      <c r="E126" s="117">
        <v>35.1</v>
      </c>
      <c r="F126" s="117">
        <v>44</v>
      </c>
      <c r="G126" s="117">
        <v>40</v>
      </c>
      <c r="H126" s="117">
        <v>56</v>
      </c>
      <c r="I126" s="117">
        <v>64</v>
      </c>
      <c r="J126" s="117">
        <v>70</v>
      </c>
      <c r="K126" s="117">
        <v>91</v>
      </c>
      <c r="L126" s="117">
        <v>75</v>
      </c>
      <c r="M126" s="117">
        <v>68</v>
      </c>
      <c r="N126" s="117">
        <v>92.6</v>
      </c>
      <c r="O126" s="117">
        <v>59</v>
      </c>
      <c r="P126" s="117">
        <v>59.4</v>
      </c>
      <c r="Q126" s="117">
        <v>72</v>
      </c>
      <c r="R126" s="117">
        <v>75</v>
      </c>
      <c r="S126" s="117">
        <v>80.099999999999994</v>
      </c>
      <c r="T126" s="117">
        <v>79.7</v>
      </c>
      <c r="U126" s="117">
        <v>83</v>
      </c>
      <c r="V126" s="117">
        <v>64</v>
      </c>
      <c r="W126" s="117">
        <v>40.200000000000003</v>
      </c>
      <c r="X126" s="117">
        <v>78.2</v>
      </c>
      <c r="Y126" s="117">
        <v>79.8</v>
      </c>
      <c r="Z126" s="117">
        <v>75.400000000000006</v>
      </c>
      <c r="AA126" s="117">
        <v>78.099999999999994</v>
      </c>
      <c r="AB126" s="117">
        <v>71.8</v>
      </c>
      <c r="AC126" s="117">
        <v>71.400000000000006</v>
      </c>
      <c r="AD126" s="117">
        <v>64</v>
      </c>
      <c r="AE126" s="117">
        <v>41</v>
      </c>
      <c r="AF126" s="117">
        <v>51</v>
      </c>
      <c r="AG126" s="114"/>
      <c r="AH126" s="47">
        <f t="shared" si="12"/>
        <v>92.6</v>
      </c>
      <c r="AI126" s="48">
        <f t="shared" si="13"/>
        <v>35.1</v>
      </c>
    </row>
    <row r="127" spans="1:35" x14ac:dyDescent="0.25">
      <c r="A127" s="181" t="s">
        <v>264</v>
      </c>
      <c r="B127" s="117">
        <v>23</v>
      </c>
      <c r="C127" s="117">
        <v>19.2</v>
      </c>
      <c r="D127" s="117">
        <v>20.9</v>
      </c>
      <c r="E127" s="117">
        <v>13</v>
      </c>
      <c r="F127" s="117">
        <v>22.1</v>
      </c>
      <c r="G127" s="117">
        <v>-2.2000000000000002</v>
      </c>
      <c r="H127" s="117">
        <v>16</v>
      </c>
      <c r="I127" s="117">
        <v>21</v>
      </c>
      <c r="J127" s="117">
        <v>27</v>
      </c>
      <c r="K127" s="117">
        <v>24</v>
      </c>
      <c r="L127" s="117">
        <v>18</v>
      </c>
      <c r="M127" s="117">
        <v>2.1</v>
      </c>
      <c r="N127" s="117">
        <v>-1.2</v>
      </c>
      <c r="O127" s="117">
        <v>-24</v>
      </c>
      <c r="P127" s="117">
        <v>-18.8</v>
      </c>
      <c r="Q127" s="117">
        <v>-1.8</v>
      </c>
      <c r="R127" s="117">
        <v>12</v>
      </c>
      <c r="S127" s="117">
        <v>7.8</v>
      </c>
      <c r="T127" s="117">
        <v>7.2</v>
      </c>
      <c r="U127" s="117">
        <v>5.9</v>
      </c>
      <c r="V127" s="117">
        <v>-15.4</v>
      </c>
      <c r="W127" s="117">
        <v>-27.8</v>
      </c>
      <c r="X127" s="117">
        <v>-12.1</v>
      </c>
      <c r="Y127" s="117">
        <v>-7.5</v>
      </c>
      <c r="Z127" s="117">
        <v>-12.9</v>
      </c>
      <c r="AA127" s="117">
        <v>-12</v>
      </c>
      <c r="AB127" s="117">
        <v>-17</v>
      </c>
      <c r="AC127" s="117">
        <v>-13.5</v>
      </c>
      <c r="AD127" s="117">
        <v>-12</v>
      </c>
      <c r="AE127" s="117">
        <v>-6.1</v>
      </c>
      <c r="AF127" s="106">
        <v>10</v>
      </c>
      <c r="AG127" s="114"/>
      <c r="AH127" s="47">
        <f t="shared" si="12"/>
        <v>27</v>
      </c>
      <c r="AI127" s="48">
        <f t="shared" si="13"/>
        <v>-27.8</v>
      </c>
    </row>
    <row r="128" spans="1:35" x14ac:dyDescent="0.25">
      <c r="A128" s="182" t="s">
        <v>126</v>
      </c>
      <c r="B128" s="106">
        <v>1</v>
      </c>
      <c r="C128" s="106">
        <v>2.4</v>
      </c>
      <c r="D128" s="106">
        <v>3.8</v>
      </c>
      <c r="E128" s="106">
        <v>3.8</v>
      </c>
      <c r="F128" s="106">
        <v>2.1</v>
      </c>
      <c r="G128" s="106">
        <v>0.6</v>
      </c>
      <c r="H128" s="106">
        <v>-6</v>
      </c>
      <c r="I128" s="106">
        <v>-10.1</v>
      </c>
      <c r="J128" s="106">
        <v>-17</v>
      </c>
      <c r="K128" s="106">
        <v>-24</v>
      </c>
      <c r="L128" s="106">
        <v>-27</v>
      </c>
      <c r="M128" s="106">
        <v>-11</v>
      </c>
      <c r="N128" s="106">
        <v>-5.6</v>
      </c>
      <c r="O128" s="106">
        <v>1.1000000000000001</v>
      </c>
      <c r="P128" s="106">
        <v>0</v>
      </c>
      <c r="Q128" s="106">
        <v>-1.3</v>
      </c>
      <c r="R128" s="106">
        <v>3.2</v>
      </c>
      <c r="S128" s="106">
        <v>-1.3</v>
      </c>
      <c r="T128" s="106">
        <v>-1.8</v>
      </c>
      <c r="U128" s="106">
        <v>-9.9</v>
      </c>
      <c r="V128" s="106">
        <v>-16</v>
      </c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 t="shared" si="12"/>
        <v>3.8</v>
      </c>
      <c r="AI128" s="48">
        <f t="shared" si="13"/>
        <v>-27</v>
      </c>
    </row>
    <row r="129" spans="1:37" x14ac:dyDescent="0.25">
      <c r="A129" s="182" t="s">
        <v>268</v>
      </c>
      <c r="B129" s="106">
        <v>28</v>
      </c>
      <c r="C129" s="106">
        <v>32</v>
      </c>
      <c r="D129" s="106">
        <v>28.9</v>
      </c>
      <c r="E129" s="106">
        <v>39.200000000000003</v>
      </c>
      <c r="F129" s="106">
        <v>30</v>
      </c>
      <c r="G129" s="106">
        <v>37.1</v>
      </c>
      <c r="H129" s="106">
        <v>25</v>
      </c>
      <c r="I129" s="106">
        <v>16.100000000000001</v>
      </c>
      <c r="J129" s="106">
        <v>15.3</v>
      </c>
      <c r="K129" s="106">
        <v>0.8</v>
      </c>
      <c r="L129" s="106">
        <v>-2</v>
      </c>
      <c r="M129" s="106">
        <v>1.6</v>
      </c>
      <c r="N129" s="106">
        <v>6.2</v>
      </c>
      <c r="O129" s="106">
        <v>23.8</v>
      </c>
      <c r="P129" s="106">
        <v>20.3</v>
      </c>
      <c r="Q129" s="106">
        <v>9.6999999999999993</v>
      </c>
      <c r="R129" s="106">
        <v>0</v>
      </c>
      <c r="S129" s="106">
        <v>0</v>
      </c>
      <c r="T129" s="106">
        <v>0</v>
      </c>
      <c r="U129" s="106">
        <v>1.5</v>
      </c>
      <c r="V129" s="106">
        <v>23.9</v>
      </c>
      <c r="W129" s="106">
        <v>35.200000000000003</v>
      </c>
      <c r="X129" s="106">
        <v>-7.8</v>
      </c>
      <c r="Y129" s="106">
        <v>-13.4</v>
      </c>
      <c r="Z129" s="106">
        <v>-3.4</v>
      </c>
      <c r="AA129" s="106">
        <v>-2.9</v>
      </c>
      <c r="AB129" s="106">
        <v>8.6</v>
      </c>
      <c r="AC129" s="106">
        <v>12.3</v>
      </c>
      <c r="AD129" s="106">
        <v>18</v>
      </c>
      <c r="AE129" s="106">
        <v>27</v>
      </c>
      <c r="AF129" s="106">
        <v>21</v>
      </c>
      <c r="AG129" s="114"/>
      <c r="AH129" s="47">
        <f t="shared" si="12"/>
        <v>39.200000000000003</v>
      </c>
      <c r="AI129" s="48">
        <f t="shared" si="13"/>
        <v>-13.4</v>
      </c>
    </row>
    <row r="130" spans="1:37" ht="15.75" thickBot="1" x14ac:dyDescent="0.3">
      <c r="A130" s="182" t="s">
        <v>265</v>
      </c>
      <c r="B130" s="106">
        <v>69.7</v>
      </c>
      <c r="C130" s="106">
        <v>70.099999999999994</v>
      </c>
      <c r="D130" s="106">
        <v>69.8</v>
      </c>
      <c r="E130" s="106">
        <v>70</v>
      </c>
      <c r="F130" s="106">
        <v>65</v>
      </c>
      <c r="G130" s="106">
        <v>77</v>
      </c>
      <c r="H130" s="106">
        <v>82</v>
      </c>
      <c r="I130" s="106">
        <v>84</v>
      </c>
      <c r="J130" s="106">
        <v>92</v>
      </c>
      <c r="K130" s="106">
        <v>94.3</v>
      </c>
      <c r="L130" s="106">
        <v>100</v>
      </c>
      <c r="M130" s="106">
        <v>89.8</v>
      </c>
      <c r="N130" s="106">
        <v>86.7</v>
      </c>
      <c r="O130" s="106">
        <v>83.4</v>
      </c>
      <c r="P130" s="106">
        <v>81</v>
      </c>
      <c r="Q130" s="106">
        <v>76</v>
      </c>
      <c r="R130" s="106">
        <v>67</v>
      </c>
      <c r="S130" s="106">
        <v>74</v>
      </c>
      <c r="T130" s="106">
        <v>71.400000000000006</v>
      </c>
      <c r="U130" s="106">
        <v>69.8</v>
      </c>
      <c r="V130" s="106">
        <v>81.400000000000006</v>
      </c>
      <c r="W130" s="106">
        <v>100</v>
      </c>
      <c r="X130" s="106">
        <v>104.2</v>
      </c>
      <c r="Y130" s="106">
        <v>99.4</v>
      </c>
      <c r="Z130" s="106">
        <v>101.9</v>
      </c>
      <c r="AA130" s="106">
        <v>100.5</v>
      </c>
      <c r="AB130" s="106">
        <v>99.3</v>
      </c>
      <c r="AC130" s="106">
        <v>87</v>
      </c>
      <c r="AD130" s="106">
        <v>85.4</v>
      </c>
      <c r="AE130" s="106">
        <v>74</v>
      </c>
      <c r="AF130" s="106">
        <v>64.3</v>
      </c>
      <c r="AG130" s="114"/>
      <c r="AH130" s="47">
        <f t="shared" si="12"/>
        <v>104.2</v>
      </c>
      <c r="AI130" s="48">
        <f t="shared" si="13"/>
        <v>64.3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243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244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245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ht="15.75" thickBot="1" x14ac:dyDescent="0.3">
      <c r="A135" s="199" t="s">
        <v>246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9"/>
      <c r="AG135" s="153"/>
      <c r="AH135" s="47"/>
      <c r="AI135" s="48"/>
    </row>
    <row r="136" spans="1:37" ht="15.75" thickBot="1" x14ac:dyDescent="0.3">
      <c r="A136" s="122" t="s">
        <v>129</v>
      </c>
      <c r="B136" s="123"/>
      <c r="C136" s="123"/>
      <c r="D136" s="123"/>
      <c r="E136" s="123"/>
      <c r="F136" s="176" t="s">
        <v>258</v>
      </c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83"/>
      <c r="AH136" s="47"/>
      <c r="AI136" s="48"/>
      <c r="AK136" s="50"/>
    </row>
    <row r="137" spans="1:37" x14ac:dyDescent="0.25">
      <c r="A137" s="125" t="s">
        <v>130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>
        <v>9.94</v>
      </c>
      <c r="AH137" s="47"/>
      <c r="AI137" s="48"/>
      <c r="AK137" s="50"/>
    </row>
    <row r="138" spans="1:37" x14ac:dyDescent="0.25">
      <c r="A138" s="103" t="s">
        <v>131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132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133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134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135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136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137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138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139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140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141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142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143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144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145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146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1">
        <v>9.9</v>
      </c>
      <c r="AH153" s="47"/>
      <c r="AI153" s="48"/>
      <c r="AK153" s="50"/>
    </row>
    <row r="154" spans="1:37" x14ac:dyDescent="0.25">
      <c r="A154" s="116" t="s">
        <v>147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9.6579999999999995</v>
      </c>
      <c r="AH154" s="47"/>
      <c r="AI154" s="48"/>
      <c r="AK154" s="50"/>
    </row>
    <row r="155" spans="1:37" x14ac:dyDescent="0.25">
      <c r="A155" s="116" t="s">
        <v>148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9.6</v>
      </c>
      <c r="AH155" s="47"/>
      <c r="AI155" s="48"/>
      <c r="AK155" s="50"/>
    </row>
    <row r="156" spans="1:37" x14ac:dyDescent="0.25">
      <c r="A156" s="116" t="s">
        <v>149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9.51</v>
      </c>
      <c r="AH156" s="47"/>
      <c r="AI156" s="48"/>
      <c r="AK156" s="50"/>
    </row>
    <row r="157" spans="1:37" x14ac:dyDescent="0.25">
      <c r="A157" s="116" t="s">
        <v>150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9.4</v>
      </c>
      <c r="AH157" s="47"/>
      <c r="AI157" s="48"/>
      <c r="AK157" s="50"/>
    </row>
    <row r="158" spans="1:37" x14ac:dyDescent="0.25">
      <c r="A158" s="116" t="s">
        <v>151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8.8000000000000007</v>
      </c>
      <c r="AH158" s="47"/>
      <c r="AI158" s="48"/>
      <c r="AK158" s="50"/>
    </row>
    <row r="159" spans="1:37" x14ac:dyDescent="0.25">
      <c r="A159" s="116" t="s">
        <v>152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8.5</v>
      </c>
      <c r="AH159" s="47"/>
      <c r="AI159" s="48"/>
      <c r="AK159" s="50"/>
    </row>
    <row r="160" spans="1:37" x14ac:dyDescent="0.25">
      <c r="A160" s="116" t="s">
        <v>153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8.5</v>
      </c>
      <c r="AH160" s="47"/>
      <c r="AI160" s="48"/>
      <c r="AK160" s="50"/>
    </row>
    <row r="161" spans="1:37" x14ac:dyDescent="0.25">
      <c r="A161" s="116" t="s">
        <v>154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8.4</v>
      </c>
      <c r="AH161" s="47"/>
      <c r="AI161" s="48"/>
      <c r="AK161" s="50"/>
    </row>
    <row r="162" spans="1:37" ht="13.5" customHeight="1" x14ac:dyDescent="0.25">
      <c r="A162" s="116" t="s">
        <v>155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</v>
      </c>
      <c r="AH162" s="47"/>
      <c r="AI162" s="48"/>
      <c r="AK162" s="50"/>
    </row>
    <row r="163" spans="1:37" x14ac:dyDescent="0.25">
      <c r="A163" s="116" t="s">
        <v>156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</v>
      </c>
      <c r="AH163" s="47"/>
      <c r="AI163" s="48"/>
      <c r="AK163" s="50"/>
    </row>
    <row r="164" spans="1:37" x14ac:dyDescent="0.25">
      <c r="A164" s="116" t="s">
        <v>157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158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7.8</v>
      </c>
      <c r="AH165" s="47"/>
      <c r="AI165" s="48"/>
      <c r="AK165" s="50"/>
    </row>
    <row r="166" spans="1:37" x14ac:dyDescent="0.25">
      <c r="A166" s="116" t="s">
        <v>159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7.6</v>
      </c>
      <c r="AH166" s="47"/>
      <c r="AI166" s="48"/>
      <c r="AK166" s="50"/>
    </row>
    <row r="167" spans="1:37" x14ac:dyDescent="0.25">
      <c r="A167" s="116" t="s">
        <v>160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7.5</v>
      </c>
      <c r="AH167" s="47"/>
      <c r="AI167" s="48"/>
      <c r="AK167" s="50"/>
    </row>
    <row r="168" spans="1:37" x14ac:dyDescent="0.25">
      <c r="A168" s="116" t="s">
        <v>161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7.5</v>
      </c>
      <c r="AH168" s="47"/>
      <c r="AI168" s="48"/>
      <c r="AK168" s="50"/>
    </row>
    <row r="169" spans="1:37" x14ac:dyDescent="0.25">
      <c r="A169" s="116" t="s">
        <v>162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</v>
      </c>
      <c r="AH169" s="47"/>
      <c r="AI169" s="48"/>
      <c r="AK169" s="50"/>
    </row>
    <row r="170" spans="1:37" x14ac:dyDescent="0.25">
      <c r="A170" s="116" t="s">
        <v>163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</v>
      </c>
      <c r="AH170" s="47"/>
      <c r="AI170" s="48"/>
      <c r="AK170" s="50"/>
    </row>
    <row r="171" spans="1:37" x14ac:dyDescent="0.25">
      <c r="A171" s="116" t="s">
        <v>164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165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166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6.6</v>
      </c>
      <c r="AH173" s="47"/>
      <c r="AI173" s="48"/>
      <c r="AK173" s="50"/>
    </row>
    <row r="174" spans="1:37" x14ac:dyDescent="0.25">
      <c r="A174" s="116" t="s">
        <v>167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6.6</v>
      </c>
      <c r="AH174" s="47"/>
      <c r="AI174" s="48"/>
      <c r="AK174" s="50"/>
    </row>
    <row r="175" spans="1:37" x14ac:dyDescent="0.25">
      <c r="A175" s="116" t="s">
        <v>168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6.4</v>
      </c>
      <c r="AH175" s="47"/>
      <c r="AI175" s="48"/>
      <c r="AK175" s="50"/>
    </row>
    <row r="176" spans="1:37" x14ac:dyDescent="0.25">
      <c r="A176" s="116" t="s">
        <v>169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</v>
      </c>
      <c r="AH176" s="47"/>
      <c r="AI176" s="48"/>
      <c r="AK176" s="50"/>
    </row>
    <row r="177" spans="1:37" x14ac:dyDescent="0.25">
      <c r="A177" s="116" t="s">
        <v>170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5.0999999999999996</v>
      </c>
      <c r="AH177" s="47"/>
      <c r="AI177" s="48"/>
      <c r="AK177" s="50"/>
    </row>
    <row r="178" spans="1:37" x14ac:dyDescent="0.25">
      <c r="A178" s="116" t="s">
        <v>171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03" t="s">
        <v>172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1">
        <v>5</v>
      </c>
      <c r="AH179" s="47"/>
      <c r="AI179" s="48"/>
      <c r="AK179" s="50"/>
    </row>
    <row r="180" spans="1:37" x14ac:dyDescent="0.25">
      <c r="A180" s="116" t="s">
        <v>173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16" t="s">
        <v>174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5</v>
      </c>
      <c r="AH181" s="47"/>
      <c r="AI181" s="48"/>
      <c r="AK181" s="50"/>
    </row>
    <row r="182" spans="1:37" x14ac:dyDescent="0.25">
      <c r="A182" s="116" t="s">
        <v>175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176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177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178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4.9930000000000003</v>
      </c>
      <c r="AH185" s="47"/>
      <c r="AI185" s="48"/>
      <c r="AK185" s="50"/>
    </row>
    <row r="186" spans="1:37" x14ac:dyDescent="0.25">
      <c r="A186" s="116" t="s">
        <v>179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4.9800000000000004</v>
      </c>
      <c r="AH186" s="47"/>
      <c r="AI186" s="48"/>
      <c r="AK186" s="50"/>
    </row>
    <row r="187" spans="1:37" x14ac:dyDescent="0.25">
      <c r="A187" s="116" t="s">
        <v>180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4.95</v>
      </c>
      <c r="AH187" s="47"/>
      <c r="AI187" s="48"/>
      <c r="AK187" s="50"/>
    </row>
    <row r="188" spans="1:37" x14ac:dyDescent="0.25">
      <c r="A188" s="116" t="s">
        <v>181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4.95</v>
      </c>
      <c r="AH188" s="47"/>
      <c r="AI188" s="48"/>
      <c r="AK188" s="50"/>
    </row>
    <row r="189" spans="1:37" x14ac:dyDescent="0.25">
      <c r="A189" s="116" t="s">
        <v>182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4.8</v>
      </c>
      <c r="AH189" s="47"/>
      <c r="AI189" s="48"/>
      <c r="AK189" s="50"/>
    </row>
    <row r="190" spans="1:37" x14ac:dyDescent="0.25">
      <c r="A190" s="116" t="s">
        <v>183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4.8</v>
      </c>
      <c r="AH190" s="47"/>
      <c r="AI190" s="48"/>
      <c r="AK190" s="50"/>
    </row>
    <row r="191" spans="1:37" x14ac:dyDescent="0.25">
      <c r="A191" s="116" t="s">
        <v>184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185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4.5</v>
      </c>
      <c r="AH192" s="47"/>
      <c r="AI192" s="48"/>
      <c r="AK192" s="50"/>
    </row>
    <row r="193" spans="1:37" x14ac:dyDescent="0.25">
      <c r="A193" s="116" t="s">
        <v>186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4.5</v>
      </c>
      <c r="AH193" s="47"/>
      <c r="AI193" s="48"/>
      <c r="AK193" s="50"/>
    </row>
    <row r="194" spans="1:37" x14ac:dyDescent="0.25">
      <c r="A194" s="116" t="s">
        <v>187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4.4550000000000001</v>
      </c>
      <c r="AH194" s="47"/>
      <c r="AI194" s="48"/>
      <c r="AK194" s="50"/>
    </row>
    <row r="195" spans="1:37" x14ac:dyDescent="0.25">
      <c r="A195" s="116" t="s">
        <v>188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4.41</v>
      </c>
      <c r="AH195" s="47"/>
      <c r="AI195" s="48"/>
      <c r="AK195" s="50"/>
    </row>
    <row r="196" spans="1:37" x14ac:dyDescent="0.25">
      <c r="A196" s="116" t="s">
        <v>189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4.4000000000000004</v>
      </c>
      <c r="AH196" s="47"/>
      <c r="AI196" s="48"/>
      <c r="AK196" s="50"/>
    </row>
    <row r="197" spans="1:37" x14ac:dyDescent="0.25">
      <c r="A197" s="116" t="s">
        <v>190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4.3600000000000003</v>
      </c>
      <c r="AH197" s="47"/>
      <c r="AI197" s="48"/>
      <c r="AK197" s="50"/>
    </row>
    <row r="198" spans="1:37" x14ac:dyDescent="0.25">
      <c r="A198" s="116" t="s">
        <v>191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4.2</v>
      </c>
      <c r="AH198" s="47"/>
      <c r="AI198" s="48"/>
      <c r="AK198" s="50"/>
    </row>
    <row r="199" spans="1:37" x14ac:dyDescent="0.25">
      <c r="A199" s="116" t="s">
        <v>192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193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194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195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196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197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198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199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200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3.75</v>
      </c>
      <c r="AH207" s="47"/>
      <c r="AI207" s="48"/>
      <c r="AK207" s="50"/>
    </row>
    <row r="208" spans="1:37" x14ac:dyDescent="0.25">
      <c r="A208" s="116" t="s">
        <v>201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3.52</v>
      </c>
      <c r="AH208" s="47"/>
      <c r="AI208" s="48"/>
      <c r="AK208" s="50"/>
    </row>
    <row r="209" spans="1:37" x14ac:dyDescent="0.25">
      <c r="A209" s="116" t="s">
        <v>202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3.33</v>
      </c>
      <c r="AH209" s="47"/>
      <c r="AI209" s="48"/>
      <c r="AK209" s="50"/>
    </row>
    <row r="210" spans="1:37" x14ac:dyDescent="0.25">
      <c r="A210" s="116" t="s">
        <v>203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3.2</v>
      </c>
      <c r="AH210" s="47"/>
      <c r="AI210" s="48"/>
      <c r="AK210" s="50"/>
    </row>
    <row r="211" spans="1:37" x14ac:dyDescent="0.25">
      <c r="A211" s="116" t="s">
        <v>204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205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206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207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208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209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210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211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212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2.83</v>
      </c>
      <c r="AH219" s="47"/>
      <c r="AI219" s="48"/>
      <c r="AK219" s="50"/>
    </row>
    <row r="220" spans="1:37" x14ac:dyDescent="0.25">
      <c r="A220" s="116" t="s">
        <v>213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2.5</v>
      </c>
      <c r="AH220" s="47"/>
      <c r="AI220" s="48"/>
      <c r="AK220" s="50"/>
    </row>
    <row r="221" spans="1:37" x14ac:dyDescent="0.25">
      <c r="A221" s="116" t="s">
        <v>214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2.5</v>
      </c>
      <c r="AH221" s="47"/>
      <c r="AI221" s="48"/>
      <c r="AK221" s="50"/>
    </row>
    <row r="222" spans="1:37" x14ac:dyDescent="0.25">
      <c r="A222" s="116" t="s">
        <v>215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2.4</v>
      </c>
      <c r="AH222" s="47"/>
      <c r="AI222" s="48"/>
      <c r="AK222" s="50"/>
    </row>
    <row r="223" spans="1:37" x14ac:dyDescent="0.25">
      <c r="A223" s="116" t="s">
        <v>216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2.4</v>
      </c>
      <c r="AH223" s="47"/>
      <c r="AI223" s="48"/>
      <c r="AK223" s="50"/>
    </row>
    <row r="224" spans="1:37" x14ac:dyDescent="0.25">
      <c r="A224" s="116" t="s">
        <v>217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2.2000000000000002</v>
      </c>
      <c r="AH224" s="47"/>
      <c r="AI224" s="48"/>
      <c r="AK224" s="50"/>
    </row>
    <row r="225" spans="1:37" x14ac:dyDescent="0.25">
      <c r="A225" s="116" t="s">
        <v>218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</v>
      </c>
      <c r="AH225" s="47"/>
      <c r="AI225" s="48"/>
      <c r="AK225" s="50"/>
    </row>
    <row r="226" spans="1:37" x14ac:dyDescent="0.25">
      <c r="A226" s="116" t="s">
        <v>219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</v>
      </c>
      <c r="AH226" s="47"/>
      <c r="AI226" s="48"/>
      <c r="AK226" s="50"/>
    </row>
    <row r="227" spans="1:37" x14ac:dyDescent="0.25">
      <c r="A227" s="116" t="s">
        <v>220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221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1.8</v>
      </c>
      <c r="AH228" s="47"/>
      <c r="AI228" s="48"/>
      <c r="AK228" s="50"/>
    </row>
    <row r="229" spans="1:37" x14ac:dyDescent="0.25">
      <c r="A229" s="116" t="s">
        <v>222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1.8</v>
      </c>
      <c r="AH229" s="47"/>
      <c r="AI229" s="48"/>
      <c r="AK229" s="50"/>
    </row>
    <row r="230" spans="1:37" x14ac:dyDescent="0.25">
      <c r="A230" s="116" t="s">
        <v>223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1.65</v>
      </c>
      <c r="AH230" s="47"/>
      <c r="AI230" s="48"/>
      <c r="AK230" s="50"/>
    </row>
    <row r="231" spans="1:37" x14ac:dyDescent="0.25">
      <c r="A231" s="116" t="s">
        <v>224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1.5</v>
      </c>
      <c r="AH231" s="47"/>
      <c r="AI231" s="48"/>
      <c r="AK231" s="50"/>
    </row>
    <row r="232" spans="1:37" x14ac:dyDescent="0.25">
      <c r="A232" s="116" t="s">
        <v>225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0.998</v>
      </c>
      <c r="AH232" s="47"/>
      <c r="AI232" s="48"/>
      <c r="AK232" s="50"/>
    </row>
    <row r="233" spans="1:37" x14ac:dyDescent="0.25">
      <c r="A233" s="116" t="s">
        <v>226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0.997</v>
      </c>
      <c r="AH233" s="47"/>
      <c r="AI233" s="48"/>
      <c r="AK233" s="50"/>
    </row>
    <row r="234" spans="1:37" x14ac:dyDescent="0.25">
      <c r="A234" s="116" t="s">
        <v>227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0.997</v>
      </c>
      <c r="AH234" s="47"/>
      <c r="AI234" s="48"/>
      <c r="AK234" s="50"/>
    </row>
    <row r="235" spans="1:37" x14ac:dyDescent="0.25">
      <c r="A235" s="116" t="s">
        <v>228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0.996</v>
      </c>
      <c r="AH235" s="47"/>
      <c r="AI235" s="48"/>
      <c r="AK235" s="50"/>
    </row>
    <row r="236" spans="1:37" x14ac:dyDescent="0.25">
      <c r="A236" s="116" t="s">
        <v>229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0.996</v>
      </c>
      <c r="AH236" s="47"/>
      <c r="AI236" s="48"/>
      <c r="AK236" s="50"/>
    </row>
    <row r="237" spans="1:37" x14ac:dyDescent="0.25">
      <c r="A237" s="116" t="s">
        <v>230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231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0.995</v>
      </c>
      <c r="AH238" s="47"/>
      <c r="AI238" s="48"/>
      <c r="AK238" s="50"/>
    </row>
    <row r="239" spans="1:37" x14ac:dyDescent="0.25">
      <c r="A239" s="116" t="s">
        <v>232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0.99299999999999999</v>
      </c>
      <c r="AH239" s="47"/>
      <c r="AI239" s="48"/>
      <c r="AK239" s="50"/>
    </row>
    <row r="240" spans="1:37" x14ac:dyDescent="0.25">
      <c r="A240" s="116" t="s">
        <v>233</v>
      </c>
      <c r="B240" s="129"/>
      <c r="C240" s="127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</v>
      </c>
      <c r="AH240" s="47"/>
      <c r="AI240" s="48"/>
      <c r="AK240" s="50"/>
    </row>
    <row r="241" spans="1:37" ht="15.75" thickBot="1" x14ac:dyDescent="0.3">
      <c r="A241" s="116" t="s">
        <v>234</v>
      </c>
      <c r="B241" s="133"/>
      <c r="C241" s="134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2">
        <v>0.97899999999999998</v>
      </c>
      <c r="AH241" s="47"/>
      <c r="AI241" s="48"/>
      <c r="AK241" s="50"/>
    </row>
    <row r="242" spans="1:37" ht="15.75" thickBot="1" x14ac:dyDescent="0.3">
      <c r="A242" s="135" t="s">
        <v>235</v>
      </c>
      <c r="B242" s="136">
        <f t="shared" ref="B242:AG242" si="40">SUM(B137:B241)</f>
        <v>0</v>
      </c>
      <c r="C242" s="137">
        <f t="shared" si="40"/>
        <v>0</v>
      </c>
      <c r="D242" s="137">
        <f t="shared" si="40"/>
        <v>0</v>
      </c>
      <c r="E242" s="137">
        <f t="shared" si="40"/>
        <v>0</v>
      </c>
      <c r="F242" s="137">
        <f t="shared" si="40"/>
        <v>0</v>
      </c>
      <c r="G242" s="137">
        <f t="shared" si="40"/>
        <v>0</v>
      </c>
      <c r="H242" s="137">
        <f t="shared" si="40"/>
        <v>0</v>
      </c>
      <c r="I242" s="137">
        <f t="shared" si="40"/>
        <v>0</v>
      </c>
      <c r="J242" s="137">
        <f t="shared" si="40"/>
        <v>0</v>
      </c>
      <c r="K242" s="137">
        <f t="shared" si="40"/>
        <v>0</v>
      </c>
      <c r="L242" s="137">
        <f t="shared" si="40"/>
        <v>0</v>
      </c>
      <c r="M242" s="137">
        <f t="shared" si="40"/>
        <v>0</v>
      </c>
      <c r="N242" s="137">
        <f t="shared" si="40"/>
        <v>0</v>
      </c>
      <c r="O242" s="137">
        <f t="shared" si="40"/>
        <v>0</v>
      </c>
      <c r="P242" s="137">
        <f t="shared" si="40"/>
        <v>0</v>
      </c>
      <c r="Q242" s="137">
        <f t="shared" si="40"/>
        <v>0</v>
      </c>
      <c r="R242" s="137">
        <f t="shared" si="40"/>
        <v>0</v>
      </c>
      <c r="S242" s="137">
        <f t="shared" si="40"/>
        <v>0</v>
      </c>
      <c r="T242" s="137">
        <f t="shared" si="40"/>
        <v>0</v>
      </c>
      <c r="U242" s="137">
        <f t="shared" si="40"/>
        <v>0</v>
      </c>
      <c r="V242" s="137">
        <f t="shared" si="40"/>
        <v>0</v>
      </c>
      <c r="W242" s="137">
        <f t="shared" si="40"/>
        <v>0</v>
      </c>
      <c r="X242" s="137">
        <f t="shared" si="40"/>
        <v>0</v>
      </c>
      <c r="Y242" s="137">
        <f t="shared" si="40"/>
        <v>0</v>
      </c>
      <c r="Z242" s="137">
        <f t="shared" si="40"/>
        <v>0</v>
      </c>
      <c r="AA242" s="137">
        <f t="shared" si="40"/>
        <v>0</v>
      </c>
      <c r="AB242" s="137">
        <f t="shared" si="40"/>
        <v>0</v>
      </c>
      <c r="AC242" s="137">
        <f t="shared" si="40"/>
        <v>0</v>
      </c>
      <c r="AD242" s="137">
        <f t="shared" si="40"/>
        <v>0</v>
      </c>
      <c r="AE242" s="137">
        <f t="shared" si="40"/>
        <v>0</v>
      </c>
      <c r="AF242" s="138">
        <f t="shared" si="40"/>
        <v>0</v>
      </c>
      <c r="AG242" s="139">
        <f t="shared" si="40"/>
        <v>412.72299999999984</v>
      </c>
      <c r="AH242" s="47"/>
      <c r="AI242" s="48"/>
      <c r="AK242" s="50"/>
    </row>
    <row r="243" spans="1:37" ht="15.75" thickBot="1" x14ac:dyDescent="0.3">
      <c r="A243" s="26" t="s">
        <v>75</v>
      </c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19"/>
      <c r="AH243" s="47"/>
      <c r="AI243" s="48"/>
      <c r="AK243" s="50"/>
    </row>
    <row r="244" spans="1:37" x14ac:dyDescent="0.25">
      <c r="A244" s="100" t="s">
        <v>236</v>
      </c>
      <c r="B244" s="141">
        <f t="shared" ref="B244:B249" si="41">AF244</f>
        <v>0.3</v>
      </c>
      <c r="C244" s="141">
        <v>0.3</v>
      </c>
      <c r="D244" s="141">
        <f t="shared" ref="D244:S249" si="42">C244</f>
        <v>0.3</v>
      </c>
      <c r="E244" s="141">
        <f t="shared" si="42"/>
        <v>0.3</v>
      </c>
      <c r="F244" s="141">
        <f t="shared" si="42"/>
        <v>0.3</v>
      </c>
      <c r="G244" s="141">
        <f t="shared" si="42"/>
        <v>0.3</v>
      </c>
      <c r="H244" s="141">
        <f t="shared" si="42"/>
        <v>0.3</v>
      </c>
      <c r="I244" s="141">
        <f t="shared" si="42"/>
        <v>0.3</v>
      </c>
      <c r="J244" s="141">
        <f t="shared" si="42"/>
        <v>0.3</v>
      </c>
      <c r="K244" s="141">
        <f t="shared" si="42"/>
        <v>0.3</v>
      </c>
      <c r="L244" s="141">
        <f t="shared" si="42"/>
        <v>0.3</v>
      </c>
      <c r="M244" s="141">
        <f t="shared" si="42"/>
        <v>0.3</v>
      </c>
      <c r="N244" s="141">
        <f t="shared" si="42"/>
        <v>0.3</v>
      </c>
      <c r="O244" s="141">
        <f t="shared" si="42"/>
        <v>0.3</v>
      </c>
      <c r="P244" s="141">
        <f t="shared" si="42"/>
        <v>0.3</v>
      </c>
      <c r="Q244" s="141">
        <f t="shared" si="42"/>
        <v>0.3</v>
      </c>
      <c r="R244" s="141">
        <f t="shared" si="42"/>
        <v>0.3</v>
      </c>
      <c r="S244" s="141">
        <f t="shared" si="42"/>
        <v>0.3</v>
      </c>
      <c r="T244" s="141">
        <f t="shared" ref="T244:AF249" si="43">S244</f>
        <v>0.3</v>
      </c>
      <c r="U244" s="141">
        <f t="shared" si="43"/>
        <v>0.3</v>
      </c>
      <c r="V244" s="141">
        <f t="shared" si="43"/>
        <v>0.3</v>
      </c>
      <c r="W244" s="141">
        <f t="shared" si="43"/>
        <v>0.3</v>
      </c>
      <c r="X244" s="141">
        <f t="shared" si="43"/>
        <v>0.3</v>
      </c>
      <c r="Y244" s="141">
        <f t="shared" si="43"/>
        <v>0.3</v>
      </c>
      <c r="Z244" s="141">
        <f t="shared" si="43"/>
        <v>0.3</v>
      </c>
      <c r="AA244" s="141">
        <f t="shared" si="43"/>
        <v>0.3</v>
      </c>
      <c r="AB244" s="141">
        <f t="shared" si="43"/>
        <v>0.3</v>
      </c>
      <c r="AC244" s="141">
        <f t="shared" si="43"/>
        <v>0.3</v>
      </c>
      <c r="AD244" s="141">
        <f t="shared" si="43"/>
        <v>0.3</v>
      </c>
      <c r="AE244" s="141">
        <f t="shared" si="43"/>
        <v>0.3</v>
      </c>
      <c r="AF244" s="141">
        <f t="shared" si="43"/>
        <v>0.3</v>
      </c>
      <c r="AG244" s="142">
        <v>2.4</v>
      </c>
      <c r="AH244" s="47"/>
      <c r="AI244" s="48"/>
      <c r="AK244" s="50"/>
    </row>
    <row r="245" spans="1:37" x14ac:dyDescent="0.25">
      <c r="A245" s="103" t="s">
        <v>237</v>
      </c>
      <c r="B245" s="129">
        <f t="shared" si="41"/>
        <v>0.4</v>
      </c>
      <c r="C245" s="129">
        <v>0.4</v>
      </c>
      <c r="D245" s="129">
        <f t="shared" si="42"/>
        <v>0.4</v>
      </c>
      <c r="E245" s="129">
        <f t="shared" si="42"/>
        <v>0.4</v>
      </c>
      <c r="F245" s="129">
        <f t="shared" si="42"/>
        <v>0.4</v>
      </c>
      <c r="G245" s="129">
        <f t="shared" si="42"/>
        <v>0.4</v>
      </c>
      <c r="H245" s="129">
        <f t="shared" si="42"/>
        <v>0.4</v>
      </c>
      <c r="I245" s="129">
        <f t="shared" si="42"/>
        <v>0.4</v>
      </c>
      <c r="J245" s="129">
        <f t="shared" si="42"/>
        <v>0.4</v>
      </c>
      <c r="K245" s="129">
        <f t="shared" si="42"/>
        <v>0.4</v>
      </c>
      <c r="L245" s="129">
        <f t="shared" si="42"/>
        <v>0.4</v>
      </c>
      <c r="M245" s="129">
        <f t="shared" si="42"/>
        <v>0.4</v>
      </c>
      <c r="N245" s="129">
        <f t="shared" si="42"/>
        <v>0.4</v>
      </c>
      <c r="O245" s="129">
        <f t="shared" si="42"/>
        <v>0.4</v>
      </c>
      <c r="P245" s="129">
        <f t="shared" si="42"/>
        <v>0.4</v>
      </c>
      <c r="Q245" s="129">
        <f t="shared" si="42"/>
        <v>0.4</v>
      </c>
      <c r="R245" s="129">
        <f t="shared" si="42"/>
        <v>0.4</v>
      </c>
      <c r="S245" s="129">
        <f t="shared" si="42"/>
        <v>0.4</v>
      </c>
      <c r="T245" s="129">
        <f t="shared" si="43"/>
        <v>0.4</v>
      </c>
      <c r="U245" s="129">
        <f t="shared" si="43"/>
        <v>0.4</v>
      </c>
      <c r="V245" s="129">
        <f t="shared" si="43"/>
        <v>0.4</v>
      </c>
      <c r="W245" s="129">
        <f t="shared" si="43"/>
        <v>0.4</v>
      </c>
      <c r="X245" s="129">
        <f t="shared" si="43"/>
        <v>0.4</v>
      </c>
      <c r="Y245" s="129">
        <f t="shared" si="43"/>
        <v>0.4</v>
      </c>
      <c r="Z245" s="129">
        <f t="shared" si="43"/>
        <v>0.4</v>
      </c>
      <c r="AA245" s="129">
        <f t="shared" si="43"/>
        <v>0.4</v>
      </c>
      <c r="AB245" s="129">
        <f t="shared" si="43"/>
        <v>0.4</v>
      </c>
      <c r="AC245" s="129">
        <f t="shared" si="43"/>
        <v>0.4</v>
      </c>
      <c r="AD245" s="129">
        <f t="shared" si="43"/>
        <v>0.4</v>
      </c>
      <c r="AE245" s="129">
        <f t="shared" si="43"/>
        <v>0.4</v>
      </c>
      <c r="AF245" s="129">
        <f t="shared" si="43"/>
        <v>0.4</v>
      </c>
      <c r="AG245" s="143">
        <v>2</v>
      </c>
      <c r="AH245" s="47"/>
      <c r="AI245" s="48"/>
      <c r="AK245" s="50"/>
    </row>
    <row r="246" spans="1:37" x14ac:dyDescent="0.25">
      <c r="A246" s="103" t="s">
        <v>238</v>
      </c>
      <c r="B246" s="129">
        <f t="shared" si="41"/>
        <v>1.5</v>
      </c>
      <c r="C246" s="129">
        <v>1.5</v>
      </c>
      <c r="D246" s="129">
        <f t="shared" si="42"/>
        <v>1.5</v>
      </c>
      <c r="E246" s="129">
        <f t="shared" si="42"/>
        <v>1.5</v>
      </c>
      <c r="F246" s="129">
        <f t="shared" si="42"/>
        <v>1.5</v>
      </c>
      <c r="G246" s="129">
        <f t="shared" si="42"/>
        <v>1.5</v>
      </c>
      <c r="H246" s="129">
        <f t="shared" si="42"/>
        <v>1.5</v>
      </c>
      <c r="I246" s="129">
        <f t="shared" si="42"/>
        <v>1.5</v>
      </c>
      <c r="J246" s="129">
        <f t="shared" si="42"/>
        <v>1.5</v>
      </c>
      <c r="K246" s="129">
        <f t="shared" si="42"/>
        <v>1.5</v>
      </c>
      <c r="L246" s="129">
        <f t="shared" si="42"/>
        <v>1.5</v>
      </c>
      <c r="M246" s="129">
        <f t="shared" si="42"/>
        <v>1.5</v>
      </c>
      <c r="N246" s="129">
        <f t="shared" si="42"/>
        <v>1.5</v>
      </c>
      <c r="O246" s="129">
        <f t="shared" si="42"/>
        <v>1.5</v>
      </c>
      <c r="P246" s="129">
        <f t="shared" si="42"/>
        <v>1.5</v>
      </c>
      <c r="Q246" s="129">
        <f t="shared" si="42"/>
        <v>1.5</v>
      </c>
      <c r="R246" s="129">
        <f t="shared" si="42"/>
        <v>1.5</v>
      </c>
      <c r="S246" s="129">
        <f t="shared" si="42"/>
        <v>1.5</v>
      </c>
      <c r="T246" s="129">
        <f t="shared" si="43"/>
        <v>1.5</v>
      </c>
      <c r="U246" s="129">
        <f t="shared" si="43"/>
        <v>1.5</v>
      </c>
      <c r="V246" s="129">
        <f t="shared" si="43"/>
        <v>1.5</v>
      </c>
      <c r="W246" s="129">
        <f t="shared" si="43"/>
        <v>1.5</v>
      </c>
      <c r="X246" s="129">
        <f t="shared" si="43"/>
        <v>1.5</v>
      </c>
      <c r="Y246" s="129">
        <f t="shared" si="43"/>
        <v>1.5</v>
      </c>
      <c r="Z246" s="129">
        <f t="shared" si="43"/>
        <v>1.5</v>
      </c>
      <c r="AA246" s="129">
        <f t="shared" si="43"/>
        <v>1.5</v>
      </c>
      <c r="AB246" s="129">
        <f t="shared" si="43"/>
        <v>1.5</v>
      </c>
      <c r="AC246" s="129">
        <f t="shared" si="43"/>
        <v>1.5</v>
      </c>
      <c r="AD246" s="129">
        <f t="shared" si="43"/>
        <v>1.5</v>
      </c>
      <c r="AE246" s="129">
        <f t="shared" si="43"/>
        <v>1.5</v>
      </c>
      <c r="AF246" s="129">
        <f t="shared" si="43"/>
        <v>1.5</v>
      </c>
      <c r="AG246" s="143">
        <v>1.5</v>
      </c>
      <c r="AH246" s="47"/>
      <c r="AI246" s="48"/>
      <c r="AK246" s="50"/>
    </row>
    <row r="247" spans="1:37" x14ac:dyDescent="0.25">
      <c r="A247" s="103" t="s">
        <v>239</v>
      </c>
      <c r="B247" s="129">
        <f t="shared" si="41"/>
        <v>0.3</v>
      </c>
      <c r="C247" s="129">
        <v>0.3</v>
      </c>
      <c r="D247" s="129">
        <f t="shared" si="42"/>
        <v>0.3</v>
      </c>
      <c r="E247" s="129">
        <f t="shared" si="42"/>
        <v>0.3</v>
      </c>
      <c r="F247" s="129">
        <f t="shared" si="42"/>
        <v>0.3</v>
      </c>
      <c r="G247" s="129">
        <f t="shared" si="42"/>
        <v>0.3</v>
      </c>
      <c r="H247" s="129">
        <f t="shared" si="42"/>
        <v>0.3</v>
      </c>
      <c r="I247" s="129">
        <f t="shared" si="42"/>
        <v>0.3</v>
      </c>
      <c r="J247" s="129">
        <f t="shared" si="42"/>
        <v>0.3</v>
      </c>
      <c r="K247" s="129">
        <f t="shared" si="42"/>
        <v>0.3</v>
      </c>
      <c r="L247" s="129">
        <f t="shared" si="42"/>
        <v>0.3</v>
      </c>
      <c r="M247" s="129">
        <f t="shared" si="42"/>
        <v>0.3</v>
      </c>
      <c r="N247" s="129">
        <f t="shared" si="42"/>
        <v>0.3</v>
      </c>
      <c r="O247" s="129">
        <f t="shared" si="42"/>
        <v>0.3</v>
      </c>
      <c r="P247" s="129">
        <f t="shared" si="42"/>
        <v>0.3</v>
      </c>
      <c r="Q247" s="129">
        <f t="shared" si="42"/>
        <v>0.3</v>
      </c>
      <c r="R247" s="129">
        <f t="shared" si="42"/>
        <v>0.3</v>
      </c>
      <c r="S247" s="129">
        <f t="shared" si="42"/>
        <v>0.3</v>
      </c>
      <c r="T247" s="129">
        <f t="shared" si="43"/>
        <v>0.3</v>
      </c>
      <c r="U247" s="129">
        <f t="shared" si="43"/>
        <v>0.3</v>
      </c>
      <c r="V247" s="129">
        <f t="shared" si="43"/>
        <v>0.3</v>
      </c>
      <c r="W247" s="129">
        <f t="shared" si="43"/>
        <v>0.3</v>
      </c>
      <c r="X247" s="129">
        <f t="shared" si="43"/>
        <v>0.3</v>
      </c>
      <c r="Y247" s="129">
        <f t="shared" si="43"/>
        <v>0.3</v>
      </c>
      <c r="Z247" s="129">
        <f t="shared" si="43"/>
        <v>0.3</v>
      </c>
      <c r="AA247" s="129">
        <f t="shared" si="43"/>
        <v>0.3</v>
      </c>
      <c r="AB247" s="129">
        <f t="shared" si="43"/>
        <v>0.3</v>
      </c>
      <c r="AC247" s="129">
        <f t="shared" si="43"/>
        <v>0.3</v>
      </c>
      <c r="AD247" s="129">
        <f t="shared" si="43"/>
        <v>0.3</v>
      </c>
      <c r="AE247" s="129">
        <f t="shared" si="43"/>
        <v>0.3</v>
      </c>
      <c r="AF247" s="129">
        <f t="shared" si="43"/>
        <v>0.3</v>
      </c>
      <c r="AG247" s="143">
        <v>1</v>
      </c>
      <c r="AH247" s="47"/>
      <c r="AI247" s="48"/>
      <c r="AK247" s="50"/>
    </row>
    <row r="248" spans="1:37" x14ac:dyDescent="0.25">
      <c r="A248" s="103" t="s">
        <v>240</v>
      </c>
      <c r="B248" s="129">
        <f t="shared" si="41"/>
        <v>0.4</v>
      </c>
      <c r="C248" s="129">
        <v>0.4</v>
      </c>
      <c r="D248" s="129">
        <f t="shared" si="42"/>
        <v>0.4</v>
      </c>
      <c r="E248" s="129">
        <f t="shared" si="42"/>
        <v>0.4</v>
      </c>
      <c r="F248" s="129">
        <f t="shared" si="42"/>
        <v>0.4</v>
      </c>
      <c r="G248" s="129">
        <f t="shared" si="42"/>
        <v>0.4</v>
      </c>
      <c r="H248" s="129">
        <f t="shared" si="42"/>
        <v>0.4</v>
      </c>
      <c r="I248" s="129">
        <f t="shared" si="42"/>
        <v>0.4</v>
      </c>
      <c r="J248" s="129">
        <f t="shared" si="42"/>
        <v>0.4</v>
      </c>
      <c r="K248" s="129">
        <f t="shared" si="42"/>
        <v>0.4</v>
      </c>
      <c r="L248" s="129">
        <f t="shared" si="42"/>
        <v>0.4</v>
      </c>
      <c r="M248" s="129">
        <f t="shared" si="42"/>
        <v>0.4</v>
      </c>
      <c r="N248" s="129">
        <f t="shared" si="42"/>
        <v>0.4</v>
      </c>
      <c r="O248" s="129">
        <f t="shared" si="42"/>
        <v>0.4</v>
      </c>
      <c r="P248" s="129">
        <f t="shared" si="42"/>
        <v>0.4</v>
      </c>
      <c r="Q248" s="129">
        <f t="shared" si="42"/>
        <v>0.4</v>
      </c>
      <c r="R248" s="129">
        <f t="shared" si="42"/>
        <v>0.4</v>
      </c>
      <c r="S248" s="129">
        <f t="shared" si="42"/>
        <v>0.4</v>
      </c>
      <c r="T248" s="129">
        <f t="shared" si="43"/>
        <v>0.4</v>
      </c>
      <c r="U248" s="129">
        <f t="shared" si="43"/>
        <v>0.4</v>
      </c>
      <c r="V248" s="129">
        <f t="shared" si="43"/>
        <v>0.4</v>
      </c>
      <c r="W248" s="129">
        <f t="shared" si="43"/>
        <v>0.4</v>
      </c>
      <c r="X248" s="129">
        <f t="shared" si="43"/>
        <v>0.4</v>
      </c>
      <c r="Y248" s="129">
        <f t="shared" si="43"/>
        <v>0.4</v>
      </c>
      <c r="Z248" s="129">
        <f t="shared" si="43"/>
        <v>0.4</v>
      </c>
      <c r="AA248" s="129">
        <f t="shared" si="43"/>
        <v>0.4</v>
      </c>
      <c r="AB248" s="129">
        <f t="shared" si="43"/>
        <v>0.4</v>
      </c>
      <c r="AC248" s="129">
        <f t="shared" si="43"/>
        <v>0.4</v>
      </c>
      <c r="AD248" s="129">
        <f t="shared" si="43"/>
        <v>0.4</v>
      </c>
      <c r="AE248" s="129">
        <f t="shared" si="43"/>
        <v>0.4</v>
      </c>
      <c r="AF248" s="129">
        <f t="shared" si="43"/>
        <v>0.4</v>
      </c>
      <c r="AG248" s="143">
        <v>1</v>
      </c>
      <c r="AH248" s="47"/>
      <c r="AI248" s="48"/>
      <c r="AK248" s="50"/>
    </row>
    <row r="249" spans="1:37" ht="15.75" thickBot="1" x14ac:dyDescent="0.3">
      <c r="A249" s="116" t="s">
        <v>241</v>
      </c>
      <c r="B249" s="133">
        <f t="shared" si="41"/>
        <v>0.64</v>
      </c>
      <c r="C249" s="133">
        <v>0.64</v>
      </c>
      <c r="D249" s="133">
        <f t="shared" si="42"/>
        <v>0.64</v>
      </c>
      <c r="E249" s="133">
        <f t="shared" si="42"/>
        <v>0.64</v>
      </c>
      <c r="F249" s="133">
        <f t="shared" si="42"/>
        <v>0.64</v>
      </c>
      <c r="G249" s="133">
        <f t="shared" si="42"/>
        <v>0.64</v>
      </c>
      <c r="H249" s="133">
        <f t="shared" si="42"/>
        <v>0.64</v>
      </c>
      <c r="I249" s="133">
        <f t="shared" si="42"/>
        <v>0.64</v>
      </c>
      <c r="J249" s="133">
        <f t="shared" si="42"/>
        <v>0.64</v>
      </c>
      <c r="K249" s="133">
        <f t="shared" si="42"/>
        <v>0.64</v>
      </c>
      <c r="L249" s="133">
        <f t="shared" si="42"/>
        <v>0.64</v>
      </c>
      <c r="M249" s="133">
        <f t="shared" si="42"/>
        <v>0.64</v>
      </c>
      <c r="N249" s="133">
        <f t="shared" si="42"/>
        <v>0.64</v>
      </c>
      <c r="O249" s="133">
        <f t="shared" si="42"/>
        <v>0.64</v>
      </c>
      <c r="P249" s="133">
        <f t="shared" si="42"/>
        <v>0.64</v>
      </c>
      <c r="Q249" s="133">
        <f t="shared" si="42"/>
        <v>0.64</v>
      </c>
      <c r="R249" s="133">
        <f t="shared" si="42"/>
        <v>0.64</v>
      </c>
      <c r="S249" s="133">
        <f t="shared" si="42"/>
        <v>0.64</v>
      </c>
      <c r="T249" s="133">
        <f t="shared" si="43"/>
        <v>0.64</v>
      </c>
      <c r="U249" s="133">
        <f t="shared" si="43"/>
        <v>0.64</v>
      </c>
      <c r="V249" s="133">
        <f t="shared" si="43"/>
        <v>0.64</v>
      </c>
      <c r="W249" s="133">
        <f t="shared" si="43"/>
        <v>0.64</v>
      </c>
      <c r="X249" s="133">
        <f t="shared" si="43"/>
        <v>0.64</v>
      </c>
      <c r="Y249" s="133">
        <f t="shared" si="43"/>
        <v>0.64</v>
      </c>
      <c r="Z249" s="133">
        <f t="shared" si="43"/>
        <v>0.64</v>
      </c>
      <c r="AA249" s="133">
        <f t="shared" si="43"/>
        <v>0.64</v>
      </c>
      <c r="AB249" s="133">
        <f t="shared" si="43"/>
        <v>0.64</v>
      </c>
      <c r="AC249" s="133">
        <f t="shared" si="43"/>
        <v>0.64</v>
      </c>
      <c r="AD249" s="133">
        <f t="shared" si="43"/>
        <v>0.64</v>
      </c>
      <c r="AE249" s="133">
        <f t="shared" si="43"/>
        <v>0.64</v>
      </c>
      <c r="AF249" s="133">
        <f t="shared" si="43"/>
        <v>0.64</v>
      </c>
      <c r="AG249" s="144">
        <v>0.66</v>
      </c>
      <c r="AH249" s="47"/>
      <c r="AI249" s="48"/>
    </row>
    <row r="250" spans="1:37" ht="15.75" thickBot="1" x14ac:dyDescent="0.3">
      <c r="A250" s="145" t="s">
        <v>75</v>
      </c>
      <c r="B250" s="137">
        <f t="shared" ref="B250:AG250" si="44">SUM(B244:B249)</f>
        <v>3.54</v>
      </c>
      <c r="C250" s="137">
        <f t="shared" si="44"/>
        <v>3.54</v>
      </c>
      <c r="D250" s="137">
        <f t="shared" si="44"/>
        <v>3.54</v>
      </c>
      <c r="E250" s="137">
        <f t="shared" si="44"/>
        <v>3.54</v>
      </c>
      <c r="F250" s="137">
        <f t="shared" si="44"/>
        <v>3.54</v>
      </c>
      <c r="G250" s="137">
        <f t="shared" si="44"/>
        <v>3.54</v>
      </c>
      <c r="H250" s="137">
        <f t="shared" si="44"/>
        <v>3.54</v>
      </c>
      <c r="I250" s="137">
        <f t="shared" si="44"/>
        <v>3.54</v>
      </c>
      <c r="J250" s="137">
        <f t="shared" si="44"/>
        <v>3.54</v>
      </c>
      <c r="K250" s="137">
        <f t="shared" si="44"/>
        <v>3.54</v>
      </c>
      <c r="L250" s="137">
        <f t="shared" si="44"/>
        <v>3.54</v>
      </c>
      <c r="M250" s="137">
        <f t="shared" si="44"/>
        <v>3.54</v>
      </c>
      <c r="N250" s="137">
        <f t="shared" si="44"/>
        <v>3.54</v>
      </c>
      <c r="O250" s="137">
        <f t="shared" si="44"/>
        <v>3.54</v>
      </c>
      <c r="P250" s="137">
        <f t="shared" si="44"/>
        <v>3.54</v>
      </c>
      <c r="Q250" s="137">
        <f t="shared" si="44"/>
        <v>3.54</v>
      </c>
      <c r="R250" s="137">
        <f t="shared" si="44"/>
        <v>3.54</v>
      </c>
      <c r="S250" s="137">
        <f t="shared" si="44"/>
        <v>3.54</v>
      </c>
      <c r="T250" s="137">
        <f t="shared" si="44"/>
        <v>3.54</v>
      </c>
      <c r="U250" s="137">
        <f t="shared" si="44"/>
        <v>3.54</v>
      </c>
      <c r="V250" s="137">
        <f t="shared" si="44"/>
        <v>3.54</v>
      </c>
      <c r="W250" s="137">
        <f t="shared" si="44"/>
        <v>3.54</v>
      </c>
      <c r="X250" s="137">
        <f t="shared" si="44"/>
        <v>3.54</v>
      </c>
      <c r="Y250" s="137">
        <f t="shared" si="44"/>
        <v>3.54</v>
      </c>
      <c r="Z250" s="137">
        <f t="shared" si="44"/>
        <v>3.54</v>
      </c>
      <c r="AA250" s="137">
        <f t="shared" si="44"/>
        <v>3.54</v>
      </c>
      <c r="AB250" s="137">
        <f t="shared" si="44"/>
        <v>3.54</v>
      </c>
      <c r="AC250" s="137">
        <f t="shared" si="44"/>
        <v>3.54</v>
      </c>
      <c r="AD250" s="137">
        <f t="shared" si="44"/>
        <v>3.54</v>
      </c>
      <c r="AE250" s="137">
        <f t="shared" si="44"/>
        <v>3.54</v>
      </c>
      <c r="AF250" s="137">
        <f t="shared" si="44"/>
        <v>3.54</v>
      </c>
      <c r="AG250" s="146">
        <f t="shared" si="44"/>
        <v>8.56</v>
      </c>
      <c r="AH250" s="47"/>
      <c r="AI250" s="48"/>
    </row>
    <row r="251" spans="1:37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140"/>
      <c r="AH251" s="43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1635.54</v>
      </c>
      <c r="C254" s="162">
        <f>INDEX(G9:N9,1,MATCH(MAX(G99:N99),G99:N99,0))</f>
        <v>0.33333333333333331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21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2080/09/21)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2080/09/21)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45">B99</f>
        <v>1035.8399999999999</v>
      </c>
      <c r="U259" s="171">
        <f t="shared" si="45"/>
        <v>1022.54</v>
      </c>
      <c r="V259" s="171">
        <f t="shared" si="45"/>
        <v>994.1400000000001</v>
      </c>
      <c r="W259" s="171">
        <f t="shared" si="45"/>
        <v>958.54000000000008</v>
      </c>
      <c r="X259" s="171">
        <f t="shared" si="45"/>
        <v>975.1400000000001</v>
      </c>
      <c r="Y259" s="171">
        <f t="shared" si="45"/>
        <v>1070.24</v>
      </c>
      <c r="Z259" s="171">
        <f t="shared" si="45"/>
        <v>1139.1400000000001</v>
      </c>
      <c r="AA259" s="171">
        <f t="shared" si="45"/>
        <v>1200.1400000000001</v>
      </c>
      <c r="AB259" s="171">
        <f t="shared" si="45"/>
        <v>1288.3400000000001</v>
      </c>
      <c r="AC259" s="171">
        <f t="shared" si="45"/>
        <v>1367.5400000000002</v>
      </c>
      <c r="AD259" s="171">
        <f t="shared" si="45"/>
        <v>1574.14</v>
      </c>
      <c r="AE259" s="171">
        <f t="shared" si="45"/>
        <v>1635.54</v>
      </c>
      <c r="AF259" s="171">
        <f t="shared" si="45"/>
        <v>1518.2400000000002</v>
      </c>
      <c r="AG259" s="171">
        <f t="shared" si="45"/>
        <v>1466.24</v>
      </c>
      <c r="AH259" s="171">
        <f t="shared" si="45"/>
        <v>1352.5400000000002</v>
      </c>
      <c r="AI259" s="171">
        <f t="shared" si="45"/>
        <v>1403.24</v>
      </c>
      <c r="AJ259" s="171">
        <f t="shared" si="45"/>
        <v>1209.6400000000001</v>
      </c>
      <c r="AK259" s="171">
        <f t="shared" si="45"/>
        <v>1149.44</v>
      </c>
      <c r="AL259" s="171">
        <f t="shared" si="45"/>
        <v>1137.6400000000001</v>
      </c>
      <c r="AM259" s="171">
        <f t="shared" si="45"/>
        <v>1184.2400000000002</v>
      </c>
      <c r="AN259" s="171">
        <f t="shared" si="45"/>
        <v>1279.7400000000002</v>
      </c>
      <c r="AO259" s="171">
        <f t="shared" si="45"/>
        <v>1388.0400000000002</v>
      </c>
      <c r="AP259" s="171">
        <f t="shared" si="45"/>
        <v>1628.1399999999999</v>
      </c>
      <c r="AQ259" s="171">
        <f t="shared" si="45"/>
        <v>1603.34</v>
      </c>
      <c r="AR259" s="171">
        <f t="shared" si="45"/>
        <v>1515.04</v>
      </c>
      <c r="AS259" s="171">
        <f t="shared" si="45"/>
        <v>1475.3400000000001</v>
      </c>
      <c r="AT259" s="171">
        <f t="shared" si="45"/>
        <v>1483.8400000000001</v>
      </c>
      <c r="AU259" s="171">
        <f t="shared" si="45"/>
        <v>1384.04</v>
      </c>
      <c r="AV259" s="171">
        <f t="shared" si="45"/>
        <v>1307.1400000000001</v>
      </c>
      <c r="AW259" s="171">
        <f t="shared" si="45"/>
        <v>1075.6399999999999</v>
      </c>
      <c r="AX259" s="171">
        <f t="shared" si="45"/>
        <v>960.64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46">C249</f>
        <v>0.64</v>
      </c>
      <c r="C280" s="174">
        <f t="shared" si="46"/>
        <v>0.64</v>
      </c>
      <c r="D280" s="174">
        <f t="shared" si="46"/>
        <v>0.64</v>
      </c>
      <c r="E280" s="174">
        <f t="shared" si="46"/>
        <v>0.64</v>
      </c>
      <c r="F280" s="174">
        <f t="shared" si="46"/>
        <v>0.64</v>
      </c>
      <c r="G280" s="174">
        <f t="shared" si="46"/>
        <v>0.64</v>
      </c>
      <c r="H280" s="174">
        <f t="shared" si="46"/>
        <v>0.64</v>
      </c>
      <c r="I280" s="174">
        <f t="shared" si="46"/>
        <v>0.64</v>
      </c>
      <c r="J280" s="174">
        <f t="shared" si="46"/>
        <v>0.64</v>
      </c>
      <c r="K280" s="174">
        <f t="shared" si="46"/>
        <v>0.64</v>
      </c>
      <c r="L280" s="174">
        <f t="shared" si="46"/>
        <v>0.64</v>
      </c>
      <c r="M280" s="174">
        <f t="shared" si="46"/>
        <v>0.64</v>
      </c>
      <c r="N280" s="174">
        <f t="shared" si="46"/>
        <v>0.64</v>
      </c>
      <c r="O280" s="174">
        <f t="shared" si="46"/>
        <v>0.64</v>
      </c>
      <c r="P280" s="174">
        <f t="shared" si="46"/>
        <v>0.64</v>
      </c>
      <c r="Q280" s="174">
        <f t="shared" si="46"/>
        <v>0.64</v>
      </c>
      <c r="R280" s="174">
        <f t="shared" si="46"/>
        <v>0.64</v>
      </c>
      <c r="S280" s="174">
        <f t="shared" si="46"/>
        <v>0.64</v>
      </c>
      <c r="T280" s="174">
        <f t="shared" si="46"/>
        <v>0.64</v>
      </c>
      <c r="U280" s="174">
        <f t="shared" si="46"/>
        <v>0.64</v>
      </c>
      <c r="V280" s="174">
        <f t="shared" si="46"/>
        <v>0.64</v>
      </c>
      <c r="W280" s="174">
        <f t="shared" si="46"/>
        <v>0.64</v>
      </c>
      <c r="X280" s="174">
        <f t="shared" si="46"/>
        <v>0.64</v>
      </c>
      <c r="Y280" s="174">
        <f t="shared" si="46"/>
        <v>0.64</v>
      </c>
      <c r="Z280" s="174">
        <f t="shared" si="46"/>
        <v>0.64</v>
      </c>
      <c r="AA280" s="174">
        <f t="shared" si="46"/>
        <v>0.64</v>
      </c>
      <c r="AB280" s="174">
        <f t="shared" si="46"/>
        <v>0.64</v>
      </c>
      <c r="AC280" s="174">
        <f t="shared" si="46"/>
        <v>0.64</v>
      </c>
      <c r="AD280" s="174">
        <f t="shared" si="46"/>
        <v>0.64</v>
      </c>
      <c r="AE280" s="174">
        <f t="shared" si="46"/>
        <v>0.64</v>
      </c>
      <c r="AF280" s="174">
        <f>B249</f>
        <v>0.64</v>
      </c>
      <c r="AG280" s="43"/>
      <c r="AH280" s="43"/>
    </row>
    <row r="281" spans="1:34" x14ac:dyDescent="0.25">
      <c r="A281" s="175" t="str">
        <f>A132</f>
        <v>KGA</v>
      </c>
      <c r="B281" s="175" t="str">
        <f t="shared" ref="B281:AF281" si="47">IF(B132&lt;100,"",B132-520)</f>
        <v/>
      </c>
      <c r="C281" s="175" t="str">
        <f t="shared" si="47"/>
        <v/>
      </c>
      <c r="D281" s="175" t="str">
        <f t="shared" si="47"/>
        <v/>
      </c>
      <c r="E281" s="175" t="str">
        <f t="shared" si="47"/>
        <v/>
      </c>
      <c r="F281" s="175" t="str">
        <f t="shared" si="47"/>
        <v/>
      </c>
      <c r="G281" s="175" t="str">
        <f t="shared" si="47"/>
        <v/>
      </c>
      <c r="H281" s="175" t="str">
        <f t="shared" si="47"/>
        <v/>
      </c>
      <c r="I281" s="175" t="str">
        <f t="shared" si="47"/>
        <v/>
      </c>
      <c r="J281" s="175" t="str">
        <f t="shared" si="47"/>
        <v/>
      </c>
      <c r="K281" s="175" t="str">
        <f t="shared" si="47"/>
        <v/>
      </c>
      <c r="L281" s="175" t="str">
        <f t="shared" si="47"/>
        <v/>
      </c>
      <c r="M281" s="175" t="str">
        <f t="shared" si="47"/>
        <v/>
      </c>
      <c r="N281" s="175" t="str">
        <f t="shared" si="47"/>
        <v/>
      </c>
      <c r="O281" s="175" t="str">
        <f t="shared" si="47"/>
        <v/>
      </c>
      <c r="P281" s="175" t="str">
        <f t="shared" si="47"/>
        <v/>
      </c>
      <c r="Q281" s="175" t="str">
        <f t="shared" si="47"/>
        <v/>
      </c>
      <c r="R281" s="175" t="str">
        <f t="shared" si="47"/>
        <v/>
      </c>
      <c r="S281" s="175" t="str">
        <f t="shared" si="47"/>
        <v/>
      </c>
      <c r="T281" s="175" t="str">
        <f t="shared" si="47"/>
        <v/>
      </c>
      <c r="U281" s="175" t="str">
        <f t="shared" si="47"/>
        <v/>
      </c>
      <c r="V281" s="175" t="str">
        <f t="shared" si="47"/>
        <v/>
      </c>
      <c r="W281" s="175" t="str">
        <f t="shared" si="47"/>
        <v/>
      </c>
      <c r="X281" s="175" t="str">
        <f t="shared" si="47"/>
        <v/>
      </c>
      <c r="Y281" s="175" t="str">
        <f t="shared" si="47"/>
        <v/>
      </c>
      <c r="Z281" s="175" t="str">
        <f t="shared" si="47"/>
        <v/>
      </c>
      <c r="AA281" s="175" t="str">
        <f t="shared" si="47"/>
        <v/>
      </c>
      <c r="AB281" s="175" t="str">
        <f t="shared" si="47"/>
        <v/>
      </c>
      <c r="AC281" s="175" t="str">
        <f t="shared" si="47"/>
        <v/>
      </c>
      <c r="AD281" s="175" t="str">
        <f t="shared" si="47"/>
        <v/>
      </c>
      <c r="AE281" s="175" t="str">
        <f t="shared" si="47"/>
        <v/>
      </c>
      <c r="AF281" s="175" t="str">
        <f t="shared" si="47"/>
        <v/>
      </c>
      <c r="AG281" s="43"/>
      <c r="AH281" s="43"/>
    </row>
    <row r="282" spans="1:34" x14ac:dyDescent="0.25">
      <c r="A282" s="175" t="str">
        <f>A133</f>
        <v>MMRS</v>
      </c>
      <c r="B282" s="175" t="str">
        <f t="shared" ref="B282:AF282" si="48">IF(B133&lt;100,"",B133-620)</f>
        <v/>
      </c>
      <c r="C282" s="175" t="str">
        <f t="shared" si="48"/>
        <v/>
      </c>
      <c r="D282" s="175" t="str">
        <f t="shared" si="48"/>
        <v/>
      </c>
      <c r="E282" s="175" t="str">
        <f t="shared" si="48"/>
        <v/>
      </c>
      <c r="F282" s="175" t="str">
        <f t="shared" si="48"/>
        <v/>
      </c>
      <c r="G282" s="175" t="str">
        <f t="shared" si="48"/>
        <v/>
      </c>
      <c r="H282" s="175" t="str">
        <f t="shared" si="48"/>
        <v/>
      </c>
      <c r="I282" s="175" t="str">
        <f t="shared" si="48"/>
        <v/>
      </c>
      <c r="J282" s="175" t="str">
        <f t="shared" si="48"/>
        <v/>
      </c>
      <c r="K282" s="175" t="str">
        <f t="shared" si="48"/>
        <v/>
      </c>
      <c r="L282" s="175" t="str">
        <f t="shared" si="48"/>
        <v/>
      </c>
      <c r="M282" s="175" t="str">
        <f t="shared" si="48"/>
        <v/>
      </c>
      <c r="N282" s="175" t="str">
        <f t="shared" si="48"/>
        <v/>
      </c>
      <c r="O282" s="175" t="str">
        <f t="shared" si="48"/>
        <v/>
      </c>
      <c r="P282" s="175" t="str">
        <f t="shared" si="48"/>
        <v/>
      </c>
      <c r="Q282" s="175" t="str">
        <f t="shared" si="48"/>
        <v/>
      </c>
      <c r="R282" s="175" t="str">
        <f t="shared" si="48"/>
        <v/>
      </c>
      <c r="S282" s="175" t="str">
        <f t="shared" si="48"/>
        <v/>
      </c>
      <c r="T282" s="175" t="str">
        <f t="shared" si="48"/>
        <v/>
      </c>
      <c r="U282" s="175" t="str">
        <f t="shared" si="48"/>
        <v/>
      </c>
      <c r="V282" s="175" t="str">
        <f t="shared" si="48"/>
        <v/>
      </c>
      <c r="W282" s="175" t="str">
        <f t="shared" si="48"/>
        <v/>
      </c>
      <c r="X282" s="175" t="str">
        <f t="shared" si="48"/>
        <v/>
      </c>
      <c r="Y282" s="175" t="str">
        <f t="shared" si="48"/>
        <v/>
      </c>
      <c r="Z282" s="175" t="str">
        <f t="shared" si="48"/>
        <v/>
      </c>
      <c r="AA282" s="175" t="str">
        <f t="shared" si="48"/>
        <v/>
      </c>
      <c r="AB282" s="175" t="str">
        <f t="shared" si="48"/>
        <v/>
      </c>
      <c r="AC282" s="175" t="str">
        <f t="shared" si="48"/>
        <v/>
      </c>
      <c r="AD282" s="175" t="str">
        <f t="shared" si="48"/>
        <v/>
      </c>
      <c r="AE282" s="175" t="str">
        <f t="shared" si="48"/>
        <v/>
      </c>
      <c r="AF282" s="175" t="str">
        <f t="shared" si="48"/>
        <v/>
      </c>
      <c r="AG282" s="43"/>
      <c r="AH282" s="43"/>
    </row>
    <row r="283" spans="1:34" x14ac:dyDescent="0.25">
      <c r="A283" s="175" t="str">
        <f>A134</f>
        <v>MRS</v>
      </c>
      <c r="B283" s="175" t="str">
        <f t="shared" ref="B283:AF283" si="49">IF(B134&lt;100,"",B134-330)</f>
        <v/>
      </c>
      <c r="C283" s="175" t="str">
        <f t="shared" si="49"/>
        <v/>
      </c>
      <c r="D283" s="175" t="str">
        <f t="shared" si="49"/>
        <v/>
      </c>
      <c r="E283" s="175" t="str">
        <f t="shared" si="49"/>
        <v/>
      </c>
      <c r="F283" s="175" t="str">
        <f t="shared" si="49"/>
        <v/>
      </c>
      <c r="G283" s="175" t="str">
        <f t="shared" si="49"/>
        <v/>
      </c>
      <c r="H283" s="175" t="str">
        <f t="shared" si="49"/>
        <v/>
      </c>
      <c r="I283" s="175" t="str">
        <f t="shared" si="49"/>
        <v/>
      </c>
      <c r="J283" s="175" t="str">
        <f t="shared" si="49"/>
        <v/>
      </c>
      <c r="K283" s="175" t="str">
        <f t="shared" si="49"/>
        <v/>
      </c>
      <c r="L283" s="175" t="str">
        <f t="shared" si="49"/>
        <v/>
      </c>
      <c r="M283" s="175" t="str">
        <f t="shared" si="49"/>
        <v/>
      </c>
      <c r="N283" s="175" t="str">
        <f t="shared" si="49"/>
        <v/>
      </c>
      <c r="O283" s="175" t="str">
        <f t="shared" si="49"/>
        <v/>
      </c>
      <c r="P283" s="175" t="str">
        <f t="shared" si="49"/>
        <v/>
      </c>
      <c r="Q283" s="175" t="str">
        <f t="shared" si="49"/>
        <v/>
      </c>
      <c r="R283" s="175" t="str">
        <f t="shared" si="49"/>
        <v/>
      </c>
      <c r="S283" s="175" t="str">
        <f t="shared" si="49"/>
        <v/>
      </c>
      <c r="T283" s="175" t="str">
        <f t="shared" si="49"/>
        <v/>
      </c>
      <c r="U283" s="175" t="str">
        <f t="shared" si="49"/>
        <v/>
      </c>
      <c r="V283" s="175" t="str">
        <f t="shared" si="49"/>
        <v/>
      </c>
      <c r="W283" s="175" t="str">
        <f t="shared" si="49"/>
        <v/>
      </c>
      <c r="X283" s="175" t="str">
        <f t="shared" si="49"/>
        <v/>
      </c>
      <c r="Y283" s="175" t="str">
        <f t="shared" si="49"/>
        <v/>
      </c>
      <c r="Z283" s="175" t="str">
        <f t="shared" si="49"/>
        <v/>
      </c>
      <c r="AA283" s="175" t="str">
        <f t="shared" si="49"/>
        <v/>
      </c>
      <c r="AB283" s="175" t="str">
        <f t="shared" si="49"/>
        <v/>
      </c>
      <c r="AC283" s="175" t="str">
        <f t="shared" si="49"/>
        <v/>
      </c>
      <c r="AD283" s="175" t="str">
        <f t="shared" si="49"/>
        <v/>
      </c>
      <c r="AE283" s="175" t="str">
        <f t="shared" si="49"/>
        <v/>
      </c>
      <c r="AF283" s="175" t="str">
        <f t="shared" si="49"/>
        <v/>
      </c>
      <c r="AG283" s="43"/>
      <c r="AH283" s="43"/>
    </row>
    <row r="284" spans="1:34" x14ac:dyDescent="0.25">
      <c r="A284" s="175" t="str">
        <f>A135</f>
        <v>KL 1</v>
      </c>
      <c r="B284" s="175" t="str">
        <f t="shared" ref="B284:AF284" si="50">IF(B135&lt;100,"",B135-1500)</f>
        <v/>
      </c>
      <c r="C284" s="175" t="str">
        <f t="shared" si="50"/>
        <v/>
      </c>
      <c r="D284" s="175" t="str">
        <f t="shared" si="50"/>
        <v/>
      </c>
      <c r="E284" s="175" t="str">
        <f t="shared" si="50"/>
        <v/>
      </c>
      <c r="F284" s="175" t="str">
        <f t="shared" si="50"/>
        <v/>
      </c>
      <c r="G284" s="175" t="str">
        <f t="shared" si="50"/>
        <v/>
      </c>
      <c r="H284" s="175" t="str">
        <f t="shared" si="50"/>
        <v/>
      </c>
      <c r="I284" s="175" t="str">
        <f t="shared" si="50"/>
        <v/>
      </c>
      <c r="J284" s="175" t="str">
        <f t="shared" si="50"/>
        <v/>
      </c>
      <c r="K284" s="175" t="str">
        <f t="shared" si="50"/>
        <v/>
      </c>
      <c r="L284" s="175" t="str">
        <f t="shared" si="50"/>
        <v/>
      </c>
      <c r="M284" s="175" t="str">
        <f t="shared" si="50"/>
        <v/>
      </c>
      <c r="N284" s="175" t="str">
        <f t="shared" si="50"/>
        <v/>
      </c>
      <c r="O284" s="175" t="str">
        <f t="shared" si="50"/>
        <v/>
      </c>
      <c r="P284" s="175" t="str">
        <f t="shared" si="50"/>
        <v/>
      </c>
      <c r="Q284" s="175" t="str">
        <f t="shared" si="50"/>
        <v/>
      </c>
      <c r="R284" s="175" t="str">
        <f t="shared" si="50"/>
        <v/>
      </c>
      <c r="S284" s="175" t="str">
        <f t="shared" si="50"/>
        <v/>
      </c>
      <c r="T284" s="175" t="str">
        <f t="shared" si="50"/>
        <v/>
      </c>
      <c r="U284" s="175" t="str">
        <f t="shared" si="50"/>
        <v/>
      </c>
      <c r="V284" s="175" t="str">
        <f t="shared" si="50"/>
        <v/>
      </c>
      <c r="W284" s="175" t="str">
        <f t="shared" si="50"/>
        <v/>
      </c>
      <c r="X284" s="175" t="str">
        <f t="shared" si="50"/>
        <v/>
      </c>
      <c r="Y284" s="175" t="str">
        <f t="shared" si="50"/>
        <v/>
      </c>
      <c r="Z284" s="175" t="str">
        <f t="shared" si="50"/>
        <v/>
      </c>
      <c r="AA284" s="175" t="str">
        <f t="shared" si="50"/>
        <v/>
      </c>
      <c r="AB284" s="175" t="str">
        <f t="shared" si="50"/>
        <v/>
      </c>
      <c r="AC284" s="175" t="str">
        <f t="shared" si="50"/>
        <v/>
      </c>
      <c r="AD284" s="175" t="str">
        <f t="shared" si="50"/>
        <v/>
      </c>
      <c r="AE284" s="175" t="str">
        <f t="shared" si="50"/>
        <v/>
      </c>
      <c r="AF284" s="175" t="str">
        <f t="shared" si="50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 A132:A251">
    <cfRule type="expression" dxfId="1331" priority="113">
      <formula>$AH11=0</formula>
    </cfRule>
  </conditionalFormatting>
  <conditionalFormatting sqref="B8 M8 S8 AB8">
    <cfRule type="expression" dxfId="1330" priority="174">
      <formula>AND(C$9&gt;=8/24,C$9&lt;14/24)</formula>
    </cfRule>
    <cfRule type="expression" dxfId="1329" priority="173">
      <formula>AND(C$9&gt;=14/24,C$9&lt;20/24)</formula>
    </cfRule>
    <cfRule type="expression" dxfId="1328" priority="175">
      <formula>C$9&lt;8/24</formula>
    </cfRule>
  </conditionalFormatting>
  <conditionalFormatting sqref="B63:L68 M66:M68 N67:N68 O68:R68">
    <cfRule type="expression" dxfId="1327" priority="59">
      <formula>B$9&lt;8/24</formula>
    </cfRule>
    <cfRule type="expression" dxfId="1326" priority="58">
      <formula>AND(B$9&gt;=8/24,B$9&lt;14/24)</formula>
    </cfRule>
    <cfRule type="expression" dxfId="1325" priority="57">
      <formula>AND(B$9&gt;=14/24,B$9&lt;20/24)</formula>
    </cfRule>
    <cfRule type="expression" dxfId="1324" priority="56">
      <formula>B$9&gt;=20/24</formula>
    </cfRule>
  </conditionalFormatting>
  <conditionalFormatting sqref="B9:AF52">
    <cfRule type="expression" dxfId="1323" priority="23">
      <formula>B$9&gt;=20/24</formula>
    </cfRule>
    <cfRule type="expression" dxfId="1322" priority="24">
      <formula>AND(B$9&gt;=14/24,B$9&lt;20/24)</formula>
    </cfRule>
    <cfRule type="expression" dxfId="1321" priority="25">
      <formula>AND(B$9&gt;=8/24,B$9&lt;14/24)</formula>
    </cfRule>
    <cfRule type="expression" dxfId="1320" priority="26">
      <formula>B$9&lt;8/24</formula>
    </cfRule>
  </conditionalFormatting>
  <conditionalFormatting sqref="B11:AF54">
    <cfRule type="expression" dxfId="1319" priority="13">
      <formula>B11&gt;$AG11</formula>
    </cfRule>
  </conditionalFormatting>
  <conditionalFormatting sqref="B53:AF54">
    <cfRule type="expression" dxfId="1318" priority="9">
      <formula>B$9&gt;=20/24</formula>
    </cfRule>
    <cfRule type="expression" dxfId="1317" priority="10">
      <formula>AND(B$9&gt;=14/24,B$9&lt;20/24)</formula>
    </cfRule>
    <cfRule type="expression" dxfId="1316" priority="11">
      <formula>AND(B$9&gt;=8/24,B$9&lt;14/24)</formula>
    </cfRule>
    <cfRule type="expression" dxfId="1315" priority="12">
      <formula>B$9&lt;8/24</formula>
    </cfRule>
  </conditionalFormatting>
  <conditionalFormatting sqref="B55:AF55">
    <cfRule type="expression" dxfId="1314" priority="32">
      <formula>B55&gt;$AG55</formula>
    </cfRule>
  </conditionalFormatting>
  <conditionalFormatting sqref="B55:AF57">
    <cfRule type="expression" dxfId="1313" priority="28">
      <formula>B$9&gt;=20/24</formula>
    </cfRule>
    <cfRule type="expression" dxfId="1312" priority="29">
      <formula>AND(B$9&gt;=14/24,B$9&lt;20/24)</formula>
    </cfRule>
    <cfRule type="expression" dxfId="1311" priority="30">
      <formula>AND(B$9&gt;=8/24,B$9&lt;14/24)</formula>
    </cfRule>
    <cfRule type="expression" dxfId="1310" priority="31">
      <formula>B$9&lt;8/24</formula>
    </cfRule>
  </conditionalFormatting>
  <conditionalFormatting sqref="B59:AF61">
    <cfRule type="expression" dxfId="1309" priority="38">
      <formula>B$9&gt;=20/24</formula>
    </cfRule>
    <cfRule type="expression" dxfId="1308" priority="39">
      <formula>AND(B$9&gt;=14/24,B$9&lt;20/24)</formula>
    </cfRule>
    <cfRule type="expression" dxfId="1307" priority="40">
      <formula>AND(B$9&gt;=8/24,B$9&lt;14/24)</formula>
    </cfRule>
    <cfRule type="expression" dxfId="1306" priority="41">
      <formula>B$9&lt;8/24</formula>
    </cfRule>
  </conditionalFormatting>
  <conditionalFormatting sqref="B63:AF74">
    <cfRule type="expression" dxfId="1305" priority="18">
      <formula>B63&gt;$AG63</formula>
    </cfRule>
  </conditionalFormatting>
  <conditionalFormatting sqref="B69:AF74">
    <cfRule type="expression" dxfId="1304" priority="53">
      <formula>AND(B$9&gt;=14/24,B$9&lt;20/24)</formula>
    </cfRule>
    <cfRule type="expression" dxfId="1303" priority="52">
      <formula>B$9&gt;=20/24</formula>
    </cfRule>
    <cfRule type="expression" dxfId="1302" priority="55">
      <formula>B$9&lt;8/24</formula>
    </cfRule>
    <cfRule type="expression" dxfId="1301" priority="54">
      <formula>AND(B$9&gt;=8/24,B$9&lt;14/24)</formula>
    </cfRule>
  </conditionalFormatting>
  <conditionalFormatting sqref="B77:AF79">
    <cfRule type="expression" dxfId="1300" priority="106">
      <formula>AND(B$9&gt;=8/24,B$9&lt;14/24)</formula>
    </cfRule>
    <cfRule type="expression" dxfId="1299" priority="107">
      <formula>B$9&lt;8/24</formula>
    </cfRule>
    <cfRule type="expression" dxfId="1298" priority="103">
      <formula>B77&gt;$AG77</formula>
    </cfRule>
    <cfRule type="expression" dxfId="1297" priority="104">
      <formula>B$9&gt;=20/24</formula>
    </cfRule>
    <cfRule type="expression" dxfId="1296" priority="105">
      <formula>AND(B$9&gt;=14/24,B$9&lt;20/24)</formula>
    </cfRule>
  </conditionalFormatting>
  <conditionalFormatting sqref="B81:AF99">
    <cfRule type="expression" dxfId="1295" priority="17">
      <formula>B$9&lt;8/24</formula>
    </cfRule>
    <cfRule type="expression" dxfId="1294" priority="14">
      <formula>B$9&gt;=20/24</formula>
    </cfRule>
    <cfRule type="expression" dxfId="1293" priority="15">
      <formula>AND(B$9&gt;=14/24,B$9&lt;20/24)</formula>
    </cfRule>
    <cfRule type="expression" dxfId="1292" priority="16">
      <formula>AND(B$9&gt;=8/24,B$9&lt;14/24)</formula>
    </cfRule>
  </conditionalFormatting>
  <conditionalFormatting sqref="B101:AF117">
    <cfRule type="expression" dxfId="1291" priority="5">
      <formula>B$9&gt;=20/24</formula>
    </cfRule>
    <cfRule type="expression" dxfId="1290" priority="6">
      <formula>AND(B$9&gt;=14/24,B$9&lt;20/24)</formula>
    </cfRule>
    <cfRule type="expression" dxfId="1289" priority="7">
      <formula>AND(B$9&gt;=8/24,B$9&lt;14/24)</formula>
    </cfRule>
    <cfRule type="expression" dxfId="1288" priority="8">
      <formula>B$9&lt;8/24</formula>
    </cfRule>
  </conditionalFormatting>
  <conditionalFormatting sqref="B119:AF135">
    <cfRule type="expression" dxfId="1287" priority="2">
      <formula>AND(B$9&gt;=14/24,B$9&lt;20/24)</formula>
    </cfRule>
    <cfRule type="expression" dxfId="1286" priority="3">
      <formula>AND(B$9&gt;=8/24,B$9&lt;14/24)</formula>
    </cfRule>
    <cfRule type="expression" dxfId="1285" priority="4">
      <formula>B$9&lt;8/24</formula>
    </cfRule>
    <cfRule type="expression" dxfId="1284" priority="1">
      <formula>B$9&gt;=20/24</formula>
    </cfRule>
  </conditionalFormatting>
  <conditionalFormatting sqref="B242:AF242 B244:B250 D244:AF250 U258:AF258">
    <cfRule type="expression" dxfId="1283" priority="166">
      <formula>B$9&gt;=20/24</formula>
    </cfRule>
    <cfRule type="expression" dxfId="1282" priority="167">
      <formula>AND(B$9&gt;=14/24,B$9&lt;20/24)</formula>
    </cfRule>
    <cfRule type="expression" dxfId="1281" priority="168">
      <formula>AND(B$9&gt;=8/24,B$9&lt;14/24)</formula>
    </cfRule>
    <cfRule type="expression" dxfId="1280" priority="169">
      <formula>B$9&lt;8/24</formula>
    </cfRule>
  </conditionalFormatting>
  <conditionalFormatting sqref="B62:AG62">
    <cfRule type="expression" dxfId="1279" priority="48">
      <formula>B$9&gt;=20/24</formula>
    </cfRule>
    <cfRule type="expression" dxfId="1278" priority="51">
      <formula>B$9&lt;8/24</formula>
    </cfRule>
    <cfRule type="expression" dxfId="1277" priority="47">
      <formula>B62&gt;$AG62</formula>
    </cfRule>
    <cfRule type="expression" dxfId="1276" priority="50">
      <formula>AND(B$9&gt;=8/24,B$9&lt;14/24)</formula>
    </cfRule>
    <cfRule type="expression" dxfId="1275" priority="49">
      <formula>AND(B$9&gt;=14/24,B$9&lt;20/24)</formula>
    </cfRule>
  </conditionalFormatting>
  <conditionalFormatting sqref="B75:AG76 B80:AG80">
    <cfRule type="expression" dxfId="1274" priority="33">
      <formula>B75&gt;$AG75</formula>
    </cfRule>
  </conditionalFormatting>
  <conditionalFormatting sqref="B80:AG80">
    <cfRule type="expression" dxfId="1273" priority="37">
      <formula>B$9&lt;8/24</formula>
    </cfRule>
    <cfRule type="expression" dxfId="1272" priority="36">
      <formula>AND(B$9&gt;=8/24,B$9&lt;14/24)</formula>
    </cfRule>
    <cfRule type="expression" dxfId="1271" priority="35">
      <formula>AND(B$9&gt;=14/24,B$9&lt;20/24)</formula>
    </cfRule>
    <cfRule type="expression" dxfId="1270" priority="34">
      <formula>B$9&gt;=20/24</formula>
    </cfRule>
  </conditionalFormatting>
  <conditionalFormatting sqref="E56:AF57 B56:D61 E59:AF61">
    <cfRule type="expression" dxfId="1269" priority="27">
      <formula>B56&gt;$AG56</formula>
    </cfRule>
  </conditionalFormatting>
  <conditionalFormatting sqref="E58:AG58">
    <cfRule type="expression" dxfId="1268" priority="88">
      <formula>E58&gt;$AG58</formula>
    </cfRule>
  </conditionalFormatting>
  <conditionalFormatting sqref="M63:R65 N66:P66 Q66:R67 O67:P67">
    <cfRule type="expression" dxfId="1267" priority="151">
      <formula>M$9&gt;=20/24</formula>
    </cfRule>
    <cfRule type="expression" dxfId="1266" priority="152">
      <formula>AND(M$9&gt;=14/24,M$9&lt;20/24)</formula>
    </cfRule>
    <cfRule type="expression" dxfId="1265" priority="153">
      <formula>AND(M$9&gt;=8/24,M$9&lt;14/24)</formula>
    </cfRule>
    <cfRule type="expression" dxfId="1264" priority="154">
      <formula>M$9&lt;8/24</formula>
    </cfRule>
  </conditionalFormatting>
  <conditionalFormatting sqref="O3:P3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263" priority="172">
      <formula>C$9&gt;=20/24</formula>
    </cfRule>
  </conditionalFormatting>
  <conditionalFormatting sqref="S8">
    <cfRule type="expression" dxfId="1262" priority="159">
      <formula>U$9&gt;=20/24</formula>
    </cfRule>
    <cfRule type="expression" dxfId="1261" priority="160">
      <formula>AND(U$9&gt;=14/24,U$9&lt;20/24)</formula>
    </cfRule>
    <cfRule type="expression" dxfId="1260" priority="161">
      <formula>AND(U$9&gt;=8/24,U$9&lt;14/24)</formula>
    </cfRule>
    <cfRule type="expression" dxfId="1259" priority="162">
      <formula>U$9&lt;8/24</formula>
    </cfRule>
  </conditionalFormatting>
  <conditionalFormatting sqref="S63:AF68">
    <cfRule type="expression" dxfId="1258" priority="119">
      <formula>AND(S$9&gt;=14/24,S$9&lt;20/24)</formula>
    </cfRule>
    <cfRule type="expression" dxfId="1257" priority="120">
      <formula>AND(S$9&gt;=8/24,S$9&lt;14/24)</formula>
    </cfRule>
    <cfRule type="expression" dxfId="1256" priority="121">
      <formula>S$9&lt;8/24</formula>
    </cfRule>
    <cfRule type="expression" dxfId="1255" priority="118">
      <formula>S$9&gt;=20/24</formula>
    </cfRule>
  </conditionalFormatting>
  <conditionalFormatting sqref="T258">
    <cfRule type="expression" dxfId="1254" priority="186">
      <formula>AND(AX$9&gt;=8/24,AX$9&lt;14/24)</formula>
    </cfRule>
    <cfRule type="expression" dxfId="1253" priority="185">
      <formula>AND(AX$9&gt;=14/24,AX$9&lt;20/24)</formula>
    </cfRule>
    <cfRule type="expression" dxfId="1252" priority="184">
      <formula>AX$9&gt;=20/24</formula>
    </cfRule>
    <cfRule type="expression" dxfId="1251" priority="187">
      <formula>AX$9&lt;8/24</formula>
    </cfRule>
  </conditionalFormatting>
  <conditionalFormatting sqref="V3 AB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250" priority="155">
      <formula>AD$9&gt;=20/24</formula>
    </cfRule>
    <cfRule type="expression" dxfId="1249" priority="156">
      <formula>AND(AD$9&gt;=14/24,AD$9&lt;20/24)</formula>
    </cfRule>
    <cfRule type="expression" dxfId="1248" priority="157">
      <formula>AND(AD$9&gt;=8/24,AD$9&lt;14/24)</formula>
    </cfRule>
    <cfRule type="expression" dxfId="1247" priority="158">
      <formula>AD$9&lt;8/24</formula>
    </cfRule>
  </conditionalFormatting>
  <conditionalFormatting sqref="AG97">
    <cfRule type="expression" dxfId="1246" priority="146">
      <formula>AG$9&lt;8/24</formula>
    </cfRule>
    <cfRule type="expression" dxfId="1245" priority="145">
      <formula>AND(AG$9&gt;=8/24,AG$9&lt;14/24)</formula>
    </cfRule>
    <cfRule type="expression" dxfId="1244" priority="144">
      <formula>AND(AG$9&gt;=14/24,AG$9&lt;20/24)</formula>
    </cfRule>
    <cfRule type="expression" dxfId="1243" priority="143">
      <formula>AG$9&gt;=20/24</formula>
    </cfRule>
  </conditionalFormatting>
  <conditionalFormatting sqref="AG258">
    <cfRule type="expression" dxfId="1242" priority="176">
      <formula>B$9&gt;=20/24</formula>
    </cfRule>
    <cfRule type="expression" dxfId="1241" priority="177">
      <formula>AND(B$9&gt;=14/24,B$9&lt;20/24)</formula>
    </cfRule>
    <cfRule type="expression" dxfId="1240" priority="178">
      <formula>AND(B$9&gt;=8/24,B$9&lt;14/24)</formula>
    </cfRule>
    <cfRule type="expression" dxfId="1239" priority="179">
      <formula>B$9&lt;8/24</formula>
    </cfRule>
  </conditionalFormatting>
  <conditionalFormatting sqref="AH258:AX258">
    <cfRule type="expression" dxfId="1238" priority="180">
      <formula>AG$9&gt;=20/24</formula>
    </cfRule>
    <cfRule type="expression" dxfId="1237" priority="181">
      <formula>AND(AG$9&gt;=14/24,AG$9&lt;20/24)</formula>
    </cfRule>
    <cfRule type="expression" dxfId="1236" priority="183">
      <formula>AG$9&lt;8/24</formula>
    </cfRule>
    <cfRule type="expression" dxfId="1235" priority="182">
      <formula>AND(AG$9&gt;=8/24,AG$9&lt;14/24)</formula>
    </cfRule>
  </conditionalFormatting>
  <conditionalFormatting sqref="AL4:AL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234" priority="189">
      <formula>AJ$9&gt;=20/24</formula>
    </cfRule>
    <cfRule type="expression" dxfId="1233" priority="190">
      <formula>AND(AJ$9&gt;=14/24,AJ$9&lt;20/24)</formula>
    </cfRule>
    <cfRule type="expression" dxfId="1232" priority="191">
      <formula>AND(AJ$9&gt;=8/24,AJ$9&lt;14/24)</formula>
    </cfRule>
    <cfRule type="expression" dxfId="1231" priority="192">
      <formula>AJ$9&lt;8/24</formula>
    </cfRule>
  </conditionalFormatting>
  <conditionalFormatting sqref="AL88:AN88 AL94:AN94">
    <cfRule type="expression" dxfId="1230" priority="135">
      <formula>AL$9&gt;=20/24</formula>
    </cfRule>
    <cfRule type="expression" dxfId="1229" priority="138">
      <formula>AL$9&lt;8/24</formula>
    </cfRule>
    <cfRule type="expression" dxfId="1228" priority="136">
      <formula>AND(AL$9&gt;=14/24,AL$9&lt;20/24)</formula>
    </cfRule>
    <cfRule type="expression" dxfId="1227" priority="137">
      <formula>AND(AL$9&gt;=8/24,AL$9&lt;14/24)</formula>
    </cfRule>
  </conditionalFormatting>
  <conditionalFormatting sqref="AN89:AN92">
    <cfRule type="expression" dxfId="1226" priority="131">
      <formula>AN$9&gt;=20/24</formula>
    </cfRule>
    <cfRule type="expression" dxfId="1225" priority="132">
      <formula>AND(AN$9&gt;=14/24,AN$9&lt;20/24)</formula>
    </cfRule>
    <cfRule type="expression" dxfId="1224" priority="133">
      <formula>AND(AN$9&gt;=8/24,AN$9&lt;14/24)</formula>
    </cfRule>
    <cfRule type="expression" dxfId="1223" priority="13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75B0-3040-4A2E-B5E4-0B74C6DCB8E4}">
  <sheetPr codeName="Sheet23"/>
  <dimension ref="A1:CJ291"/>
  <sheetViews>
    <sheetView zoomScale="106" workbookViewId="0">
      <pane xSplit="1" ySplit="10" topLeftCell="B11" activePane="bottomRight" state="frozen"/>
      <selection activeCell="P118" sqref="P118"/>
      <selection pane="topRight" activeCell="P118" sqref="P118"/>
      <selection pane="bottomLeft" activeCell="P118" sqref="P118"/>
      <selection pane="bottomRight" activeCell="M59" sqref="M5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2080/09/22</v>
      </c>
      <c r="C4" s="246"/>
      <c r="D4" s="246"/>
      <c r="E4" s="247" t="str">
        <f ca="1">"2080/"&amp;"09/"&amp;INT(MID(CELL("filename",G6),FIND("]",CELL("filename",G6))+1,200))</f>
        <v>2080/09/22</v>
      </c>
      <c r="F4" s="247"/>
      <c r="G4" s="247"/>
      <c r="H4" s="247" t="str">
        <f ca="1">TEXT(E4,"dddd")</f>
        <v>Sunday</v>
      </c>
      <c r="I4" s="247"/>
      <c r="J4" s="26"/>
      <c r="K4" s="1" t="str">
        <f>"Total Peak Supply(Inclusive of Export) ("&amp;ROUND(B262,0)&amp;" MW)"&amp;"    IPP   = "&amp;ROUND(B257,0)&amp;" MW     NEA RoR = "&amp;ROUND(B258,0)&amp;" MWImport   = "&amp;ROUND(B260,0)&amp;" MW      KL1+KL2+K3 = "&amp;ROUND(B259,0) &amp;" MW    EXPORT = "&amp;ROUND(B261,0)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177.2</v>
      </c>
      <c r="C5" s="30">
        <f t="shared" si="0"/>
        <v>153.1</v>
      </c>
      <c r="D5" s="30">
        <f t="shared" si="0"/>
        <v>132.1</v>
      </c>
      <c r="E5" s="30">
        <f t="shared" si="0"/>
        <v>148</v>
      </c>
      <c r="F5" s="30">
        <f t="shared" si="0"/>
        <v>232</v>
      </c>
      <c r="G5" s="30">
        <f t="shared" si="0"/>
        <v>318.60000000000002</v>
      </c>
      <c r="H5" s="30">
        <f t="shared" si="0"/>
        <v>365.2</v>
      </c>
      <c r="I5" s="30">
        <f t="shared" si="0"/>
        <v>411.4</v>
      </c>
      <c r="J5" s="30">
        <f t="shared" si="0"/>
        <v>452</v>
      </c>
      <c r="K5" s="30">
        <f t="shared" si="0"/>
        <v>437.5</v>
      </c>
      <c r="L5" s="30">
        <f t="shared" si="0"/>
        <v>182.6</v>
      </c>
      <c r="M5" s="30">
        <f t="shared" si="0"/>
        <v>147.19999999999999</v>
      </c>
      <c r="N5" s="30">
        <f t="shared" si="0"/>
        <v>195.60000000000002</v>
      </c>
      <c r="O5" s="30">
        <f t="shared" si="0"/>
        <v>307</v>
      </c>
      <c r="P5" s="30">
        <f t="shared" si="0"/>
        <v>393</v>
      </c>
      <c r="Q5" s="30">
        <f t="shared" si="0"/>
        <v>407</v>
      </c>
      <c r="R5" s="30">
        <f t="shared" si="0"/>
        <v>455.4</v>
      </c>
      <c r="S5" s="30">
        <f t="shared" si="0"/>
        <v>480</v>
      </c>
      <c r="T5" s="30">
        <f t="shared" si="0"/>
        <v>476.9</v>
      </c>
      <c r="U5" s="30">
        <f t="shared" si="0"/>
        <v>287</v>
      </c>
      <c r="V5" s="30">
        <f t="shared" si="0"/>
        <v>259</v>
      </c>
      <c r="W5" s="30">
        <f t="shared" si="0"/>
        <v>264.8</v>
      </c>
      <c r="X5" s="30">
        <f t="shared" si="0"/>
        <v>254.60000000000002</v>
      </c>
      <c r="Y5" s="30">
        <f t="shared" si="0"/>
        <v>261.63</v>
      </c>
      <c r="Z5" s="30">
        <f t="shared" si="0"/>
        <v>225.4</v>
      </c>
      <c r="AA5" s="30">
        <f t="shared" si="0"/>
        <v>218.5</v>
      </c>
      <c r="AB5" s="30">
        <f t="shared" si="0"/>
        <v>218.4</v>
      </c>
      <c r="AC5" s="30">
        <f t="shared" si="0"/>
        <v>307.10000000000002</v>
      </c>
      <c r="AD5" s="30">
        <f t="shared" si="0"/>
        <v>334</v>
      </c>
      <c r="AE5" s="30">
        <f t="shared" si="0"/>
        <v>326</v>
      </c>
      <c r="AF5" s="30">
        <f>B92</f>
        <v>221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"&amp;ROUND(B262,0)&amp;"MW at "&amp;TRUNC(B263*24,0)&amp;":"&amp;ROUND((B263*24-TRUNC(B263*24,0))*60,0)&amp;"hr at "&amp;ROUND(B264,1)&amp;"Hz     "&amp;A254&amp;" "&amp;ROUND(B254,0)&amp;"MW at "&amp;TRUNC(C254*24,0)&amp;":"&amp;ROUND((C254*24-TRUNC(C254*24,0))*6,0)&amp;"0hr"</f>
        <v>Evening Peak 0MW at 0:0hr at 0Hz     Morning Peak 1731MW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Load=907</v>
      </c>
      <c r="B7" s="35">
        <f>B100</f>
        <v>957.64</v>
      </c>
      <c r="C7" s="35">
        <f t="shared" ref="C7:AF7" si="1">C100</f>
        <v>936.83999999999992</v>
      </c>
      <c r="D7" s="35">
        <f t="shared" si="1"/>
        <v>906.74</v>
      </c>
      <c r="E7" s="35">
        <f t="shared" si="1"/>
        <v>924.84</v>
      </c>
      <c r="F7" s="35">
        <f t="shared" si="1"/>
        <v>931.74</v>
      </c>
      <c r="G7" s="35">
        <f t="shared" si="1"/>
        <v>1016.84</v>
      </c>
      <c r="H7" s="35">
        <f t="shared" si="1"/>
        <v>1107.3400000000001</v>
      </c>
      <c r="I7" s="35">
        <f t="shared" si="1"/>
        <v>1185.04</v>
      </c>
      <c r="J7" s="35">
        <f t="shared" si="1"/>
        <v>1355.7399999999998</v>
      </c>
      <c r="K7" s="35">
        <f t="shared" si="1"/>
        <v>1483.94</v>
      </c>
      <c r="L7" s="35">
        <f t="shared" si="1"/>
        <v>1629.44</v>
      </c>
      <c r="M7" s="35">
        <f t="shared" si="1"/>
        <v>1731.1399999999996</v>
      </c>
      <c r="N7" s="35">
        <f t="shared" si="1"/>
        <v>1568.04</v>
      </c>
      <c r="O7" s="35">
        <f t="shared" si="1"/>
        <v>1572.04</v>
      </c>
      <c r="P7" s="35">
        <f t="shared" si="1"/>
        <v>1643.4399999999998</v>
      </c>
      <c r="Q7" s="35">
        <f t="shared" si="1"/>
        <v>1366.24</v>
      </c>
      <c r="R7" s="35">
        <f t="shared" si="1"/>
        <v>1342.94</v>
      </c>
      <c r="S7" s="35">
        <f t="shared" si="1"/>
        <v>1379.94</v>
      </c>
      <c r="T7" s="35">
        <f t="shared" si="1"/>
        <v>1370.8400000000001</v>
      </c>
      <c r="U7" s="35">
        <f t="shared" si="1"/>
        <v>1394.3400000000001</v>
      </c>
      <c r="V7" s="35">
        <f t="shared" si="1"/>
        <v>1311.24</v>
      </c>
      <c r="W7" s="35">
        <f t="shared" si="1"/>
        <v>1523.54</v>
      </c>
      <c r="X7" s="35">
        <f t="shared" si="1"/>
        <v>1713.6399999999999</v>
      </c>
      <c r="Y7" s="35">
        <f t="shared" si="1"/>
        <v>1720.8400000000001</v>
      </c>
      <c r="Z7" s="35">
        <f t="shared" si="1"/>
        <v>1675.37</v>
      </c>
      <c r="AA7" s="35">
        <f t="shared" si="1"/>
        <v>1623.7400000000002</v>
      </c>
      <c r="AB7" s="35">
        <f t="shared" si="1"/>
        <v>1550.3400000000001</v>
      </c>
      <c r="AC7" s="35">
        <f t="shared" si="1"/>
        <v>1461.7400000000002</v>
      </c>
      <c r="AD7" s="35">
        <f t="shared" si="1"/>
        <v>1351.2400000000002</v>
      </c>
      <c r="AE7" s="35">
        <f t="shared" si="1"/>
        <v>1172.3400000000001</v>
      </c>
      <c r="AF7" s="35">
        <f t="shared" si="1"/>
        <v>1069.3400000000001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27.1</v>
      </c>
      <c r="C11" s="45">
        <v>27.1</v>
      </c>
      <c r="D11" s="45">
        <v>27.1</v>
      </c>
      <c r="E11" s="45">
        <v>34.5</v>
      </c>
      <c r="F11" s="45">
        <v>35.4</v>
      </c>
      <c r="G11" s="45">
        <v>33.700000000000003</v>
      </c>
      <c r="H11" s="45">
        <v>33.700000000000003</v>
      </c>
      <c r="I11" s="45">
        <v>34.6</v>
      </c>
      <c r="J11" s="45">
        <v>35.200000000000003</v>
      </c>
      <c r="K11" s="45">
        <v>35.200000000000003</v>
      </c>
      <c r="L11" s="45">
        <v>36.1</v>
      </c>
      <c r="M11" s="45">
        <v>35.1</v>
      </c>
      <c r="N11" s="45">
        <v>35.1</v>
      </c>
      <c r="O11" s="45">
        <v>35.1</v>
      </c>
      <c r="P11" s="45">
        <v>35.1</v>
      </c>
      <c r="Q11" s="45">
        <v>35.1</v>
      </c>
      <c r="R11" s="45">
        <v>35.4</v>
      </c>
      <c r="S11" s="45">
        <v>35.4</v>
      </c>
      <c r="T11" s="45">
        <v>35.4</v>
      </c>
      <c r="U11" s="45">
        <v>35.4</v>
      </c>
      <c r="V11" s="45">
        <v>36.9</v>
      </c>
      <c r="W11" s="45">
        <v>36.9</v>
      </c>
      <c r="X11" s="45">
        <v>36.9</v>
      </c>
      <c r="Y11" s="45">
        <v>36.9</v>
      </c>
      <c r="Z11" s="45">
        <v>36.9</v>
      </c>
      <c r="AA11" s="45">
        <v>32.5</v>
      </c>
      <c r="AB11" s="45">
        <v>32.5</v>
      </c>
      <c r="AC11" s="45">
        <v>32.5</v>
      </c>
      <c r="AD11" s="45">
        <v>32.5</v>
      </c>
      <c r="AE11" s="45">
        <v>32.5</v>
      </c>
      <c r="AF11" s="45">
        <v>32.5</v>
      </c>
      <c r="AG11" s="46">
        <v>86</v>
      </c>
      <c r="AH11" s="47">
        <f t="shared" ref="AH11:AH84" si="2">MAX(B11:AF11)</f>
        <v>36.9</v>
      </c>
      <c r="AI11" s="48">
        <f t="shared" ref="AI11:AI84" si="3">MIN(B11:AF11)</f>
        <v>27.1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13</v>
      </c>
      <c r="C12" s="45">
        <v>13</v>
      </c>
      <c r="D12" s="45">
        <v>13</v>
      </c>
      <c r="E12" s="45">
        <v>12</v>
      </c>
      <c r="F12" s="45">
        <v>12</v>
      </c>
      <c r="G12" s="45">
        <v>11.5</v>
      </c>
      <c r="H12" s="45">
        <v>11.5</v>
      </c>
      <c r="I12" s="45">
        <v>11.5</v>
      </c>
      <c r="J12" s="45">
        <v>11.5</v>
      </c>
      <c r="K12" s="45">
        <v>11.5</v>
      </c>
      <c r="L12" s="45">
        <v>11.5</v>
      </c>
      <c r="M12" s="45">
        <v>11.5</v>
      </c>
      <c r="N12" s="45">
        <v>11.5</v>
      </c>
      <c r="O12" s="45">
        <v>11.5</v>
      </c>
      <c r="P12" s="45">
        <v>11.5</v>
      </c>
      <c r="Q12" s="45">
        <v>11.5</v>
      </c>
      <c r="R12" s="45">
        <v>11.5</v>
      </c>
      <c r="S12" s="45">
        <v>11.5</v>
      </c>
      <c r="T12" s="45">
        <v>11.5</v>
      </c>
      <c r="U12" s="45">
        <v>11.5</v>
      </c>
      <c r="V12" s="45">
        <v>11.5</v>
      </c>
      <c r="W12" s="45">
        <v>11.5</v>
      </c>
      <c r="X12" s="45">
        <v>11.5</v>
      </c>
      <c r="Y12" s="45">
        <v>11.5</v>
      </c>
      <c r="Z12" s="45">
        <v>11.5</v>
      </c>
      <c r="AA12" s="45">
        <v>11.5</v>
      </c>
      <c r="AB12" s="45">
        <v>11.5</v>
      </c>
      <c r="AC12" s="45">
        <v>11.5</v>
      </c>
      <c r="AD12" s="45">
        <v>11.5</v>
      </c>
      <c r="AE12" s="45">
        <v>11.5</v>
      </c>
      <c r="AF12" s="45">
        <v>11.5</v>
      </c>
      <c r="AG12" s="49">
        <v>54</v>
      </c>
      <c r="AH12" s="47">
        <f t="shared" si="2"/>
        <v>13</v>
      </c>
      <c r="AI12" s="48">
        <f t="shared" si="3"/>
        <v>11.5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14</v>
      </c>
      <c r="C13" s="45">
        <v>14</v>
      </c>
      <c r="D13" s="45">
        <v>14</v>
      </c>
      <c r="E13" s="45">
        <v>14</v>
      </c>
      <c r="F13" s="45">
        <v>14</v>
      </c>
      <c r="G13" s="45">
        <v>14</v>
      </c>
      <c r="H13" s="45">
        <v>14</v>
      </c>
      <c r="I13" s="45">
        <v>14</v>
      </c>
      <c r="J13" s="45">
        <v>14</v>
      </c>
      <c r="K13" s="45">
        <v>14</v>
      </c>
      <c r="L13" s="45">
        <v>14</v>
      </c>
      <c r="M13" s="45">
        <v>14</v>
      </c>
      <c r="N13" s="45">
        <v>14</v>
      </c>
      <c r="O13" s="45">
        <v>14</v>
      </c>
      <c r="P13" s="45">
        <v>14</v>
      </c>
      <c r="Q13" s="45">
        <v>14</v>
      </c>
      <c r="R13" s="45">
        <v>14</v>
      </c>
      <c r="S13" s="45">
        <v>14</v>
      </c>
      <c r="T13" s="45">
        <v>14</v>
      </c>
      <c r="U13" s="45">
        <v>14</v>
      </c>
      <c r="V13" s="45">
        <v>14</v>
      </c>
      <c r="W13" s="45">
        <v>14</v>
      </c>
      <c r="X13" s="45">
        <v>14</v>
      </c>
      <c r="Y13" s="45">
        <v>14</v>
      </c>
      <c r="Z13" s="45">
        <v>14</v>
      </c>
      <c r="AA13" s="45">
        <v>14</v>
      </c>
      <c r="AB13" s="45">
        <v>14</v>
      </c>
      <c r="AC13" s="45">
        <v>14</v>
      </c>
      <c r="AD13" s="45">
        <v>14</v>
      </c>
      <c r="AE13" s="45">
        <v>14</v>
      </c>
      <c r="AF13" s="45">
        <v>14</v>
      </c>
      <c r="AG13" s="49">
        <v>54</v>
      </c>
      <c r="AH13" s="47">
        <f t="shared" si="2"/>
        <v>14</v>
      </c>
      <c r="AI13" s="48">
        <f t="shared" si="3"/>
        <v>14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18.2</v>
      </c>
      <c r="C14" s="45">
        <v>18.2</v>
      </c>
      <c r="D14" s="45">
        <v>18.2</v>
      </c>
      <c r="E14" s="45">
        <v>18.8</v>
      </c>
      <c r="F14" s="45">
        <v>18.8</v>
      </c>
      <c r="G14" s="45">
        <v>18.2</v>
      </c>
      <c r="H14" s="45">
        <v>18.2</v>
      </c>
      <c r="I14" s="45">
        <v>18.2</v>
      </c>
      <c r="J14" s="45">
        <v>18.2</v>
      </c>
      <c r="K14" s="45">
        <v>18.2</v>
      </c>
      <c r="L14" s="45">
        <v>18.2</v>
      </c>
      <c r="M14" s="45">
        <v>18.2</v>
      </c>
      <c r="N14" s="45">
        <v>18.2</v>
      </c>
      <c r="O14" s="45">
        <v>18.2</v>
      </c>
      <c r="P14" s="45">
        <v>18.2</v>
      </c>
      <c r="Q14" s="45">
        <v>18.2</v>
      </c>
      <c r="R14" s="45">
        <v>18.600000000000001</v>
      </c>
      <c r="S14" s="45">
        <v>18.600000000000001</v>
      </c>
      <c r="T14" s="45">
        <v>18.600000000000001</v>
      </c>
      <c r="U14" s="45">
        <v>18.600000000000001</v>
      </c>
      <c r="V14" s="45">
        <v>16.899999999999999</v>
      </c>
      <c r="W14" s="45">
        <v>16.899999999999999</v>
      </c>
      <c r="X14" s="45">
        <v>16.899999999999999</v>
      </c>
      <c r="Y14" s="45">
        <v>16.899999999999999</v>
      </c>
      <c r="Z14" s="45">
        <v>16.899999999999999</v>
      </c>
      <c r="AA14" s="45">
        <v>17</v>
      </c>
      <c r="AB14" s="45">
        <v>17</v>
      </c>
      <c r="AC14" s="45">
        <v>17</v>
      </c>
      <c r="AD14" s="45">
        <v>17</v>
      </c>
      <c r="AE14" s="45">
        <v>17</v>
      </c>
      <c r="AF14" s="45">
        <v>17</v>
      </c>
      <c r="AG14" s="46">
        <v>52.4</v>
      </c>
      <c r="AH14" s="47">
        <f t="shared" si="2"/>
        <v>18.8</v>
      </c>
      <c r="AI14" s="48">
        <f t="shared" si="3"/>
        <v>16.899999999999999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29.3</v>
      </c>
      <c r="C15" s="45">
        <v>29.3</v>
      </c>
      <c r="D15" s="45">
        <v>29.3</v>
      </c>
      <c r="E15" s="45">
        <v>38.5</v>
      </c>
      <c r="F15" s="45">
        <v>38.5</v>
      </c>
      <c r="G15" s="45">
        <v>38.700000000000003</v>
      </c>
      <c r="H15" s="45">
        <v>38.700000000000003</v>
      </c>
      <c r="I15" s="45">
        <v>38.700000000000003</v>
      </c>
      <c r="J15" s="45">
        <v>38.700000000000003</v>
      </c>
      <c r="K15" s="45">
        <v>38.700000000000003</v>
      </c>
      <c r="L15" s="45">
        <v>38.700000000000003</v>
      </c>
      <c r="M15" s="45">
        <v>38.700000000000003</v>
      </c>
      <c r="N15" s="45">
        <v>38.700000000000003</v>
      </c>
      <c r="O15" s="45">
        <v>38.700000000000003</v>
      </c>
      <c r="P15" s="45">
        <v>38.700000000000003</v>
      </c>
      <c r="Q15" s="45">
        <v>38.700000000000003</v>
      </c>
      <c r="R15" s="45">
        <v>37.799999999999997</v>
      </c>
      <c r="S15" s="45">
        <v>37.799999999999997</v>
      </c>
      <c r="T15" s="45">
        <v>37.799999999999997</v>
      </c>
      <c r="U15" s="45">
        <v>37.799999999999997</v>
      </c>
      <c r="V15" s="51">
        <v>38.299999999999997</v>
      </c>
      <c r="W15" s="51">
        <v>38.299999999999997</v>
      </c>
      <c r="X15" s="51">
        <v>38.299999999999997</v>
      </c>
      <c r="Y15" s="51">
        <v>38.299999999999997</v>
      </c>
      <c r="Z15" s="51">
        <v>38.299999999999997</v>
      </c>
      <c r="AA15" s="45">
        <v>37.200000000000003</v>
      </c>
      <c r="AB15" s="45">
        <v>37.200000000000003</v>
      </c>
      <c r="AC15" s="45">
        <v>37.200000000000003</v>
      </c>
      <c r="AD15" s="45">
        <v>37.200000000000003</v>
      </c>
      <c r="AE15" s="45">
        <v>37.200000000000003</v>
      </c>
      <c r="AF15" s="45">
        <v>37.200000000000003</v>
      </c>
      <c r="AG15" s="49">
        <v>50</v>
      </c>
      <c r="AH15" s="47">
        <f t="shared" si="2"/>
        <v>38.700000000000003</v>
      </c>
      <c r="AI15" s="48">
        <f t="shared" si="3"/>
        <v>29.3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19.8</v>
      </c>
      <c r="C16" s="45">
        <v>19.8</v>
      </c>
      <c r="D16" s="45">
        <v>19.8</v>
      </c>
      <c r="E16" s="45">
        <v>20.5</v>
      </c>
      <c r="F16" s="45">
        <v>20.5</v>
      </c>
      <c r="G16" s="45">
        <v>20.100000000000001</v>
      </c>
      <c r="H16" s="45">
        <v>20.100000000000001</v>
      </c>
      <c r="I16" s="45">
        <v>20.100000000000001</v>
      </c>
      <c r="J16" s="45">
        <v>20.100000000000001</v>
      </c>
      <c r="K16" s="45">
        <v>20.100000000000001</v>
      </c>
      <c r="L16" s="45">
        <v>20.100000000000001</v>
      </c>
      <c r="M16" s="45">
        <v>20.100000000000001</v>
      </c>
      <c r="N16" s="45">
        <v>20.100000000000001</v>
      </c>
      <c r="O16" s="45">
        <v>20.100000000000001</v>
      </c>
      <c r="P16" s="45">
        <v>20.100000000000001</v>
      </c>
      <c r="Q16" s="45">
        <v>20.100000000000001</v>
      </c>
      <c r="R16" s="45">
        <v>20.100000000000001</v>
      </c>
      <c r="S16" s="45">
        <v>20.100000000000001</v>
      </c>
      <c r="T16" s="45">
        <v>20.100000000000001</v>
      </c>
      <c r="U16" s="45">
        <v>20.100000000000001</v>
      </c>
      <c r="V16" s="45">
        <v>21.5</v>
      </c>
      <c r="W16" s="45">
        <v>21.5</v>
      </c>
      <c r="X16" s="45">
        <v>21.5</v>
      </c>
      <c r="Y16" s="45">
        <v>21.5</v>
      </c>
      <c r="Z16" s="45">
        <v>21.5</v>
      </c>
      <c r="AA16" s="45">
        <v>21.5</v>
      </c>
      <c r="AB16" s="45">
        <v>21.5</v>
      </c>
      <c r="AC16" s="45">
        <v>21.5</v>
      </c>
      <c r="AD16" s="45">
        <v>21.5</v>
      </c>
      <c r="AE16" s="45">
        <v>21.5</v>
      </c>
      <c r="AF16" s="45">
        <v>21.5</v>
      </c>
      <c r="AG16" s="49">
        <v>45</v>
      </c>
      <c r="AH16" s="47">
        <f t="shared" si="2"/>
        <v>21.5</v>
      </c>
      <c r="AI16" s="48">
        <f t="shared" si="3"/>
        <v>19.8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17</v>
      </c>
      <c r="Y17" s="45">
        <v>17</v>
      </c>
      <c r="Z17" s="45">
        <v>17</v>
      </c>
      <c r="AA17" s="45">
        <v>17</v>
      </c>
      <c r="AB17" s="45">
        <v>17</v>
      </c>
      <c r="AC17" s="45">
        <v>17</v>
      </c>
      <c r="AD17" s="45">
        <v>17</v>
      </c>
      <c r="AE17" s="45">
        <v>17</v>
      </c>
      <c r="AF17" s="45">
        <v>17</v>
      </c>
      <c r="AG17" s="49">
        <v>44</v>
      </c>
      <c r="AH17" s="47">
        <f>MAX(B17:AG17)</f>
        <v>44</v>
      </c>
      <c r="AI17" s="48">
        <f>MIN(B17:AG17)</f>
        <v>17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10.5</v>
      </c>
      <c r="C18" s="45">
        <v>10.5</v>
      </c>
      <c r="D18" s="45">
        <v>10.5</v>
      </c>
      <c r="E18" s="45">
        <v>10</v>
      </c>
      <c r="F18" s="45">
        <v>10</v>
      </c>
      <c r="G18" s="45">
        <v>10</v>
      </c>
      <c r="H18" s="45">
        <v>10</v>
      </c>
      <c r="I18" s="45">
        <v>10</v>
      </c>
      <c r="J18" s="45">
        <v>10</v>
      </c>
      <c r="K18" s="45">
        <v>10</v>
      </c>
      <c r="L18" s="45">
        <v>10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10</v>
      </c>
      <c r="T18" s="45">
        <v>10</v>
      </c>
      <c r="U18" s="45">
        <v>10</v>
      </c>
      <c r="V18" s="45">
        <v>10</v>
      </c>
      <c r="W18" s="45">
        <v>10</v>
      </c>
      <c r="X18" s="45">
        <v>10</v>
      </c>
      <c r="Y18" s="45">
        <v>10</v>
      </c>
      <c r="Z18" s="45">
        <v>10</v>
      </c>
      <c r="AA18" s="45">
        <v>10</v>
      </c>
      <c r="AB18" s="45">
        <v>10</v>
      </c>
      <c r="AC18" s="45">
        <v>10</v>
      </c>
      <c r="AD18" s="45">
        <v>10</v>
      </c>
      <c r="AE18" s="45">
        <v>10</v>
      </c>
      <c r="AF18" s="45">
        <v>10</v>
      </c>
      <c r="AG18" s="49">
        <v>42</v>
      </c>
      <c r="AH18" s="47">
        <f t="shared" si="2"/>
        <v>10.5</v>
      </c>
      <c r="AI18" s="48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12.5</v>
      </c>
      <c r="C20" s="45">
        <v>12.5</v>
      </c>
      <c r="D20" s="45">
        <v>12.5</v>
      </c>
      <c r="E20" s="45">
        <v>12.5</v>
      </c>
      <c r="F20" s="45">
        <v>12.5</v>
      </c>
      <c r="G20" s="45">
        <v>12.5</v>
      </c>
      <c r="H20" s="45">
        <v>12.5</v>
      </c>
      <c r="I20" s="45">
        <v>12.5</v>
      </c>
      <c r="J20" s="45">
        <v>12.5</v>
      </c>
      <c r="K20" s="45">
        <v>12.5</v>
      </c>
      <c r="L20" s="45">
        <v>12.5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12.5</v>
      </c>
      <c r="T20" s="45">
        <v>12.5</v>
      </c>
      <c r="U20" s="45">
        <v>12.5</v>
      </c>
      <c r="V20" s="45">
        <v>12.5</v>
      </c>
      <c r="W20" s="45">
        <v>12.5</v>
      </c>
      <c r="X20" s="45">
        <v>12.5</v>
      </c>
      <c r="Y20" s="45">
        <v>12.5</v>
      </c>
      <c r="Z20" s="45">
        <v>12.5</v>
      </c>
      <c r="AA20" s="45">
        <v>12.5</v>
      </c>
      <c r="AB20" s="45">
        <v>12.5</v>
      </c>
      <c r="AC20" s="45">
        <v>12.5</v>
      </c>
      <c r="AD20" s="45">
        <v>12.5</v>
      </c>
      <c r="AE20" s="45">
        <v>12.5</v>
      </c>
      <c r="AF20" s="45">
        <v>12.5</v>
      </c>
      <c r="AG20" s="49">
        <v>38.46</v>
      </c>
      <c r="AH20" s="47">
        <f t="shared" si="2"/>
        <v>12.5</v>
      </c>
      <c r="AI20" s="48">
        <f t="shared" si="3"/>
        <v>12.5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11.7</v>
      </c>
      <c r="C22" s="45">
        <v>11.7</v>
      </c>
      <c r="D22" s="45">
        <v>11.7</v>
      </c>
      <c r="E22" s="45">
        <v>11.7</v>
      </c>
      <c r="F22" s="45">
        <v>11.7</v>
      </c>
      <c r="G22" s="45">
        <v>11.7</v>
      </c>
      <c r="H22" s="45">
        <v>11.7</v>
      </c>
      <c r="I22" s="45">
        <v>11.7</v>
      </c>
      <c r="J22" s="45">
        <v>11.7</v>
      </c>
      <c r="K22" s="45">
        <v>11.7</v>
      </c>
      <c r="L22" s="45">
        <v>11.7</v>
      </c>
      <c r="M22" s="45">
        <v>11.7</v>
      </c>
      <c r="N22" s="45">
        <v>11.7</v>
      </c>
      <c r="O22" s="45">
        <v>11.7</v>
      </c>
      <c r="P22" s="45">
        <v>11.7</v>
      </c>
      <c r="Q22" s="45">
        <v>11.7</v>
      </c>
      <c r="R22" s="45">
        <v>11.7</v>
      </c>
      <c r="S22" s="45">
        <v>11.7</v>
      </c>
      <c r="T22" s="45">
        <v>11.7</v>
      </c>
      <c r="U22" s="45">
        <v>11.7</v>
      </c>
      <c r="V22" s="45">
        <v>11.7</v>
      </c>
      <c r="W22" s="45">
        <v>11.7</v>
      </c>
      <c r="X22" s="45">
        <v>11.7</v>
      </c>
      <c r="Y22" s="45">
        <v>11.7</v>
      </c>
      <c r="Z22" s="45">
        <v>11.7</v>
      </c>
      <c r="AA22" s="45">
        <v>11.7</v>
      </c>
      <c r="AB22" s="45">
        <v>11.7</v>
      </c>
      <c r="AC22" s="45">
        <v>11.7</v>
      </c>
      <c r="AD22" s="45">
        <v>11.7</v>
      </c>
      <c r="AE22" s="45">
        <v>11.7</v>
      </c>
      <c r="AF22" s="45">
        <v>11.7</v>
      </c>
      <c r="AG22" s="52">
        <v>30</v>
      </c>
      <c r="AH22" s="47">
        <f t="shared" si="2"/>
        <v>11.7</v>
      </c>
      <c r="AI22" s="48">
        <f t="shared" si="3"/>
        <v>11.7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49">
        <v>24.2</v>
      </c>
      <c r="AH23" s="47">
        <f t="shared" si="2"/>
        <v>10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11.9</v>
      </c>
      <c r="C24" s="45">
        <v>11.9</v>
      </c>
      <c r="D24" s="45">
        <v>11.9</v>
      </c>
      <c r="E24" s="45">
        <v>11.9</v>
      </c>
      <c r="F24" s="45">
        <v>11.9</v>
      </c>
      <c r="G24" s="45">
        <v>11.9</v>
      </c>
      <c r="H24" s="45">
        <v>11.9</v>
      </c>
      <c r="I24" s="45">
        <v>11.9</v>
      </c>
      <c r="J24" s="45">
        <v>11.9</v>
      </c>
      <c r="K24" s="45">
        <v>11.9</v>
      </c>
      <c r="L24" s="45">
        <v>11.9</v>
      </c>
      <c r="M24" s="45">
        <v>11.9</v>
      </c>
      <c r="N24" s="45">
        <v>11.9</v>
      </c>
      <c r="O24" s="45">
        <v>11.9</v>
      </c>
      <c r="P24" s="45">
        <v>11.9</v>
      </c>
      <c r="Q24" s="45">
        <v>11.9</v>
      </c>
      <c r="R24" s="45">
        <v>11.9</v>
      </c>
      <c r="S24" s="45">
        <v>11.9</v>
      </c>
      <c r="T24" s="45">
        <v>11.9</v>
      </c>
      <c r="U24" s="45">
        <v>11.9</v>
      </c>
      <c r="V24" s="45">
        <v>11.9</v>
      </c>
      <c r="W24" s="45">
        <v>11.9</v>
      </c>
      <c r="X24" s="45">
        <v>11.9</v>
      </c>
      <c r="Y24" s="45">
        <v>11.9</v>
      </c>
      <c r="Z24" s="45">
        <v>11.9</v>
      </c>
      <c r="AA24" s="45">
        <v>11.9</v>
      </c>
      <c r="AB24" s="45">
        <v>11.9</v>
      </c>
      <c r="AC24" s="45">
        <v>11.9</v>
      </c>
      <c r="AD24" s="45">
        <v>11.9</v>
      </c>
      <c r="AE24" s="45">
        <v>11.9</v>
      </c>
      <c r="AF24" s="45">
        <v>11.9</v>
      </c>
      <c r="AG24" s="49">
        <v>28</v>
      </c>
      <c r="AH24" s="47">
        <f t="shared" si="2"/>
        <v>11.9</v>
      </c>
      <c r="AI24" s="48">
        <f t="shared" si="3"/>
        <v>11.9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9</v>
      </c>
      <c r="E25" s="45">
        <v>9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9</v>
      </c>
      <c r="N25" s="45">
        <v>9</v>
      </c>
      <c r="O25" s="45">
        <v>9</v>
      </c>
      <c r="P25" s="45">
        <v>9</v>
      </c>
      <c r="Q25" s="45">
        <v>9</v>
      </c>
      <c r="R25" s="45">
        <v>9</v>
      </c>
      <c r="S25" s="45">
        <v>9</v>
      </c>
      <c r="T25" s="45">
        <v>9</v>
      </c>
      <c r="U25" s="45">
        <v>9</v>
      </c>
      <c r="V25" s="45">
        <v>9</v>
      </c>
      <c r="W25" s="45">
        <v>9</v>
      </c>
      <c r="X25" s="45">
        <v>9</v>
      </c>
      <c r="Y25" s="45">
        <v>9</v>
      </c>
      <c r="Z25" s="45">
        <v>9</v>
      </c>
      <c r="AA25" s="45">
        <v>9</v>
      </c>
      <c r="AB25" s="45">
        <v>9</v>
      </c>
      <c r="AC25" s="45">
        <v>9</v>
      </c>
      <c r="AD25" s="45">
        <v>9</v>
      </c>
      <c r="AE25" s="45">
        <v>9</v>
      </c>
      <c r="AF25" s="45">
        <v>9</v>
      </c>
      <c r="AG25" s="52">
        <v>30</v>
      </c>
      <c r="AH25" s="47">
        <f t="shared" si="2"/>
        <v>9</v>
      </c>
      <c r="AI25" s="48">
        <f t="shared" si="3"/>
        <v>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10.3</v>
      </c>
      <c r="C26" s="45">
        <v>10.3</v>
      </c>
      <c r="D26" s="45">
        <v>10.3</v>
      </c>
      <c r="E26" s="45">
        <v>10.3</v>
      </c>
      <c r="F26" s="45">
        <v>10.3</v>
      </c>
      <c r="G26" s="45">
        <v>10.3</v>
      </c>
      <c r="H26" s="45">
        <v>10.3</v>
      </c>
      <c r="I26" s="45">
        <v>10.3</v>
      </c>
      <c r="J26" s="45">
        <v>10.3</v>
      </c>
      <c r="K26" s="45">
        <v>10.3</v>
      </c>
      <c r="L26" s="45">
        <v>10.3</v>
      </c>
      <c r="M26" s="45">
        <v>10.3</v>
      </c>
      <c r="N26" s="45">
        <v>10.3</v>
      </c>
      <c r="O26" s="45">
        <v>10.3</v>
      </c>
      <c r="P26" s="45">
        <v>10.3</v>
      </c>
      <c r="Q26" s="45">
        <v>10.3</v>
      </c>
      <c r="R26" s="45">
        <v>10.3</v>
      </c>
      <c r="S26" s="45">
        <v>10.3</v>
      </c>
      <c r="T26" s="45">
        <v>10.3</v>
      </c>
      <c r="U26" s="45">
        <v>10.3</v>
      </c>
      <c r="V26" s="45">
        <v>10.3</v>
      </c>
      <c r="W26" s="45">
        <v>10.3</v>
      </c>
      <c r="X26" s="45">
        <v>10.3</v>
      </c>
      <c r="Y26" s="45">
        <v>10.3</v>
      </c>
      <c r="Z26" s="45">
        <v>10.3</v>
      </c>
      <c r="AA26" s="45">
        <v>10.3</v>
      </c>
      <c r="AB26" s="45">
        <v>10.3</v>
      </c>
      <c r="AC26" s="45">
        <v>10.3</v>
      </c>
      <c r="AD26" s="45">
        <v>10.3</v>
      </c>
      <c r="AE26" s="45">
        <v>10.3</v>
      </c>
      <c r="AF26" s="45">
        <v>10.3</v>
      </c>
      <c r="AG26" s="49">
        <v>25</v>
      </c>
      <c r="AH26" s="47">
        <f t="shared" si="2"/>
        <v>10.3</v>
      </c>
      <c r="AI26" s="48">
        <f t="shared" si="3"/>
        <v>10.3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10.3</v>
      </c>
      <c r="C29" s="45">
        <v>10.3</v>
      </c>
      <c r="D29" s="45">
        <v>10.3</v>
      </c>
      <c r="E29" s="45">
        <v>10.3</v>
      </c>
      <c r="F29" s="45">
        <v>10.3</v>
      </c>
      <c r="G29" s="45">
        <v>10.3</v>
      </c>
      <c r="H29" s="45">
        <v>10.3</v>
      </c>
      <c r="I29" s="45">
        <v>10.3</v>
      </c>
      <c r="J29" s="45">
        <v>10.3</v>
      </c>
      <c r="K29" s="45">
        <v>10.3</v>
      </c>
      <c r="L29" s="45">
        <v>10.3</v>
      </c>
      <c r="M29" s="45">
        <v>10.3</v>
      </c>
      <c r="N29" s="45">
        <v>10.3</v>
      </c>
      <c r="O29" s="45">
        <v>10.3</v>
      </c>
      <c r="P29" s="45">
        <v>10.3</v>
      </c>
      <c r="Q29" s="45">
        <v>10.3</v>
      </c>
      <c r="R29" s="45">
        <v>10.3</v>
      </c>
      <c r="S29" s="45">
        <v>10.3</v>
      </c>
      <c r="T29" s="45">
        <v>10.3</v>
      </c>
      <c r="U29" s="45">
        <v>10.3</v>
      </c>
      <c r="V29" s="45">
        <v>10.3</v>
      </c>
      <c r="W29" s="45">
        <v>10.3</v>
      </c>
      <c r="X29" s="45">
        <v>10.3</v>
      </c>
      <c r="Y29" s="45">
        <v>10.3</v>
      </c>
      <c r="Z29" s="45">
        <v>10.3</v>
      </c>
      <c r="AA29" s="45">
        <v>10.3</v>
      </c>
      <c r="AB29" s="45">
        <v>10.3</v>
      </c>
      <c r="AC29" s="45">
        <v>10.3</v>
      </c>
      <c r="AD29" s="45">
        <v>10.3</v>
      </c>
      <c r="AE29" s="45">
        <v>10.3</v>
      </c>
      <c r="AF29" s="45">
        <v>10.3</v>
      </c>
      <c r="AG29" s="49">
        <v>25</v>
      </c>
      <c r="AH29" s="47">
        <f t="shared" si="2"/>
        <v>10.3</v>
      </c>
      <c r="AI29" s="48">
        <f t="shared" si="3"/>
        <v>10.3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10.9</v>
      </c>
      <c r="C30" s="45">
        <v>10.9</v>
      </c>
      <c r="D30" s="45">
        <v>10.9</v>
      </c>
      <c r="E30" s="45">
        <v>10.9</v>
      </c>
      <c r="F30" s="45">
        <v>10.9</v>
      </c>
      <c r="G30" s="45">
        <v>10.9</v>
      </c>
      <c r="H30" s="45">
        <v>10.9</v>
      </c>
      <c r="I30" s="45">
        <v>10.9</v>
      </c>
      <c r="J30" s="45">
        <v>10.9</v>
      </c>
      <c r="K30" s="45">
        <v>10.9</v>
      </c>
      <c r="L30" s="45">
        <v>10.9</v>
      </c>
      <c r="M30" s="45">
        <v>10.9</v>
      </c>
      <c r="N30" s="45">
        <v>10.9</v>
      </c>
      <c r="O30" s="45">
        <v>10.9</v>
      </c>
      <c r="P30" s="45">
        <v>10.9</v>
      </c>
      <c r="Q30" s="45">
        <v>10.9</v>
      </c>
      <c r="R30" s="45">
        <v>10.9</v>
      </c>
      <c r="S30" s="45">
        <v>10.9</v>
      </c>
      <c r="T30" s="45">
        <v>10.9</v>
      </c>
      <c r="U30" s="45">
        <v>10.9</v>
      </c>
      <c r="V30" s="45">
        <v>10.9</v>
      </c>
      <c r="W30" s="45">
        <v>10.9</v>
      </c>
      <c r="X30" s="45">
        <v>10.9</v>
      </c>
      <c r="Y30" s="45">
        <v>10.9</v>
      </c>
      <c r="Z30" s="45">
        <v>10.9</v>
      </c>
      <c r="AA30" s="45">
        <v>10.9</v>
      </c>
      <c r="AB30" s="45">
        <v>10.9</v>
      </c>
      <c r="AC30" s="45">
        <v>10.9</v>
      </c>
      <c r="AD30" s="45">
        <v>10.9</v>
      </c>
      <c r="AE30" s="45">
        <v>10.9</v>
      </c>
      <c r="AF30" s="45">
        <v>10.9</v>
      </c>
      <c r="AG30" s="49">
        <v>23.5</v>
      </c>
      <c r="AH30" s="47">
        <f t="shared" si="2"/>
        <v>10.9</v>
      </c>
      <c r="AI30" s="48">
        <f t="shared" si="3"/>
        <v>10.9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6.26</v>
      </c>
      <c r="C33" s="45">
        <v>6.26</v>
      </c>
      <c r="D33" s="45">
        <v>6.26</v>
      </c>
      <c r="E33" s="45">
        <v>6.26</v>
      </c>
      <c r="F33" s="45">
        <v>6.26</v>
      </c>
      <c r="G33" s="45">
        <v>6.26</v>
      </c>
      <c r="H33" s="45">
        <v>6.26</v>
      </c>
      <c r="I33" s="45">
        <v>6.26</v>
      </c>
      <c r="J33" s="45">
        <v>6.26</v>
      </c>
      <c r="K33" s="45">
        <v>6.26</v>
      </c>
      <c r="L33" s="45">
        <v>6.26</v>
      </c>
      <c r="M33" s="45">
        <v>6.26</v>
      </c>
      <c r="N33" s="45">
        <v>6.26</v>
      </c>
      <c r="O33" s="45">
        <v>6.26</v>
      </c>
      <c r="P33" s="45">
        <v>6.26</v>
      </c>
      <c r="Q33" s="45">
        <v>6.26</v>
      </c>
      <c r="R33" s="45">
        <v>6.26</v>
      </c>
      <c r="S33" s="45">
        <v>6.26</v>
      </c>
      <c r="T33" s="45">
        <v>6.26</v>
      </c>
      <c r="U33" s="45">
        <v>6.26</v>
      </c>
      <c r="V33" s="45">
        <v>6.26</v>
      </c>
      <c r="W33" s="45">
        <v>6.26</v>
      </c>
      <c r="X33" s="45">
        <v>6.26</v>
      </c>
      <c r="Y33" s="45">
        <v>6.26</v>
      </c>
      <c r="Z33" s="45">
        <v>6.26</v>
      </c>
      <c r="AA33" s="45">
        <v>6.26</v>
      </c>
      <c r="AB33" s="45">
        <v>6.26</v>
      </c>
      <c r="AC33" s="45">
        <v>6.26</v>
      </c>
      <c r="AD33" s="45">
        <v>6.26</v>
      </c>
      <c r="AE33" s="45">
        <v>6.26</v>
      </c>
      <c r="AF33" s="45">
        <v>6.26</v>
      </c>
      <c r="AG33" s="49">
        <v>22</v>
      </c>
      <c r="AH33" s="47">
        <f t="shared" si="2"/>
        <v>6.26</v>
      </c>
      <c r="AI33" s="48">
        <f t="shared" si="3"/>
        <v>6.26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5</v>
      </c>
      <c r="C34" s="45">
        <v>5</v>
      </c>
      <c r="D34" s="45">
        <v>5</v>
      </c>
      <c r="E34" s="45">
        <v>5</v>
      </c>
      <c r="F34" s="45">
        <v>5</v>
      </c>
      <c r="G34" s="45">
        <v>5</v>
      </c>
      <c r="H34" s="45">
        <v>5</v>
      </c>
      <c r="I34" s="45">
        <v>5</v>
      </c>
      <c r="J34" s="45">
        <v>5</v>
      </c>
      <c r="K34" s="45">
        <v>5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5</v>
      </c>
      <c r="AB34" s="45">
        <v>5</v>
      </c>
      <c r="AC34" s="45">
        <v>5</v>
      </c>
      <c r="AD34" s="45">
        <v>5</v>
      </c>
      <c r="AE34" s="45">
        <v>5</v>
      </c>
      <c r="AF34" s="45">
        <v>5</v>
      </c>
      <c r="AG34" s="49">
        <v>22</v>
      </c>
      <c r="AH34" s="47">
        <f t="shared" si="2"/>
        <v>5</v>
      </c>
      <c r="AI34" s="48">
        <f t="shared" si="3"/>
        <v>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49">
        <v>12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>
        <v>32</v>
      </c>
      <c r="T57" s="51">
        <v>30</v>
      </c>
      <c r="U57" s="51">
        <v>29.2</v>
      </c>
      <c r="V57" s="51">
        <v>28.7</v>
      </c>
      <c r="W57" s="51">
        <v>24.8</v>
      </c>
      <c r="X57" s="51">
        <v>24.8</v>
      </c>
      <c r="Y57" s="51">
        <v>24.8</v>
      </c>
      <c r="Z57" s="51">
        <v>24.8</v>
      </c>
      <c r="AA57" s="51">
        <v>25.5</v>
      </c>
      <c r="AB57" s="51">
        <v>26.5</v>
      </c>
      <c r="AC57" s="51">
        <v>26.5</v>
      </c>
      <c r="AD57" s="51">
        <v>26.5</v>
      </c>
      <c r="AE57" s="51">
        <v>26.5</v>
      </c>
      <c r="AF57" s="51">
        <v>26.5</v>
      </c>
      <c r="AG57" s="55">
        <v>240</v>
      </c>
      <c r="AH57" s="47">
        <f t="shared" si="2"/>
        <v>32</v>
      </c>
      <c r="AI57" s="48">
        <f t="shared" si="3"/>
        <v>24.8</v>
      </c>
      <c r="AK57" s="50"/>
    </row>
    <row r="58" spans="1:88" ht="15.75" thickBot="1" x14ac:dyDescent="0.3">
      <c r="A58" s="59" t="s">
        <v>58</v>
      </c>
      <c r="B58" s="60">
        <f t="shared" ref="B58:AF58" si="4">SUM(B11:B56)</f>
        <v>587.20000000000005</v>
      </c>
      <c r="C58" s="60">
        <f t="shared" si="4"/>
        <v>587.20000000000005</v>
      </c>
      <c r="D58" s="60">
        <f t="shared" si="4"/>
        <v>587.20000000000005</v>
      </c>
      <c r="E58" s="60">
        <f t="shared" si="4"/>
        <v>603.6</v>
      </c>
      <c r="F58" s="60">
        <f t="shared" si="4"/>
        <v>604.5</v>
      </c>
      <c r="G58" s="60">
        <f t="shared" si="4"/>
        <v>601.5</v>
      </c>
      <c r="H58" s="60">
        <f t="shared" si="4"/>
        <v>601.5</v>
      </c>
      <c r="I58" s="60">
        <f t="shared" si="4"/>
        <v>602.4</v>
      </c>
      <c r="J58" s="60">
        <f t="shared" si="4"/>
        <v>603</v>
      </c>
      <c r="K58" s="60">
        <f t="shared" si="4"/>
        <v>603</v>
      </c>
      <c r="L58" s="60">
        <f t="shared" si="4"/>
        <v>603.9</v>
      </c>
      <c r="M58" s="60">
        <f t="shared" si="4"/>
        <v>602.9</v>
      </c>
      <c r="N58" s="60">
        <f t="shared" si="4"/>
        <v>602.9</v>
      </c>
      <c r="O58" s="60">
        <f t="shared" si="4"/>
        <v>602.9</v>
      </c>
      <c r="P58" s="60">
        <f t="shared" si="4"/>
        <v>602.9</v>
      </c>
      <c r="Q58" s="60">
        <f t="shared" si="4"/>
        <v>602.9</v>
      </c>
      <c r="R58" s="60">
        <f t="shared" si="4"/>
        <v>602.70000000000005</v>
      </c>
      <c r="S58" s="60">
        <f t="shared" si="4"/>
        <v>602.70000000000005</v>
      </c>
      <c r="T58" s="60">
        <f t="shared" ref="T58" si="5">SUM(T11:T56)</f>
        <v>602.70000000000005</v>
      </c>
      <c r="U58" s="60">
        <f t="shared" si="4"/>
        <v>602.70000000000005</v>
      </c>
      <c r="V58" s="60">
        <f t="shared" si="4"/>
        <v>604.4</v>
      </c>
      <c r="W58" s="60">
        <f t="shared" si="4"/>
        <v>604.4</v>
      </c>
      <c r="X58" s="60">
        <f t="shared" si="4"/>
        <v>604.4</v>
      </c>
      <c r="Y58" s="60">
        <f t="shared" si="4"/>
        <v>604.4</v>
      </c>
      <c r="Z58" s="60">
        <f t="shared" ref="Z58" si="6">SUM(Z11:Z56)</f>
        <v>604.4</v>
      </c>
      <c r="AA58" s="60">
        <f t="shared" si="4"/>
        <v>599</v>
      </c>
      <c r="AB58" s="60">
        <f t="shared" si="4"/>
        <v>599</v>
      </c>
      <c r="AC58" s="60">
        <f t="shared" si="4"/>
        <v>599</v>
      </c>
      <c r="AD58" s="60">
        <f t="shared" si="4"/>
        <v>599</v>
      </c>
      <c r="AE58" s="60">
        <f t="shared" si="4"/>
        <v>599</v>
      </c>
      <c r="AF58" s="60">
        <f t="shared" si="4"/>
        <v>599</v>
      </c>
      <c r="AG58" s="61">
        <f>SUM(AG14:AG56)</f>
        <v>1042.4000000000001</v>
      </c>
      <c r="AH58" s="47">
        <f t="shared" si="2"/>
        <v>604.5</v>
      </c>
      <c r="AI58" s="48">
        <f t="shared" si="3"/>
        <v>587.20000000000005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15</v>
      </c>
      <c r="K59" s="45">
        <v>30</v>
      </c>
      <c r="L59" s="45">
        <v>70</v>
      </c>
      <c r="M59" s="45">
        <v>380</v>
      </c>
      <c r="N59" s="45">
        <v>360</v>
      </c>
      <c r="O59" s="63">
        <v>320</v>
      </c>
      <c r="P59" s="63">
        <v>280</v>
      </c>
      <c r="Q59" s="63">
        <v>20</v>
      </c>
      <c r="R59" s="63">
        <v>15</v>
      </c>
      <c r="S59" s="45">
        <v>20</v>
      </c>
      <c r="T59" s="45">
        <v>0</v>
      </c>
      <c r="U59" s="45">
        <v>0</v>
      </c>
      <c r="V59" s="45">
        <v>0</v>
      </c>
      <c r="W59" s="45">
        <v>190</v>
      </c>
      <c r="X59" s="45">
        <v>230</v>
      </c>
      <c r="Y59" s="45">
        <v>250</v>
      </c>
      <c r="Z59" s="45">
        <v>220</v>
      </c>
      <c r="AA59" s="45">
        <v>270</v>
      </c>
      <c r="AB59" s="45">
        <v>250</v>
      </c>
      <c r="AC59" s="45">
        <v>255</v>
      </c>
      <c r="AD59" s="45">
        <v>140</v>
      </c>
      <c r="AE59" s="45">
        <v>80</v>
      </c>
      <c r="AF59" s="45">
        <v>0</v>
      </c>
      <c r="AG59" s="52">
        <v>456</v>
      </c>
      <c r="AH59" s="47">
        <f t="shared" si="2"/>
        <v>380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36.200000000000003</v>
      </c>
      <c r="W60" s="65">
        <v>36.5</v>
      </c>
      <c r="X60" s="65">
        <v>36.5</v>
      </c>
      <c r="Y60" s="65">
        <v>36.5</v>
      </c>
      <c r="Z60" s="65">
        <v>36.5</v>
      </c>
      <c r="AA60" s="65">
        <v>36.5</v>
      </c>
      <c r="AB60" s="65">
        <v>36.5</v>
      </c>
      <c r="AC60" s="65">
        <v>36.5</v>
      </c>
      <c r="AD60" s="65">
        <v>36.5</v>
      </c>
      <c r="AE60" s="65">
        <v>36.5</v>
      </c>
      <c r="AF60" s="65">
        <v>36.5</v>
      </c>
      <c r="AG60" s="55">
        <v>60</v>
      </c>
      <c r="AH60" s="47">
        <f t="shared" si="2"/>
        <v>36.5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16.3</v>
      </c>
      <c r="C61" s="67">
        <v>16.3</v>
      </c>
      <c r="D61" s="67">
        <v>16.3</v>
      </c>
      <c r="E61" s="67">
        <v>13.2</v>
      </c>
      <c r="F61" s="67">
        <v>13.2</v>
      </c>
      <c r="G61" s="67">
        <v>13.2</v>
      </c>
      <c r="H61" s="67">
        <v>13.2</v>
      </c>
      <c r="I61" s="67">
        <v>13.3</v>
      </c>
      <c r="J61" s="67">
        <v>13.3</v>
      </c>
      <c r="K61" s="67">
        <v>13.3</v>
      </c>
      <c r="L61" s="67">
        <v>13.2</v>
      </c>
      <c r="M61" s="67">
        <v>13.2</v>
      </c>
      <c r="N61" s="67">
        <v>13.2</v>
      </c>
      <c r="O61" s="67">
        <v>13.2</v>
      </c>
      <c r="P61" s="67">
        <v>13.2</v>
      </c>
      <c r="Q61" s="67">
        <v>13.2</v>
      </c>
      <c r="R61" s="67">
        <v>13.2</v>
      </c>
      <c r="S61" s="67">
        <v>10.7</v>
      </c>
      <c r="T61" s="67">
        <v>10.7</v>
      </c>
      <c r="U61" s="67">
        <v>10.7</v>
      </c>
      <c r="V61" s="67">
        <v>10.7</v>
      </c>
      <c r="W61" s="67">
        <v>10.7</v>
      </c>
      <c r="X61" s="67">
        <v>10.7</v>
      </c>
      <c r="Y61" s="67">
        <v>20.100000000000001</v>
      </c>
      <c r="Z61" s="67">
        <v>20.100000000000001</v>
      </c>
      <c r="AA61" s="67">
        <v>20.100000000000001</v>
      </c>
      <c r="AB61" s="67">
        <v>12.7</v>
      </c>
      <c r="AC61" s="67">
        <v>12.7</v>
      </c>
      <c r="AD61" s="67">
        <v>12.7</v>
      </c>
      <c r="AE61" s="67">
        <v>12.7</v>
      </c>
      <c r="AF61" s="67">
        <v>12.7</v>
      </c>
      <c r="AG61" s="68">
        <v>22.1</v>
      </c>
      <c r="AH61" s="47">
        <f t="shared" si="2"/>
        <v>20.100000000000001</v>
      </c>
      <c r="AI61" s="48">
        <f t="shared" si="3"/>
        <v>10.7</v>
      </c>
      <c r="AK61" s="50"/>
    </row>
    <row r="62" spans="1:88" ht="15.75" thickBot="1" x14ac:dyDescent="0.3">
      <c r="A62" s="69" t="s">
        <v>62</v>
      </c>
      <c r="B62" s="60">
        <f t="shared" ref="B62:AG62" si="7">SUM(B59:B61)</f>
        <v>52.3</v>
      </c>
      <c r="C62" s="60">
        <f t="shared" si="7"/>
        <v>52.3</v>
      </c>
      <c r="D62" s="60">
        <f t="shared" si="7"/>
        <v>52.3</v>
      </c>
      <c r="E62" s="60">
        <f t="shared" si="7"/>
        <v>49.2</v>
      </c>
      <c r="F62" s="60">
        <f t="shared" si="7"/>
        <v>49.2</v>
      </c>
      <c r="G62" s="60">
        <f t="shared" si="7"/>
        <v>49.2</v>
      </c>
      <c r="H62" s="60">
        <f t="shared" si="7"/>
        <v>49.2</v>
      </c>
      <c r="I62" s="60">
        <f t="shared" si="7"/>
        <v>49.3</v>
      </c>
      <c r="J62" s="60">
        <f t="shared" si="7"/>
        <v>64.3</v>
      </c>
      <c r="K62" s="60">
        <f t="shared" si="7"/>
        <v>79.3</v>
      </c>
      <c r="L62" s="60">
        <f t="shared" si="7"/>
        <v>119.2</v>
      </c>
      <c r="M62" s="60">
        <f t="shared" si="7"/>
        <v>429.2</v>
      </c>
      <c r="N62" s="60">
        <f t="shared" si="7"/>
        <v>409.2</v>
      </c>
      <c r="O62" s="60">
        <f t="shared" si="7"/>
        <v>369.2</v>
      </c>
      <c r="P62" s="60">
        <f t="shared" si="7"/>
        <v>329.2</v>
      </c>
      <c r="Q62" s="60">
        <f t="shared" si="7"/>
        <v>69.2</v>
      </c>
      <c r="R62" s="60">
        <f t="shared" si="7"/>
        <v>64.2</v>
      </c>
      <c r="S62" s="60">
        <f t="shared" si="7"/>
        <v>66.7</v>
      </c>
      <c r="T62" s="60">
        <f t="shared" ref="T62" si="8">SUM(T59:T61)</f>
        <v>46.7</v>
      </c>
      <c r="U62" s="60">
        <f t="shared" si="7"/>
        <v>46.7</v>
      </c>
      <c r="V62" s="60">
        <f t="shared" si="7"/>
        <v>46.900000000000006</v>
      </c>
      <c r="W62" s="60">
        <f t="shared" si="7"/>
        <v>237.2</v>
      </c>
      <c r="X62" s="60">
        <f t="shared" si="7"/>
        <v>277.2</v>
      </c>
      <c r="Y62" s="60">
        <f t="shared" si="7"/>
        <v>306.60000000000002</v>
      </c>
      <c r="Z62" s="60">
        <f t="shared" ref="Z62" si="9">SUM(Z59:Z61)</f>
        <v>276.60000000000002</v>
      </c>
      <c r="AA62" s="60">
        <f t="shared" si="7"/>
        <v>326.60000000000002</v>
      </c>
      <c r="AB62" s="60">
        <f t="shared" si="7"/>
        <v>299.2</v>
      </c>
      <c r="AC62" s="60">
        <f t="shared" si="7"/>
        <v>304.2</v>
      </c>
      <c r="AD62" s="60">
        <f t="shared" si="7"/>
        <v>189.2</v>
      </c>
      <c r="AE62" s="60">
        <f t="shared" si="7"/>
        <v>129.19999999999999</v>
      </c>
      <c r="AF62" s="60">
        <f t="shared" si="7"/>
        <v>49.2</v>
      </c>
      <c r="AG62" s="61">
        <f t="shared" si="7"/>
        <v>538.1</v>
      </c>
      <c r="AH62" s="47">
        <f t="shared" si="2"/>
        <v>429.2</v>
      </c>
      <c r="AI62" s="48">
        <f t="shared" si="3"/>
        <v>46.7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49.1</v>
      </c>
      <c r="K63" s="45">
        <v>112.2</v>
      </c>
      <c r="L63" s="45">
        <v>146.19999999999999</v>
      </c>
      <c r="M63" s="45">
        <v>145.5</v>
      </c>
      <c r="N63" s="45">
        <v>145.5</v>
      </c>
      <c r="O63" s="45">
        <v>145.5</v>
      </c>
      <c r="P63" s="45">
        <v>145.5</v>
      </c>
      <c r="Q63" s="45">
        <v>110</v>
      </c>
      <c r="R63" s="45">
        <v>104</v>
      </c>
      <c r="S63" s="45">
        <v>70.900000000000006</v>
      </c>
      <c r="T63" s="45">
        <v>61</v>
      </c>
      <c r="U63" s="45">
        <v>60.9</v>
      </c>
      <c r="V63" s="45">
        <v>102.8</v>
      </c>
      <c r="W63" s="45">
        <v>102.4</v>
      </c>
      <c r="X63" s="45">
        <v>136.69999999999999</v>
      </c>
      <c r="Y63" s="45">
        <v>122.5</v>
      </c>
      <c r="Z63" s="45">
        <v>100</v>
      </c>
      <c r="AA63" s="45">
        <v>91.1</v>
      </c>
      <c r="AB63" s="45">
        <v>91.4</v>
      </c>
      <c r="AC63" s="45">
        <v>98</v>
      </c>
      <c r="AD63" s="45">
        <v>80</v>
      </c>
      <c r="AE63" s="45">
        <v>0</v>
      </c>
      <c r="AF63" s="45">
        <v>0</v>
      </c>
      <c r="AG63" s="52">
        <v>144</v>
      </c>
      <c r="AH63" s="47">
        <f t="shared" si="2"/>
        <v>146.19999999999999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19.7</v>
      </c>
      <c r="H64" s="65">
        <v>24.7</v>
      </c>
      <c r="I64" s="65">
        <v>45</v>
      </c>
      <c r="J64" s="65">
        <v>70.3</v>
      </c>
      <c r="K64" s="65">
        <v>69.599999999999994</v>
      </c>
      <c r="L64" s="65">
        <v>69.8</v>
      </c>
      <c r="M64" s="65">
        <v>69.2</v>
      </c>
      <c r="N64" s="65">
        <v>69.2</v>
      </c>
      <c r="O64" s="65">
        <v>69.2</v>
      </c>
      <c r="P64" s="65">
        <v>69.2</v>
      </c>
      <c r="Q64" s="65">
        <v>36</v>
      </c>
      <c r="R64" s="65">
        <v>25.7</v>
      </c>
      <c r="S64" s="45">
        <v>23.8</v>
      </c>
      <c r="T64" s="45">
        <v>24</v>
      </c>
      <c r="U64" s="45">
        <v>35.700000000000003</v>
      </c>
      <c r="V64" s="45">
        <v>60.3</v>
      </c>
      <c r="W64" s="45">
        <v>61.1</v>
      </c>
      <c r="X64" s="45">
        <v>70</v>
      </c>
      <c r="Y64" s="45">
        <v>70</v>
      </c>
      <c r="Z64" s="45">
        <v>70</v>
      </c>
      <c r="AA64" s="45">
        <v>69.400000000000006</v>
      </c>
      <c r="AB64" s="45">
        <v>69</v>
      </c>
      <c r="AC64" s="45">
        <v>65</v>
      </c>
      <c r="AD64" s="45">
        <v>20</v>
      </c>
      <c r="AE64" s="45">
        <v>0</v>
      </c>
      <c r="AF64" s="45">
        <v>0</v>
      </c>
      <c r="AG64" s="55">
        <v>70</v>
      </c>
      <c r="AH64" s="47">
        <f t="shared" si="2"/>
        <v>70.3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23</v>
      </c>
      <c r="D65" s="65">
        <v>17</v>
      </c>
      <c r="E65" s="65">
        <v>45.9</v>
      </c>
      <c r="F65" s="65">
        <v>36</v>
      </c>
      <c r="G65" s="65">
        <v>16.3</v>
      </c>
      <c r="H65" s="65">
        <v>15.5</v>
      </c>
      <c r="I65" s="65">
        <v>15.5</v>
      </c>
      <c r="J65" s="65">
        <v>41.6</v>
      </c>
      <c r="K65" s="65">
        <v>51</v>
      </c>
      <c r="L65" s="65">
        <v>68.7</v>
      </c>
      <c r="M65" s="65">
        <v>68.5</v>
      </c>
      <c r="N65" s="65">
        <v>68.5</v>
      </c>
      <c r="O65" s="65">
        <v>68.5</v>
      </c>
      <c r="P65" s="65">
        <v>68.5</v>
      </c>
      <c r="Q65" s="65">
        <v>42</v>
      </c>
      <c r="R65" s="65">
        <v>41.2</v>
      </c>
      <c r="S65" s="45">
        <v>41.2</v>
      </c>
      <c r="T65" s="45">
        <v>35</v>
      </c>
      <c r="U65" s="45">
        <v>64.7</v>
      </c>
      <c r="V65" s="45">
        <v>61.1</v>
      </c>
      <c r="W65" s="45">
        <v>67.900000000000006</v>
      </c>
      <c r="X65" s="45">
        <v>67.7</v>
      </c>
      <c r="Y65" s="45">
        <v>67.099999999999994</v>
      </c>
      <c r="Z65" s="45">
        <v>67.3</v>
      </c>
      <c r="AA65" s="45">
        <v>67.599999999999994</v>
      </c>
      <c r="AB65" s="45">
        <v>58.9</v>
      </c>
      <c r="AC65" s="45">
        <v>67</v>
      </c>
      <c r="AD65" s="45">
        <v>45.8</v>
      </c>
      <c r="AE65" s="45">
        <v>15</v>
      </c>
      <c r="AF65" s="45">
        <v>0</v>
      </c>
      <c r="AG65" s="55">
        <v>69</v>
      </c>
      <c r="AH65" s="47">
        <f t="shared" si="2"/>
        <v>68.7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51.4</v>
      </c>
      <c r="C66" s="65">
        <v>51.4</v>
      </c>
      <c r="D66" s="65">
        <v>51.4</v>
      </c>
      <c r="E66" s="65">
        <v>48.3</v>
      </c>
      <c r="F66" s="65">
        <v>48.3</v>
      </c>
      <c r="G66" s="65">
        <v>52.4</v>
      </c>
      <c r="H66" s="65">
        <v>52.1</v>
      </c>
      <c r="I66" s="65">
        <v>51.9</v>
      </c>
      <c r="J66" s="65">
        <v>50.4</v>
      </c>
      <c r="K66" s="57">
        <v>48.1</v>
      </c>
      <c r="L66" s="57">
        <v>50.4</v>
      </c>
      <c r="M66" s="57">
        <v>52.4</v>
      </c>
      <c r="N66" s="57">
        <v>52.4</v>
      </c>
      <c r="O66" s="57">
        <v>52.4</v>
      </c>
      <c r="P66" s="57">
        <v>52.4</v>
      </c>
      <c r="Q66" s="57">
        <v>52.4</v>
      </c>
      <c r="R66" s="57">
        <v>52.4</v>
      </c>
      <c r="S66" s="45">
        <v>60.7</v>
      </c>
      <c r="T66" s="45">
        <v>53.9</v>
      </c>
      <c r="U66" s="45">
        <v>47.1</v>
      </c>
      <c r="V66" s="45">
        <v>48.1</v>
      </c>
      <c r="W66" s="45">
        <v>46.1</v>
      </c>
      <c r="X66" s="45">
        <v>46.1</v>
      </c>
      <c r="Y66" s="45">
        <v>47.4</v>
      </c>
      <c r="Z66" s="45">
        <v>48.1</v>
      </c>
      <c r="AA66" s="45">
        <v>48.1</v>
      </c>
      <c r="AB66" s="45">
        <v>48.3</v>
      </c>
      <c r="AC66" s="45">
        <v>48.3</v>
      </c>
      <c r="AD66" s="45">
        <v>48.3</v>
      </c>
      <c r="AE66" s="45">
        <v>48.3</v>
      </c>
      <c r="AF66" s="45">
        <v>48.3</v>
      </c>
      <c r="AG66" s="55">
        <v>60</v>
      </c>
      <c r="AH66" s="47">
        <f t="shared" si="2"/>
        <v>60.7</v>
      </c>
      <c r="AI66" s="48">
        <f t="shared" si="3"/>
        <v>46.1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10</v>
      </c>
      <c r="J67" s="65">
        <v>15</v>
      </c>
      <c r="K67" s="57">
        <v>23</v>
      </c>
      <c r="L67" s="57">
        <v>23</v>
      </c>
      <c r="M67" s="57">
        <v>23</v>
      </c>
      <c r="N67" s="57">
        <v>23</v>
      </c>
      <c r="O67" s="57">
        <v>23</v>
      </c>
      <c r="P67" s="57">
        <v>23</v>
      </c>
      <c r="Q67" s="57">
        <v>15</v>
      </c>
      <c r="R67" s="57">
        <v>0</v>
      </c>
      <c r="S67" s="45">
        <v>0</v>
      </c>
      <c r="T67" s="45">
        <v>10</v>
      </c>
      <c r="U67" s="45">
        <v>10</v>
      </c>
      <c r="V67" s="45">
        <v>10</v>
      </c>
      <c r="W67" s="45">
        <v>10</v>
      </c>
      <c r="X67" s="45">
        <v>23</v>
      </c>
      <c r="Y67" s="45">
        <v>23</v>
      </c>
      <c r="Z67" s="45">
        <v>23</v>
      </c>
      <c r="AA67" s="45">
        <v>15</v>
      </c>
      <c r="AB67" s="45">
        <v>15</v>
      </c>
      <c r="AC67" s="45">
        <v>15</v>
      </c>
      <c r="AD67" s="45">
        <v>15</v>
      </c>
      <c r="AE67" s="45">
        <v>0</v>
      </c>
      <c r="AF67" s="45">
        <v>0</v>
      </c>
      <c r="AG67" s="55">
        <v>30</v>
      </c>
      <c r="AH67" s="47">
        <f t="shared" si="2"/>
        <v>23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11.8</v>
      </c>
      <c r="T68" s="45">
        <v>11.8</v>
      </c>
      <c r="U68" s="45">
        <v>2.9</v>
      </c>
      <c r="V68" s="45">
        <v>0.3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11.8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16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9.8000000000000007</v>
      </c>
      <c r="K71" s="65">
        <v>9.8000000000000007</v>
      </c>
      <c r="L71" s="65">
        <v>9.8000000000000007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9.9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4.9000000000000004</v>
      </c>
      <c r="C72" s="65">
        <v>4.9000000000000004</v>
      </c>
      <c r="D72" s="65">
        <v>4.9000000000000004</v>
      </c>
      <c r="E72" s="65">
        <v>4.9000000000000004</v>
      </c>
      <c r="F72" s="65">
        <v>4.9000000000000004</v>
      </c>
      <c r="G72" s="65">
        <v>4.9000000000000004</v>
      </c>
      <c r="H72" s="65">
        <v>4.9000000000000004</v>
      </c>
      <c r="I72" s="65">
        <v>4.9000000000000004</v>
      </c>
      <c r="J72" s="65">
        <v>4.9000000000000004</v>
      </c>
      <c r="K72" s="65">
        <v>4.9000000000000004</v>
      </c>
      <c r="L72" s="65">
        <v>4.9000000000000004</v>
      </c>
      <c r="M72" s="65">
        <v>4.9000000000000004</v>
      </c>
      <c r="N72" s="65">
        <v>4.9000000000000004</v>
      </c>
      <c r="O72" s="65">
        <v>4.9000000000000004</v>
      </c>
      <c r="P72" s="65">
        <v>4.9000000000000004</v>
      </c>
      <c r="Q72" s="65">
        <v>4.9000000000000004</v>
      </c>
      <c r="R72" s="65">
        <v>4.9000000000000004</v>
      </c>
      <c r="S72" s="65">
        <v>4.9000000000000004</v>
      </c>
      <c r="T72" s="65">
        <v>4.9000000000000004</v>
      </c>
      <c r="U72" s="65">
        <v>4.9000000000000004</v>
      </c>
      <c r="V72" s="65">
        <v>4.9000000000000004</v>
      </c>
      <c r="W72" s="65">
        <v>4.9000000000000004</v>
      </c>
      <c r="X72" s="65">
        <v>4.9000000000000004</v>
      </c>
      <c r="Y72" s="65">
        <v>4.9000000000000004</v>
      </c>
      <c r="Z72" s="65">
        <v>4.9000000000000004</v>
      </c>
      <c r="AA72" s="65">
        <v>4.9000000000000004</v>
      </c>
      <c r="AB72" s="65">
        <v>4.9000000000000004</v>
      </c>
      <c r="AC72" s="65">
        <v>4.9000000000000004</v>
      </c>
      <c r="AD72" s="65">
        <v>4.9000000000000004</v>
      </c>
      <c r="AE72" s="65">
        <v>4.9000000000000004</v>
      </c>
      <c r="AF72" s="65">
        <v>4.9000000000000004</v>
      </c>
      <c r="AG72" s="55">
        <v>14</v>
      </c>
      <c r="AH72" s="47">
        <f t="shared" si="2"/>
        <v>4.9000000000000004</v>
      </c>
      <c r="AI72" s="48">
        <f t="shared" si="3"/>
        <v>4.9000000000000004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AG250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0">SUM(B63:B75)</f>
        <v>97.140000000000015</v>
      </c>
      <c r="C76" s="60">
        <f t="shared" si="10"/>
        <v>120.14000000000001</v>
      </c>
      <c r="D76" s="60">
        <f t="shared" si="10"/>
        <v>114.14000000000001</v>
      </c>
      <c r="E76" s="60">
        <f t="shared" si="10"/>
        <v>139.93999999999997</v>
      </c>
      <c r="F76" s="60">
        <f t="shared" si="10"/>
        <v>130.04</v>
      </c>
      <c r="G76" s="60">
        <f t="shared" si="10"/>
        <v>134.14000000000001</v>
      </c>
      <c r="H76" s="60">
        <f t="shared" si="10"/>
        <v>138.04</v>
      </c>
      <c r="I76" s="60">
        <f t="shared" si="10"/>
        <v>168.14000000000001</v>
      </c>
      <c r="J76" s="60">
        <f t="shared" si="10"/>
        <v>272.14000000000004</v>
      </c>
      <c r="K76" s="60">
        <f t="shared" si="10"/>
        <v>349.64000000000004</v>
      </c>
      <c r="L76" s="60">
        <f t="shared" si="10"/>
        <v>403.84</v>
      </c>
      <c r="M76" s="60">
        <f t="shared" si="10"/>
        <v>404.34</v>
      </c>
      <c r="N76" s="60">
        <f t="shared" si="10"/>
        <v>404.34</v>
      </c>
      <c r="O76" s="60">
        <f t="shared" si="10"/>
        <v>404.34</v>
      </c>
      <c r="P76" s="60">
        <f t="shared" si="10"/>
        <v>404.34</v>
      </c>
      <c r="Q76" s="60">
        <f t="shared" si="10"/>
        <v>301.14</v>
      </c>
      <c r="R76" s="60">
        <f t="shared" si="10"/>
        <v>269.04000000000002</v>
      </c>
      <c r="S76" s="60">
        <f t="shared" si="10"/>
        <v>255.14000000000004</v>
      </c>
      <c r="T76" s="60">
        <f t="shared" ref="T76" si="11">SUM(T63:T75)</f>
        <v>242.44000000000003</v>
      </c>
      <c r="U76" s="60">
        <f t="shared" si="10"/>
        <v>268.04000000000002</v>
      </c>
      <c r="V76" s="60">
        <f t="shared" si="10"/>
        <v>329.34000000000003</v>
      </c>
      <c r="W76" s="60">
        <f t="shared" si="10"/>
        <v>334.34</v>
      </c>
      <c r="X76" s="60">
        <f t="shared" si="10"/>
        <v>390.34</v>
      </c>
      <c r="Y76" s="60">
        <f t="shared" si="10"/>
        <v>376.84</v>
      </c>
      <c r="Z76" s="60">
        <f t="shared" si="10"/>
        <v>355.24</v>
      </c>
      <c r="AA76" s="60">
        <f t="shared" si="10"/>
        <v>338.03999999999996</v>
      </c>
      <c r="AB76" s="60">
        <f t="shared" si="10"/>
        <v>329.44</v>
      </c>
      <c r="AC76" s="60">
        <f t="shared" si="10"/>
        <v>340.14</v>
      </c>
      <c r="AD76" s="60">
        <f t="shared" si="10"/>
        <v>255.94000000000003</v>
      </c>
      <c r="AE76" s="60">
        <f t="shared" si="10"/>
        <v>110.14000000000001</v>
      </c>
      <c r="AF76" s="60">
        <f t="shared" si="10"/>
        <v>95.140000000000015</v>
      </c>
      <c r="AG76" s="61">
        <f t="shared" si="10"/>
        <v>489.91</v>
      </c>
      <c r="AH76" s="47">
        <f t="shared" si="2"/>
        <v>404.34</v>
      </c>
      <c r="AI76" s="48">
        <f t="shared" si="3"/>
        <v>95.140000000000015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>
        <v>25</v>
      </c>
      <c r="M77" s="45">
        <v>20</v>
      </c>
      <c r="N77" s="45">
        <v>0</v>
      </c>
      <c r="O77" s="45">
        <v>0</v>
      </c>
      <c r="P77" s="45"/>
      <c r="Q77" s="45"/>
      <c r="R77" s="45"/>
      <c r="S77" s="45"/>
      <c r="T77" s="45">
        <v>0</v>
      </c>
      <c r="U77" s="45">
        <v>0</v>
      </c>
      <c r="V77" s="45">
        <v>30.8</v>
      </c>
      <c r="W77" s="45">
        <v>59.5</v>
      </c>
      <c r="X77" s="45">
        <v>59.9</v>
      </c>
      <c r="Y77" s="45">
        <v>59.8</v>
      </c>
      <c r="Z77" s="45">
        <v>59.5</v>
      </c>
      <c r="AA77" s="45">
        <v>33.5</v>
      </c>
      <c r="AB77" s="45">
        <v>14</v>
      </c>
      <c r="AC77" s="45">
        <v>0</v>
      </c>
      <c r="AD77" s="45"/>
      <c r="AE77" s="45"/>
      <c r="AF77" s="45"/>
      <c r="AG77" s="52">
        <v>60</v>
      </c>
      <c r="AH77" s="47">
        <f t="shared" si="2"/>
        <v>59.9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>
        <v>4.9000000000000004</v>
      </c>
      <c r="K78" s="65">
        <v>0</v>
      </c>
      <c r="L78" s="65">
        <v>0</v>
      </c>
      <c r="M78" s="65">
        <v>8.9</v>
      </c>
      <c r="N78" s="65">
        <v>3.2</v>
      </c>
      <c r="O78" s="65">
        <v>0</v>
      </c>
      <c r="P78" s="65"/>
      <c r="Q78" s="65"/>
      <c r="R78" s="65"/>
      <c r="S78" s="65"/>
      <c r="T78" s="65">
        <v>0</v>
      </c>
      <c r="U78" s="65">
        <v>0</v>
      </c>
      <c r="V78" s="65">
        <v>9.4</v>
      </c>
      <c r="W78" s="65">
        <v>21.3</v>
      </c>
      <c r="X78" s="65">
        <v>27.1</v>
      </c>
      <c r="Y78" s="65">
        <v>28.2</v>
      </c>
      <c r="Z78" s="65">
        <v>27.8</v>
      </c>
      <c r="AA78" s="65">
        <v>15.5</v>
      </c>
      <c r="AB78" s="65">
        <v>6.2</v>
      </c>
      <c r="AC78" s="65">
        <v>0</v>
      </c>
      <c r="AD78" s="65"/>
      <c r="AE78" s="65"/>
      <c r="AF78" s="65"/>
      <c r="AG78" s="55">
        <v>32</v>
      </c>
      <c r="AH78" s="47">
        <f t="shared" si="2"/>
        <v>28.2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>
        <v>0</v>
      </c>
      <c r="M79" s="67">
        <v>3.2</v>
      </c>
      <c r="N79" s="67">
        <v>1.2</v>
      </c>
      <c r="O79" s="67">
        <v>0</v>
      </c>
      <c r="P79" s="67"/>
      <c r="Q79" s="67"/>
      <c r="R79" s="67"/>
      <c r="S79" s="67"/>
      <c r="T79" s="67">
        <v>0</v>
      </c>
      <c r="U79" s="67">
        <v>0</v>
      </c>
      <c r="V79" s="67">
        <v>3.4</v>
      </c>
      <c r="W79" s="67">
        <v>7.8</v>
      </c>
      <c r="X79" s="67">
        <v>9.9</v>
      </c>
      <c r="Y79" s="67">
        <v>10.4</v>
      </c>
      <c r="Z79" s="67">
        <v>10.199999999999999</v>
      </c>
      <c r="AA79" s="67">
        <v>5.7</v>
      </c>
      <c r="AB79" s="67">
        <v>4</v>
      </c>
      <c r="AC79" s="67">
        <v>0</v>
      </c>
      <c r="AD79" s="67"/>
      <c r="AE79" s="67"/>
      <c r="AF79" s="67"/>
      <c r="AG79" s="68">
        <v>14</v>
      </c>
      <c r="AH79" s="47">
        <f t="shared" si="2"/>
        <v>10.4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12">B77+B78+B79</f>
        <v>0</v>
      </c>
      <c r="C80" s="60">
        <f t="shared" si="12"/>
        <v>0</v>
      </c>
      <c r="D80" s="60">
        <f t="shared" si="12"/>
        <v>0</v>
      </c>
      <c r="E80" s="60">
        <f t="shared" si="12"/>
        <v>0</v>
      </c>
      <c r="F80" s="60">
        <f t="shared" si="12"/>
        <v>0</v>
      </c>
      <c r="G80" s="60">
        <f t="shared" si="12"/>
        <v>0</v>
      </c>
      <c r="H80" s="60">
        <f t="shared" si="12"/>
        <v>0</v>
      </c>
      <c r="I80" s="60">
        <f t="shared" si="12"/>
        <v>0</v>
      </c>
      <c r="J80" s="60">
        <f t="shared" si="12"/>
        <v>4.9000000000000004</v>
      </c>
      <c r="K80" s="60">
        <f t="shared" si="12"/>
        <v>0</v>
      </c>
      <c r="L80" s="60">
        <f t="shared" si="12"/>
        <v>25</v>
      </c>
      <c r="M80" s="60">
        <f t="shared" si="12"/>
        <v>32.1</v>
      </c>
      <c r="N80" s="60">
        <f t="shared" si="12"/>
        <v>4.4000000000000004</v>
      </c>
      <c r="O80" s="60">
        <f t="shared" si="12"/>
        <v>0</v>
      </c>
      <c r="P80" s="60">
        <f t="shared" si="12"/>
        <v>0</v>
      </c>
      <c r="Q80" s="60">
        <f t="shared" si="12"/>
        <v>0</v>
      </c>
      <c r="R80" s="60">
        <f t="shared" si="12"/>
        <v>0</v>
      </c>
      <c r="S80" s="60">
        <f t="shared" si="12"/>
        <v>0</v>
      </c>
      <c r="T80" s="60">
        <f t="shared" ref="T80" si="13">T77+T78+T79</f>
        <v>0</v>
      </c>
      <c r="U80" s="60">
        <f t="shared" si="12"/>
        <v>0</v>
      </c>
      <c r="V80" s="60">
        <f t="shared" si="12"/>
        <v>43.6</v>
      </c>
      <c r="W80" s="60">
        <f t="shared" si="12"/>
        <v>88.6</v>
      </c>
      <c r="X80" s="60">
        <f t="shared" si="12"/>
        <v>96.9</v>
      </c>
      <c r="Y80" s="60">
        <f t="shared" si="12"/>
        <v>98.4</v>
      </c>
      <c r="Z80" s="60">
        <f t="shared" si="12"/>
        <v>97.5</v>
      </c>
      <c r="AA80" s="60">
        <f t="shared" si="12"/>
        <v>54.7</v>
      </c>
      <c r="AB80" s="60">
        <f t="shared" si="12"/>
        <v>24.2</v>
      </c>
      <c r="AC80" s="60">
        <f t="shared" si="12"/>
        <v>0</v>
      </c>
      <c r="AD80" s="60">
        <f t="shared" si="12"/>
        <v>0</v>
      </c>
      <c r="AE80" s="60">
        <f t="shared" si="12"/>
        <v>0</v>
      </c>
      <c r="AF80" s="60">
        <f t="shared" si="12"/>
        <v>0</v>
      </c>
      <c r="AG80" s="61">
        <f>SUM(AG77:AG79)</f>
        <v>106</v>
      </c>
      <c r="AH80" s="47">
        <f t="shared" si="2"/>
        <v>98.4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43</v>
      </c>
      <c r="C81" s="45">
        <v>41.2</v>
      </c>
      <c r="D81" s="45">
        <v>29.1</v>
      </c>
      <c r="E81" s="45">
        <v>43.1</v>
      </c>
      <c r="F81" s="45">
        <v>42.7</v>
      </c>
      <c r="G81" s="45">
        <v>47</v>
      </c>
      <c r="H81" s="45">
        <v>39.6</v>
      </c>
      <c r="I81" s="45">
        <v>55.2</v>
      </c>
      <c r="J81" s="45">
        <v>69.400000000000006</v>
      </c>
      <c r="K81" s="45">
        <v>57</v>
      </c>
      <c r="L81" s="45">
        <v>59.5</v>
      </c>
      <c r="M81" s="45">
        <v>64.599999999999994</v>
      </c>
      <c r="N81" s="45">
        <v>44.2</v>
      </c>
      <c r="O81" s="45">
        <v>61.8</v>
      </c>
      <c r="P81" s="45">
        <v>57</v>
      </c>
      <c r="Q81" s="45">
        <v>57</v>
      </c>
      <c r="R81" s="45">
        <v>57</v>
      </c>
      <c r="S81" s="45">
        <v>70</v>
      </c>
      <c r="T81" s="45">
        <v>70</v>
      </c>
      <c r="U81" s="45">
        <v>68.7</v>
      </c>
      <c r="V81" s="45">
        <v>68</v>
      </c>
      <c r="W81" s="45">
        <v>59</v>
      </c>
      <c r="X81" s="45">
        <v>65.900000000000006</v>
      </c>
      <c r="Y81" s="45">
        <v>62.3</v>
      </c>
      <c r="Z81" s="45">
        <v>59.63</v>
      </c>
      <c r="AA81" s="45">
        <v>66.400000000000006</v>
      </c>
      <c r="AB81" s="45">
        <v>60.5</v>
      </c>
      <c r="AC81" s="45">
        <v>57.4</v>
      </c>
      <c r="AD81" s="45">
        <v>56.1</v>
      </c>
      <c r="AE81" s="45">
        <v>65</v>
      </c>
      <c r="AF81" s="45">
        <v>41</v>
      </c>
      <c r="AG81" s="52"/>
      <c r="AH81" s="47">
        <f t="shared" si="2"/>
        <v>70</v>
      </c>
      <c r="AI81" s="48">
        <f t="shared" si="3"/>
        <v>29.1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178</v>
      </c>
      <c r="C83" s="65">
        <v>136</v>
      </c>
      <c r="D83" s="65">
        <v>124</v>
      </c>
      <c r="E83" s="65">
        <v>89</v>
      </c>
      <c r="F83" s="65">
        <v>105.3</v>
      </c>
      <c r="G83" s="65">
        <v>185</v>
      </c>
      <c r="H83" s="65">
        <v>279</v>
      </c>
      <c r="I83" s="65">
        <v>310</v>
      </c>
      <c r="J83" s="65">
        <v>342</v>
      </c>
      <c r="K83" s="65">
        <v>395</v>
      </c>
      <c r="L83" s="65">
        <v>378</v>
      </c>
      <c r="M83" s="65">
        <v>118</v>
      </c>
      <c r="N83" s="65">
        <v>103</v>
      </c>
      <c r="O83" s="65">
        <v>133.80000000000001</v>
      </c>
      <c r="P83" s="65">
        <v>250</v>
      </c>
      <c r="Q83" s="65">
        <v>336</v>
      </c>
      <c r="R83" s="65">
        <v>350</v>
      </c>
      <c r="S83" s="65">
        <v>385.4</v>
      </c>
      <c r="T83" s="65">
        <v>410</v>
      </c>
      <c r="U83" s="65">
        <v>408.2</v>
      </c>
      <c r="V83" s="65">
        <v>219</v>
      </c>
      <c r="W83" s="65">
        <v>200</v>
      </c>
      <c r="X83" s="65">
        <v>198.9</v>
      </c>
      <c r="Y83" s="65">
        <v>192.3</v>
      </c>
      <c r="Z83" s="65">
        <v>202</v>
      </c>
      <c r="AA83" s="65">
        <v>159</v>
      </c>
      <c r="AB83" s="65">
        <v>158</v>
      </c>
      <c r="AC83" s="65">
        <v>161</v>
      </c>
      <c r="AD83" s="65">
        <v>251</v>
      </c>
      <c r="AE83" s="65">
        <v>269</v>
      </c>
      <c r="AF83" s="65">
        <v>285</v>
      </c>
      <c r="AG83" s="75"/>
      <c r="AH83" s="47">
        <f t="shared" si="2"/>
        <v>410</v>
      </c>
      <c r="AI83" s="48">
        <f t="shared" si="3"/>
        <v>89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 t="s">
        <v>258</v>
      </c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14">MAX(B85:AF85)</f>
        <v>0</v>
      </c>
      <c r="AI85" s="48">
        <f t="shared" ref="AI85:AI130" si="15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14"/>
        <v>0</v>
      </c>
      <c r="AI86" s="48">
        <f t="shared" si="15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14"/>
        <v>0</v>
      </c>
      <c r="AI87" s="48">
        <f t="shared" si="15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14"/>
        <v>0</v>
      </c>
      <c r="AI88" s="48">
        <f t="shared" si="15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14"/>
        <v>0</v>
      </c>
      <c r="AI89" s="48">
        <f t="shared" si="15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14"/>
        <v>0</v>
      </c>
      <c r="AI90" s="48">
        <f t="shared" si="15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14"/>
        <v>0</v>
      </c>
      <c r="AI91" s="48">
        <f t="shared" si="15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16">SUMIF(B81:B91,"&gt;0")</f>
        <v>221</v>
      </c>
      <c r="C92" s="60">
        <f t="shared" si="16"/>
        <v>177.2</v>
      </c>
      <c r="D92" s="60">
        <f t="shared" si="16"/>
        <v>153.1</v>
      </c>
      <c r="E92" s="60">
        <f t="shared" si="16"/>
        <v>132.1</v>
      </c>
      <c r="F92" s="60">
        <f t="shared" si="16"/>
        <v>148</v>
      </c>
      <c r="G92" s="60">
        <f t="shared" si="16"/>
        <v>232</v>
      </c>
      <c r="H92" s="60">
        <f t="shared" si="16"/>
        <v>318.60000000000002</v>
      </c>
      <c r="I92" s="60">
        <f t="shared" si="16"/>
        <v>365.2</v>
      </c>
      <c r="J92" s="60">
        <f t="shared" si="16"/>
        <v>411.4</v>
      </c>
      <c r="K92" s="60">
        <f t="shared" si="16"/>
        <v>452</v>
      </c>
      <c r="L92" s="60">
        <f t="shared" si="16"/>
        <v>437.5</v>
      </c>
      <c r="M92" s="60">
        <f t="shared" si="16"/>
        <v>182.6</v>
      </c>
      <c r="N92" s="60">
        <f t="shared" si="16"/>
        <v>147.19999999999999</v>
      </c>
      <c r="O92" s="60">
        <f t="shared" si="16"/>
        <v>195.60000000000002</v>
      </c>
      <c r="P92" s="60">
        <f t="shared" si="16"/>
        <v>307</v>
      </c>
      <c r="Q92" s="60">
        <f t="shared" si="16"/>
        <v>393</v>
      </c>
      <c r="R92" s="60">
        <f t="shared" si="16"/>
        <v>407</v>
      </c>
      <c r="S92" s="60">
        <f t="shared" si="16"/>
        <v>455.4</v>
      </c>
      <c r="T92" s="60">
        <f t="shared" ref="T92" si="17">SUMIF(T81:T91,"&gt;0")</f>
        <v>480</v>
      </c>
      <c r="U92" s="60">
        <f t="shared" si="16"/>
        <v>476.9</v>
      </c>
      <c r="V92" s="60">
        <f t="shared" si="16"/>
        <v>287</v>
      </c>
      <c r="W92" s="60">
        <f t="shared" si="16"/>
        <v>259</v>
      </c>
      <c r="X92" s="60">
        <f t="shared" si="16"/>
        <v>264.8</v>
      </c>
      <c r="Y92" s="60">
        <f t="shared" si="16"/>
        <v>254.60000000000002</v>
      </c>
      <c r="Z92" s="60">
        <f t="shared" si="16"/>
        <v>261.63</v>
      </c>
      <c r="AA92" s="60">
        <f t="shared" si="16"/>
        <v>225.4</v>
      </c>
      <c r="AB92" s="60">
        <f t="shared" si="16"/>
        <v>218.5</v>
      </c>
      <c r="AC92" s="60">
        <f t="shared" si="16"/>
        <v>218.4</v>
      </c>
      <c r="AD92" s="60">
        <f t="shared" si="16"/>
        <v>307.10000000000002</v>
      </c>
      <c r="AE92" s="60">
        <f t="shared" si="16"/>
        <v>334</v>
      </c>
      <c r="AF92" s="60">
        <f t="shared" si="16"/>
        <v>326</v>
      </c>
      <c r="AG92" s="88">
        <f>SUM(AG81:AG91)</f>
        <v>0</v>
      </c>
      <c r="AH92" s="47">
        <f t="shared" si="14"/>
        <v>480</v>
      </c>
      <c r="AI92" s="48">
        <f t="shared" si="15"/>
        <v>132.1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14"/>
        <v>0</v>
      </c>
      <c r="AI93" s="48">
        <f t="shared" si="15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14"/>
        <v>0</v>
      </c>
      <c r="AI94" s="48">
        <f t="shared" si="15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14"/>
        <v>0</v>
      </c>
      <c r="AI95" s="48">
        <f t="shared" si="15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14"/>
        <v>0</v>
      </c>
      <c r="AI96" s="48">
        <f t="shared" si="15"/>
        <v>0</v>
      </c>
    </row>
    <row r="97" spans="1:37" ht="15.75" thickBot="1" x14ac:dyDescent="0.3">
      <c r="A97" s="74" t="s">
        <v>100</v>
      </c>
      <c r="B97" s="95">
        <f t="shared" ref="B97:AG97" si="18">B58+B62+B80+B76+B92+B96</f>
        <v>957.64</v>
      </c>
      <c r="C97" s="95">
        <f t="shared" si="18"/>
        <v>936.83999999999992</v>
      </c>
      <c r="D97" s="95">
        <f t="shared" si="18"/>
        <v>906.74</v>
      </c>
      <c r="E97" s="95">
        <f t="shared" si="18"/>
        <v>924.84</v>
      </c>
      <c r="F97" s="95">
        <f t="shared" si="18"/>
        <v>931.74</v>
      </c>
      <c r="G97" s="95">
        <f t="shared" si="18"/>
        <v>1016.84</v>
      </c>
      <c r="H97" s="95">
        <f t="shared" si="18"/>
        <v>1107.3400000000001</v>
      </c>
      <c r="I97" s="95">
        <f t="shared" si="18"/>
        <v>1185.04</v>
      </c>
      <c r="J97" s="95">
        <f t="shared" si="18"/>
        <v>1355.7399999999998</v>
      </c>
      <c r="K97" s="95">
        <f t="shared" si="18"/>
        <v>1483.94</v>
      </c>
      <c r="L97" s="95">
        <f t="shared" si="18"/>
        <v>1589.44</v>
      </c>
      <c r="M97" s="95">
        <f t="shared" si="18"/>
        <v>1651.1399999999996</v>
      </c>
      <c r="N97" s="95">
        <f t="shared" si="18"/>
        <v>1568.04</v>
      </c>
      <c r="O97" s="95">
        <f t="shared" si="18"/>
        <v>1572.04</v>
      </c>
      <c r="P97" s="95">
        <f t="shared" si="18"/>
        <v>1643.4399999999998</v>
      </c>
      <c r="Q97" s="95">
        <f t="shared" si="18"/>
        <v>1366.24</v>
      </c>
      <c r="R97" s="95">
        <f t="shared" si="18"/>
        <v>1342.94</v>
      </c>
      <c r="S97" s="95">
        <f t="shared" si="18"/>
        <v>1379.94</v>
      </c>
      <c r="T97" s="95">
        <f t="shared" ref="T97" si="19">T58+T62+T80+T76+T92+T96</f>
        <v>1371.8400000000001</v>
      </c>
      <c r="U97" s="95">
        <f t="shared" si="18"/>
        <v>1394.3400000000001</v>
      </c>
      <c r="V97" s="95">
        <f t="shared" si="18"/>
        <v>1311.24</v>
      </c>
      <c r="W97" s="95">
        <f t="shared" si="18"/>
        <v>1523.54</v>
      </c>
      <c r="X97" s="95">
        <f t="shared" si="18"/>
        <v>1633.6399999999999</v>
      </c>
      <c r="Y97" s="95">
        <f t="shared" si="18"/>
        <v>1640.8400000000001</v>
      </c>
      <c r="Z97" s="95">
        <f t="shared" si="18"/>
        <v>1595.37</v>
      </c>
      <c r="AA97" s="95">
        <f t="shared" si="18"/>
        <v>1543.7400000000002</v>
      </c>
      <c r="AB97" s="95">
        <f t="shared" si="18"/>
        <v>1470.3400000000001</v>
      </c>
      <c r="AC97" s="95">
        <f t="shared" si="18"/>
        <v>1461.7400000000002</v>
      </c>
      <c r="AD97" s="95">
        <f t="shared" si="18"/>
        <v>1351.2400000000002</v>
      </c>
      <c r="AE97" s="95">
        <f t="shared" si="18"/>
        <v>1172.3400000000001</v>
      </c>
      <c r="AF97" s="95">
        <f t="shared" si="18"/>
        <v>1069.3400000000001</v>
      </c>
      <c r="AG97" s="61">
        <f t="shared" si="18"/>
        <v>2231.81</v>
      </c>
      <c r="AH97" s="47">
        <f t="shared" si="14"/>
        <v>1651.1399999999996</v>
      </c>
      <c r="AI97" s="48">
        <f t="shared" si="15"/>
        <v>906.74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40</v>
      </c>
      <c r="M98" s="97">
        <v>80</v>
      </c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>
        <v>80</v>
      </c>
      <c r="Y98" s="97">
        <v>80</v>
      </c>
      <c r="Z98" s="97">
        <v>80</v>
      </c>
      <c r="AA98" s="97">
        <v>80</v>
      </c>
      <c r="AB98" s="97">
        <v>80</v>
      </c>
      <c r="AC98" s="97">
        <v>0</v>
      </c>
      <c r="AD98" s="97"/>
      <c r="AE98" s="97"/>
      <c r="AF98" s="97"/>
      <c r="AG98" s="88"/>
      <c r="AH98" s="47">
        <f t="shared" si="14"/>
        <v>80</v>
      </c>
      <c r="AI98" s="48">
        <f t="shared" si="15"/>
        <v>0</v>
      </c>
    </row>
    <row r="99" spans="1:37" ht="15.75" thickBot="1" x14ac:dyDescent="0.3">
      <c r="A99" s="74" t="s">
        <v>102</v>
      </c>
      <c r="B99" s="95">
        <f t="shared" ref="B99:AF99" si="20">B97+B98</f>
        <v>957.64</v>
      </c>
      <c r="C99" s="95">
        <f t="shared" si="20"/>
        <v>936.83999999999992</v>
      </c>
      <c r="D99" s="95">
        <f t="shared" si="20"/>
        <v>906.74</v>
      </c>
      <c r="E99" s="95">
        <f t="shared" si="20"/>
        <v>924.84</v>
      </c>
      <c r="F99" s="95">
        <f t="shared" si="20"/>
        <v>931.74</v>
      </c>
      <c r="G99" s="95">
        <f t="shared" si="20"/>
        <v>1016.84</v>
      </c>
      <c r="H99" s="95">
        <f t="shared" si="20"/>
        <v>1107.3400000000001</v>
      </c>
      <c r="I99" s="95">
        <f t="shared" si="20"/>
        <v>1185.04</v>
      </c>
      <c r="J99" s="95">
        <f t="shared" si="20"/>
        <v>1355.7399999999998</v>
      </c>
      <c r="K99" s="95">
        <f t="shared" si="20"/>
        <v>1483.94</v>
      </c>
      <c r="L99" s="95">
        <f t="shared" si="20"/>
        <v>1629.44</v>
      </c>
      <c r="M99" s="95">
        <f t="shared" si="20"/>
        <v>1731.1399999999996</v>
      </c>
      <c r="N99" s="95">
        <f t="shared" si="20"/>
        <v>1568.04</v>
      </c>
      <c r="O99" s="95">
        <f t="shared" si="20"/>
        <v>1572.04</v>
      </c>
      <c r="P99" s="95">
        <f t="shared" si="20"/>
        <v>1643.4399999999998</v>
      </c>
      <c r="Q99" s="95">
        <f t="shared" si="20"/>
        <v>1366.24</v>
      </c>
      <c r="R99" s="95">
        <f t="shared" si="20"/>
        <v>1342.94</v>
      </c>
      <c r="S99" s="95">
        <f t="shared" si="20"/>
        <v>1379.94</v>
      </c>
      <c r="T99" s="95">
        <f t="shared" ref="T99" si="21">T97+T98</f>
        <v>1371.8400000000001</v>
      </c>
      <c r="U99" s="95">
        <f t="shared" si="20"/>
        <v>1394.3400000000001</v>
      </c>
      <c r="V99" s="95">
        <f t="shared" si="20"/>
        <v>1311.24</v>
      </c>
      <c r="W99" s="95">
        <f t="shared" si="20"/>
        <v>1523.54</v>
      </c>
      <c r="X99" s="95">
        <f t="shared" si="20"/>
        <v>1713.6399999999999</v>
      </c>
      <c r="Y99" s="95">
        <f t="shared" si="20"/>
        <v>1720.8400000000001</v>
      </c>
      <c r="Z99" s="95">
        <f t="shared" si="20"/>
        <v>1675.37</v>
      </c>
      <c r="AA99" s="95">
        <f t="shared" si="20"/>
        <v>1623.7400000000002</v>
      </c>
      <c r="AB99" s="95">
        <f t="shared" si="20"/>
        <v>1550.3400000000001</v>
      </c>
      <c r="AC99" s="95">
        <f t="shared" si="20"/>
        <v>1461.7400000000002</v>
      </c>
      <c r="AD99" s="95">
        <f t="shared" si="20"/>
        <v>1351.2400000000002</v>
      </c>
      <c r="AE99" s="95">
        <f t="shared" si="20"/>
        <v>1172.3400000000001</v>
      </c>
      <c r="AF99" s="95">
        <f t="shared" si="20"/>
        <v>1069.3400000000001</v>
      </c>
      <c r="AG99" s="88">
        <f>AG96+AG92+AG80+AG76+AG58+AG98</f>
        <v>1693.71</v>
      </c>
      <c r="AH99" s="47">
        <f t="shared" si="14"/>
        <v>1731.1399999999996</v>
      </c>
      <c r="AI99" s="48">
        <f t="shared" si="15"/>
        <v>906.74</v>
      </c>
    </row>
    <row r="100" spans="1:37" ht="15.75" thickBot="1" x14ac:dyDescent="0.3">
      <c r="A100" s="74" t="s">
        <v>103</v>
      </c>
      <c r="B100" s="95">
        <f t="shared" ref="B100:M100" si="22">B99-(B107)</f>
        <v>957.64</v>
      </c>
      <c r="C100" s="95">
        <f t="shared" si="22"/>
        <v>936.83999999999992</v>
      </c>
      <c r="D100" s="95">
        <f t="shared" si="22"/>
        <v>906.74</v>
      </c>
      <c r="E100" s="95">
        <f t="shared" si="22"/>
        <v>924.84</v>
      </c>
      <c r="F100" s="95">
        <f t="shared" si="22"/>
        <v>931.74</v>
      </c>
      <c r="G100" s="95">
        <f t="shared" si="22"/>
        <v>1016.84</v>
      </c>
      <c r="H100" s="95">
        <f t="shared" si="22"/>
        <v>1107.3400000000001</v>
      </c>
      <c r="I100" s="95">
        <f t="shared" si="22"/>
        <v>1185.04</v>
      </c>
      <c r="J100" s="95">
        <f t="shared" si="22"/>
        <v>1355.7399999999998</v>
      </c>
      <c r="K100" s="95">
        <f t="shared" si="22"/>
        <v>1483.94</v>
      </c>
      <c r="L100" s="95">
        <f t="shared" si="22"/>
        <v>1629.44</v>
      </c>
      <c r="M100" s="95">
        <f t="shared" si="22"/>
        <v>1731.1399999999996</v>
      </c>
      <c r="N100" s="95">
        <f>N99-(N107)</f>
        <v>1568.04</v>
      </c>
      <c r="O100" s="95">
        <f t="shared" ref="O100:AF100" si="23">O99-(O107)</f>
        <v>1572.04</v>
      </c>
      <c r="P100" s="95">
        <f t="shared" si="23"/>
        <v>1643.4399999999998</v>
      </c>
      <c r="Q100" s="95">
        <f t="shared" si="23"/>
        <v>1366.24</v>
      </c>
      <c r="R100" s="95">
        <f t="shared" si="23"/>
        <v>1342.94</v>
      </c>
      <c r="S100" s="95">
        <f t="shared" si="23"/>
        <v>1379.94</v>
      </c>
      <c r="T100" s="95">
        <f t="shared" ref="T100" si="24">T99-(T107)</f>
        <v>1370.8400000000001</v>
      </c>
      <c r="U100" s="95">
        <f t="shared" si="23"/>
        <v>1394.3400000000001</v>
      </c>
      <c r="V100" s="95">
        <f t="shared" si="23"/>
        <v>1311.24</v>
      </c>
      <c r="W100" s="95">
        <f t="shared" si="23"/>
        <v>1523.54</v>
      </c>
      <c r="X100" s="95">
        <f t="shared" si="23"/>
        <v>1713.6399999999999</v>
      </c>
      <c r="Y100" s="95">
        <f t="shared" si="23"/>
        <v>1720.8400000000001</v>
      </c>
      <c r="Z100" s="95">
        <f t="shared" si="23"/>
        <v>1675.37</v>
      </c>
      <c r="AA100" s="95">
        <f t="shared" si="23"/>
        <v>1623.7400000000002</v>
      </c>
      <c r="AB100" s="95">
        <f t="shared" si="23"/>
        <v>1550.3400000000001</v>
      </c>
      <c r="AC100" s="95">
        <f t="shared" si="23"/>
        <v>1461.7400000000002</v>
      </c>
      <c r="AD100" s="95">
        <f t="shared" si="23"/>
        <v>1351.2400000000002</v>
      </c>
      <c r="AE100" s="95">
        <f t="shared" si="23"/>
        <v>1172.3400000000001</v>
      </c>
      <c r="AF100" s="95">
        <f t="shared" si="23"/>
        <v>1069.3400000000001</v>
      </c>
      <c r="AG100" s="88"/>
      <c r="AH100" s="47">
        <f t="shared" si="14"/>
        <v>1731.1399999999996</v>
      </c>
      <c r="AI100" s="48">
        <f t="shared" si="15"/>
        <v>906.74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25">IF(C84&lt;0,C84*-1,0)</f>
        <v>0</v>
      </c>
      <c r="D101" s="76">
        <f t="shared" si="25"/>
        <v>0</v>
      </c>
      <c r="E101" s="76">
        <f t="shared" si="25"/>
        <v>0</v>
      </c>
      <c r="F101" s="76">
        <f t="shared" si="25"/>
        <v>0</v>
      </c>
      <c r="G101" s="76">
        <f t="shared" si="25"/>
        <v>0</v>
      </c>
      <c r="H101" s="76">
        <f t="shared" si="25"/>
        <v>0</v>
      </c>
      <c r="I101" s="76">
        <f t="shared" si="25"/>
        <v>0</v>
      </c>
      <c r="J101" s="76">
        <f t="shared" si="25"/>
        <v>0</v>
      </c>
      <c r="K101" s="76">
        <f t="shared" si="25"/>
        <v>0</v>
      </c>
      <c r="L101" s="76">
        <f t="shared" si="25"/>
        <v>0</v>
      </c>
      <c r="M101" s="76">
        <f t="shared" si="25"/>
        <v>0</v>
      </c>
      <c r="N101" s="76">
        <f t="shared" si="25"/>
        <v>0</v>
      </c>
      <c r="O101" s="76">
        <f t="shared" si="25"/>
        <v>0</v>
      </c>
      <c r="P101" s="76">
        <f t="shared" si="25"/>
        <v>0</v>
      </c>
      <c r="Q101" s="76">
        <f t="shared" si="25"/>
        <v>0</v>
      </c>
      <c r="R101" s="76">
        <f t="shared" si="25"/>
        <v>0</v>
      </c>
      <c r="S101" s="76">
        <f t="shared" si="25"/>
        <v>0</v>
      </c>
      <c r="T101" s="76">
        <f t="shared" ref="T101" si="26">IF(T84&lt;0,T84*-1,0)</f>
        <v>0</v>
      </c>
      <c r="U101" s="76">
        <f t="shared" si="25"/>
        <v>0</v>
      </c>
      <c r="V101" s="76">
        <f t="shared" si="25"/>
        <v>0</v>
      </c>
      <c r="W101" s="76">
        <f t="shared" si="25"/>
        <v>0</v>
      </c>
      <c r="X101" s="76">
        <f t="shared" si="25"/>
        <v>0</v>
      </c>
      <c r="Y101" s="76">
        <f t="shared" si="25"/>
        <v>0</v>
      </c>
      <c r="Z101" s="76">
        <f t="shared" si="25"/>
        <v>0</v>
      </c>
      <c r="AA101" s="76">
        <f t="shared" si="25"/>
        <v>0</v>
      </c>
      <c r="AB101" s="76">
        <f t="shared" si="25"/>
        <v>0</v>
      </c>
      <c r="AC101" s="76">
        <f t="shared" si="25"/>
        <v>0</v>
      </c>
      <c r="AD101" s="76">
        <f t="shared" si="25"/>
        <v>0</v>
      </c>
      <c r="AE101" s="76">
        <f t="shared" si="25"/>
        <v>0</v>
      </c>
      <c r="AF101" s="76">
        <f t="shared" si="25"/>
        <v>0</v>
      </c>
      <c r="AG101" s="52"/>
      <c r="AH101" s="47">
        <f t="shared" si="14"/>
        <v>0</v>
      </c>
      <c r="AI101" s="48">
        <f t="shared" si="15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27">IF(C82&lt;0,C82*-1,0)</f>
        <v>0</v>
      </c>
      <c r="D102" s="76">
        <f t="shared" si="27"/>
        <v>0</v>
      </c>
      <c r="E102" s="76">
        <f t="shared" si="27"/>
        <v>0</v>
      </c>
      <c r="F102" s="76">
        <f t="shared" si="27"/>
        <v>0</v>
      </c>
      <c r="G102" s="76">
        <f t="shared" si="27"/>
        <v>0</v>
      </c>
      <c r="H102" s="76">
        <f t="shared" si="27"/>
        <v>0</v>
      </c>
      <c r="I102" s="76">
        <f t="shared" si="27"/>
        <v>0</v>
      </c>
      <c r="J102" s="76">
        <f t="shared" si="27"/>
        <v>0</v>
      </c>
      <c r="K102" s="76">
        <f t="shared" si="27"/>
        <v>0</v>
      </c>
      <c r="L102" s="76">
        <f t="shared" si="27"/>
        <v>0</v>
      </c>
      <c r="M102" s="76">
        <f t="shared" si="27"/>
        <v>0</v>
      </c>
      <c r="N102" s="76">
        <f t="shared" si="27"/>
        <v>0</v>
      </c>
      <c r="O102" s="76">
        <f t="shared" si="27"/>
        <v>0</v>
      </c>
      <c r="P102" s="76">
        <f t="shared" si="27"/>
        <v>0</v>
      </c>
      <c r="Q102" s="76">
        <f t="shared" si="27"/>
        <v>0</v>
      </c>
      <c r="R102" s="76">
        <f t="shared" si="27"/>
        <v>0</v>
      </c>
      <c r="S102" s="76">
        <f t="shared" si="27"/>
        <v>0</v>
      </c>
      <c r="T102" s="76">
        <f t="shared" ref="T102" si="28">IF(T82&lt;0,T82*-1,0)</f>
        <v>0</v>
      </c>
      <c r="U102" s="76">
        <f t="shared" si="27"/>
        <v>0</v>
      </c>
      <c r="V102" s="76">
        <f t="shared" si="27"/>
        <v>0</v>
      </c>
      <c r="W102" s="76">
        <f t="shared" si="27"/>
        <v>0</v>
      </c>
      <c r="X102" s="76">
        <f t="shared" si="27"/>
        <v>0</v>
      </c>
      <c r="Y102" s="76">
        <f t="shared" si="27"/>
        <v>0</v>
      </c>
      <c r="Z102" s="76">
        <f t="shared" si="27"/>
        <v>0</v>
      </c>
      <c r="AA102" s="76">
        <f t="shared" si="27"/>
        <v>0</v>
      </c>
      <c r="AB102" s="76">
        <f t="shared" si="27"/>
        <v>0</v>
      </c>
      <c r="AC102" s="76">
        <f t="shared" si="27"/>
        <v>0</v>
      </c>
      <c r="AD102" s="76">
        <f t="shared" si="27"/>
        <v>0</v>
      </c>
      <c r="AE102" s="76">
        <f t="shared" si="27"/>
        <v>0</v>
      </c>
      <c r="AF102" s="76">
        <f t="shared" si="27"/>
        <v>0</v>
      </c>
      <c r="AG102" s="55"/>
      <c r="AH102" s="47">
        <f t="shared" si="14"/>
        <v>0</v>
      </c>
      <c r="AI102" s="48">
        <f t="shared" si="15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29">IF(C85&lt;0,C85*-1,0)</f>
        <v>0</v>
      </c>
      <c r="D103" s="76">
        <f t="shared" si="29"/>
        <v>0</v>
      </c>
      <c r="E103" s="76">
        <f t="shared" si="29"/>
        <v>0</v>
      </c>
      <c r="F103" s="76">
        <f t="shared" si="29"/>
        <v>0</v>
      </c>
      <c r="G103" s="76">
        <f t="shared" si="29"/>
        <v>0</v>
      </c>
      <c r="H103" s="76">
        <f t="shared" si="29"/>
        <v>0</v>
      </c>
      <c r="I103" s="76">
        <f t="shared" si="29"/>
        <v>0</v>
      </c>
      <c r="J103" s="76">
        <f t="shared" si="29"/>
        <v>0</v>
      </c>
      <c r="K103" s="76">
        <f t="shared" si="29"/>
        <v>0</v>
      </c>
      <c r="L103" s="76">
        <f t="shared" si="29"/>
        <v>0</v>
      </c>
      <c r="M103" s="76">
        <f t="shared" si="29"/>
        <v>0</v>
      </c>
      <c r="N103" s="76">
        <f t="shared" si="29"/>
        <v>0</v>
      </c>
      <c r="O103" s="76">
        <f t="shared" si="29"/>
        <v>0</v>
      </c>
      <c r="P103" s="76">
        <f t="shared" si="29"/>
        <v>0</v>
      </c>
      <c r="Q103" s="76">
        <f t="shared" si="29"/>
        <v>0</v>
      </c>
      <c r="R103" s="76">
        <f t="shared" si="29"/>
        <v>0</v>
      </c>
      <c r="S103" s="76">
        <f t="shared" si="29"/>
        <v>0</v>
      </c>
      <c r="T103" s="76">
        <f t="shared" ref="T103" si="30">IF(T85&lt;0,T85*-1,0)</f>
        <v>0</v>
      </c>
      <c r="U103" s="76">
        <f t="shared" si="29"/>
        <v>0</v>
      </c>
      <c r="V103" s="76">
        <f t="shared" si="29"/>
        <v>0</v>
      </c>
      <c r="W103" s="76">
        <f t="shared" si="29"/>
        <v>0</v>
      </c>
      <c r="X103" s="76">
        <f t="shared" si="29"/>
        <v>0</v>
      </c>
      <c r="Y103" s="76">
        <f t="shared" si="29"/>
        <v>0</v>
      </c>
      <c r="Z103" s="76">
        <f t="shared" si="29"/>
        <v>0</v>
      </c>
      <c r="AA103" s="76">
        <f t="shared" si="29"/>
        <v>0</v>
      </c>
      <c r="AB103" s="76">
        <f t="shared" si="29"/>
        <v>0</v>
      </c>
      <c r="AC103" s="76">
        <f t="shared" si="29"/>
        <v>0</v>
      </c>
      <c r="AD103" s="76">
        <f t="shared" si="29"/>
        <v>0</v>
      </c>
      <c r="AE103" s="76">
        <f t="shared" si="29"/>
        <v>0</v>
      </c>
      <c r="AF103" s="76">
        <f t="shared" si="29"/>
        <v>0</v>
      </c>
      <c r="AG103" s="98"/>
      <c r="AH103" s="47">
        <f t="shared" si="14"/>
        <v>0</v>
      </c>
      <c r="AI103" s="48">
        <f t="shared" si="15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31">IF(C83&lt;0,C83*-1,0)</f>
        <v>0</v>
      </c>
      <c r="D104" s="76">
        <f t="shared" si="31"/>
        <v>0</v>
      </c>
      <c r="E104" s="76">
        <f t="shared" si="31"/>
        <v>0</v>
      </c>
      <c r="F104" s="76">
        <f t="shared" si="31"/>
        <v>0</v>
      </c>
      <c r="G104" s="76">
        <f t="shared" si="31"/>
        <v>0</v>
      </c>
      <c r="H104" s="76">
        <f t="shared" si="31"/>
        <v>0</v>
      </c>
      <c r="I104" s="76">
        <f t="shared" si="31"/>
        <v>0</v>
      </c>
      <c r="J104" s="76">
        <f t="shared" si="31"/>
        <v>0</v>
      </c>
      <c r="K104" s="76">
        <f t="shared" si="31"/>
        <v>0</v>
      </c>
      <c r="L104" s="76">
        <f t="shared" si="31"/>
        <v>0</v>
      </c>
      <c r="M104" s="76">
        <f t="shared" si="31"/>
        <v>0</v>
      </c>
      <c r="N104" s="76">
        <f t="shared" si="31"/>
        <v>0</v>
      </c>
      <c r="O104" s="76">
        <f t="shared" si="31"/>
        <v>0</v>
      </c>
      <c r="P104" s="76">
        <f t="shared" si="31"/>
        <v>0</v>
      </c>
      <c r="Q104" s="76">
        <f t="shared" si="31"/>
        <v>0</v>
      </c>
      <c r="R104" s="76">
        <f t="shared" si="31"/>
        <v>0</v>
      </c>
      <c r="S104" s="76">
        <f t="shared" si="31"/>
        <v>0</v>
      </c>
      <c r="T104" s="76">
        <f t="shared" ref="T104" si="32">IF(T83&lt;0,T83*-1,0)</f>
        <v>0</v>
      </c>
      <c r="U104" s="76">
        <f t="shared" si="31"/>
        <v>0</v>
      </c>
      <c r="V104" s="76">
        <f t="shared" si="31"/>
        <v>0</v>
      </c>
      <c r="W104" s="76">
        <f t="shared" si="31"/>
        <v>0</v>
      </c>
      <c r="X104" s="76">
        <f t="shared" si="31"/>
        <v>0</v>
      </c>
      <c r="Y104" s="76">
        <f t="shared" si="31"/>
        <v>0</v>
      </c>
      <c r="Z104" s="76">
        <f t="shared" si="31"/>
        <v>0</v>
      </c>
      <c r="AA104" s="76">
        <f t="shared" si="31"/>
        <v>0</v>
      </c>
      <c r="AB104" s="76">
        <f t="shared" si="31"/>
        <v>0</v>
      </c>
      <c r="AC104" s="76">
        <f t="shared" si="31"/>
        <v>0</v>
      </c>
      <c r="AD104" s="76">
        <f t="shared" si="31"/>
        <v>0</v>
      </c>
      <c r="AE104" s="76">
        <f t="shared" si="31"/>
        <v>0</v>
      </c>
      <c r="AF104" s="76">
        <f t="shared" si="31"/>
        <v>0</v>
      </c>
      <c r="AG104" s="98"/>
      <c r="AH104" s="47">
        <f t="shared" si="14"/>
        <v>0</v>
      </c>
      <c r="AI104" s="48">
        <f t="shared" si="15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33">IF(C81&lt;0,C81*-1,0)</f>
        <v>0</v>
      </c>
      <c r="D105" s="76">
        <f t="shared" si="33"/>
        <v>0</v>
      </c>
      <c r="E105" s="76">
        <f t="shared" si="33"/>
        <v>0</v>
      </c>
      <c r="F105" s="76">
        <f t="shared" si="33"/>
        <v>0</v>
      </c>
      <c r="G105" s="76">
        <f t="shared" si="33"/>
        <v>0</v>
      </c>
      <c r="H105" s="76">
        <f t="shared" si="33"/>
        <v>0</v>
      </c>
      <c r="I105" s="76">
        <f t="shared" si="33"/>
        <v>0</v>
      </c>
      <c r="J105" s="76">
        <f t="shared" si="33"/>
        <v>0</v>
      </c>
      <c r="K105" s="76">
        <f t="shared" si="33"/>
        <v>0</v>
      </c>
      <c r="L105" s="76">
        <f t="shared" si="33"/>
        <v>0</v>
      </c>
      <c r="M105" s="76">
        <f t="shared" si="33"/>
        <v>0</v>
      </c>
      <c r="N105" s="76">
        <f t="shared" si="33"/>
        <v>0</v>
      </c>
      <c r="O105" s="76">
        <f t="shared" si="33"/>
        <v>0</v>
      </c>
      <c r="P105" s="76">
        <f t="shared" si="33"/>
        <v>0</v>
      </c>
      <c r="Q105" s="76">
        <f t="shared" si="33"/>
        <v>0</v>
      </c>
      <c r="R105" s="76">
        <f t="shared" si="33"/>
        <v>0</v>
      </c>
      <c r="S105" s="76">
        <f t="shared" si="33"/>
        <v>0</v>
      </c>
      <c r="T105" s="76">
        <f t="shared" ref="T105" si="34">IF(T81&lt;0,T81*-1,0)</f>
        <v>0</v>
      </c>
      <c r="U105" s="76">
        <f t="shared" si="33"/>
        <v>0</v>
      </c>
      <c r="V105" s="76">
        <f t="shared" si="33"/>
        <v>0</v>
      </c>
      <c r="W105" s="76">
        <f t="shared" si="33"/>
        <v>0</v>
      </c>
      <c r="X105" s="76">
        <f t="shared" si="33"/>
        <v>0</v>
      </c>
      <c r="Y105" s="76">
        <f t="shared" si="33"/>
        <v>0</v>
      </c>
      <c r="Z105" s="76">
        <f t="shared" si="33"/>
        <v>0</v>
      </c>
      <c r="AA105" s="76">
        <f t="shared" si="33"/>
        <v>0</v>
      </c>
      <c r="AB105" s="76">
        <f t="shared" si="33"/>
        <v>0</v>
      </c>
      <c r="AC105" s="76">
        <f t="shared" si="33"/>
        <v>0</v>
      </c>
      <c r="AD105" s="76">
        <f t="shared" si="33"/>
        <v>0</v>
      </c>
      <c r="AE105" s="76">
        <f t="shared" si="33"/>
        <v>0</v>
      </c>
      <c r="AF105" s="76">
        <f t="shared" si="33"/>
        <v>0</v>
      </c>
      <c r="AG105" s="98"/>
      <c r="AH105" s="47">
        <f t="shared" si="14"/>
        <v>0</v>
      </c>
      <c r="AI105" s="48">
        <f t="shared" si="15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1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14"/>
        <v>1</v>
      </c>
      <c r="AI106" s="48">
        <f t="shared" si="15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35">SUM(C101:C106)</f>
        <v>0</v>
      </c>
      <c r="D107" s="60">
        <f t="shared" si="35"/>
        <v>0</v>
      </c>
      <c r="E107" s="60">
        <f t="shared" si="35"/>
        <v>0</v>
      </c>
      <c r="F107" s="60">
        <f t="shared" si="35"/>
        <v>0</v>
      </c>
      <c r="G107" s="60">
        <f t="shared" si="35"/>
        <v>0</v>
      </c>
      <c r="H107" s="60">
        <f t="shared" si="35"/>
        <v>0</v>
      </c>
      <c r="I107" s="60">
        <f t="shared" si="35"/>
        <v>0</v>
      </c>
      <c r="J107" s="60">
        <f t="shared" si="35"/>
        <v>0</v>
      </c>
      <c r="K107" s="60">
        <f t="shared" si="35"/>
        <v>0</v>
      </c>
      <c r="L107" s="60">
        <f t="shared" si="35"/>
        <v>0</v>
      </c>
      <c r="M107" s="60">
        <f t="shared" si="35"/>
        <v>0</v>
      </c>
      <c r="N107" s="60">
        <f t="shared" si="35"/>
        <v>0</v>
      </c>
      <c r="O107" s="60">
        <f t="shared" si="35"/>
        <v>0</v>
      </c>
      <c r="P107" s="60">
        <f t="shared" si="35"/>
        <v>0</v>
      </c>
      <c r="Q107" s="60">
        <f t="shared" si="35"/>
        <v>0</v>
      </c>
      <c r="R107" s="60">
        <f t="shared" si="35"/>
        <v>0</v>
      </c>
      <c r="S107" s="60">
        <f t="shared" si="35"/>
        <v>0</v>
      </c>
      <c r="T107" s="60">
        <f t="shared" ref="T107" si="36">SUM(T101:T106)</f>
        <v>1</v>
      </c>
      <c r="U107" s="60">
        <f t="shared" si="35"/>
        <v>0</v>
      </c>
      <c r="V107" s="60">
        <f t="shared" si="35"/>
        <v>0</v>
      </c>
      <c r="W107" s="60">
        <f t="shared" si="35"/>
        <v>0</v>
      </c>
      <c r="X107" s="60">
        <f t="shared" si="35"/>
        <v>0</v>
      </c>
      <c r="Y107" s="60">
        <f t="shared" si="35"/>
        <v>0</v>
      </c>
      <c r="Z107" s="60">
        <f t="shared" si="35"/>
        <v>0</v>
      </c>
      <c r="AA107" s="60">
        <f t="shared" si="35"/>
        <v>0</v>
      </c>
      <c r="AB107" s="60">
        <f t="shared" si="35"/>
        <v>0</v>
      </c>
      <c r="AC107" s="60">
        <f t="shared" si="35"/>
        <v>0</v>
      </c>
      <c r="AD107" s="60">
        <f t="shared" si="35"/>
        <v>0</v>
      </c>
      <c r="AE107" s="60">
        <f t="shared" si="35"/>
        <v>0</v>
      </c>
      <c r="AF107" s="60">
        <f t="shared" si="35"/>
        <v>0</v>
      </c>
      <c r="AG107" s="88"/>
      <c r="AH107" s="47">
        <f t="shared" si="14"/>
        <v>1</v>
      </c>
      <c r="AI107" s="48">
        <f t="shared" si="15"/>
        <v>0</v>
      </c>
      <c r="AK107" s="50"/>
    </row>
    <row r="108" spans="1:37" ht="15.75" thickBot="1" x14ac:dyDescent="0.3">
      <c r="A108" s="74" t="s">
        <v>108</v>
      </c>
      <c r="B108" s="60">
        <f t="shared" ref="B108:AF108" si="37">B92-B107</f>
        <v>221</v>
      </c>
      <c r="C108" s="60">
        <f t="shared" si="37"/>
        <v>177.2</v>
      </c>
      <c r="D108" s="60">
        <f t="shared" si="37"/>
        <v>153.1</v>
      </c>
      <c r="E108" s="60">
        <f t="shared" si="37"/>
        <v>132.1</v>
      </c>
      <c r="F108" s="60">
        <f t="shared" si="37"/>
        <v>148</v>
      </c>
      <c r="G108" s="60">
        <f t="shared" si="37"/>
        <v>232</v>
      </c>
      <c r="H108" s="60">
        <f t="shared" si="37"/>
        <v>318.60000000000002</v>
      </c>
      <c r="I108" s="60">
        <f t="shared" si="37"/>
        <v>365.2</v>
      </c>
      <c r="J108" s="60">
        <f t="shared" si="37"/>
        <v>411.4</v>
      </c>
      <c r="K108" s="60">
        <f t="shared" si="37"/>
        <v>452</v>
      </c>
      <c r="L108" s="60">
        <f t="shared" si="37"/>
        <v>437.5</v>
      </c>
      <c r="M108" s="60">
        <f t="shared" si="37"/>
        <v>182.6</v>
      </c>
      <c r="N108" s="60">
        <f t="shared" si="37"/>
        <v>147.19999999999999</v>
      </c>
      <c r="O108" s="60">
        <f t="shared" si="37"/>
        <v>195.60000000000002</v>
      </c>
      <c r="P108" s="60">
        <f t="shared" si="37"/>
        <v>307</v>
      </c>
      <c r="Q108" s="60">
        <f t="shared" si="37"/>
        <v>393</v>
      </c>
      <c r="R108" s="60">
        <f t="shared" si="37"/>
        <v>407</v>
      </c>
      <c r="S108" s="60">
        <f t="shared" si="37"/>
        <v>455.4</v>
      </c>
      <c r="T108" s="60">
        <f t="shared" ref="T108" si="38">T92-T107</f>
        <v>479</v>
      </c>
      <c r="U108" s="60">
        <f t="shared" si="37"/>
        <v>476.9</v>
      </c>
      <c r="V108" s="60">
        <f t="shared" si="37"/>
        <v>287</v>
      </c>
      <c r="W108" s="60">
        <f t="shared" si="37"/>
        <v>259</v>
      </c>
      <c r="X108" s="60">
        <f t="shared" si="37"/>
        <v>264.8</v>
      </c>
      <c r="Y108" s="60">
        <f t="shared" si="37"/>
        <v>254.60000000000002</v>
      </c>
      <c r="Z108" s="60">
        <f t="shared" si="37"/>
        <v>261.63</v>
      </c>
      <c r="AA108" s="60">
        <f t="shared" si="37"/>
        <v>225.4</v>
      </c>
      <c r="AB108" s="60">
        <f t="shared" si="37"/>
        <v>218.5</v>
      </c>
      <c r="AC108" s="60">
        <f t="shared" si="37"/>
        <v>218.4</v>
      </c>
      <c r="AD108" s="60">
        <f t="shared" si="37"/>
        <v>307.10000000000002</v>
      </c>
      <c r="AE108" s="60">
        <f t="shared" si="37"/>
        <v>334</v>
      </c>
      <c r="AF108" s="60">
        <f t="shared" si="37"/>
        <v>326</v>
      </c>
      <c r="AG108" s="88"/>
      <c r="AH108" s="47">
        <f t="shared" si="14"/>
        <v>479</v>
      </c>
      <c r="AI108" s="48">
        <f t="shared" si="15"/>
        <v>132.1</v>
      </c>
    </row>
    <row r="109" spans="1:37" x14ac:dyDescent="0.25">
      <c r="A109" s="100" t="s">
        <v>109</v>
      </c>
      <c r="B109" s="101">
        <v>50.103999999999999</v>
      </c>
      <c r="C109" s="101">
        <v>50.026000000000003</v>
      </c>
      <c r="D109" s="101">
        <v>50.000999999999998</v>
      </c>
      <c r="E109" s="101">
        <v>50.015999999999998</v>
      </c>
      <c r="F109" s="101">
        <v>50.017000000000003</v>
      </c>
      <c r="G109" s="101">
        <v>49.976999999999997</v>
      </c>
      <c r="H109" s="101">
        <v>50.03</v>
      </c>
      <c r="I109" s="101">
        <v>49.970999999999997</v>
      </c>
      <c r="J109" s="101">
        <v>50.048000000000002</v>
      </c>
      <c r="K109" s="101">
        <v>49.957999999999998</v>
      </c>
      <c r="L109" s="101">
        <v>49.923000000000002</v>
      </c>
      <c r="M109" s="101">
        <v>50.085999999999999</v>
      </c>
      <c r="N109" s="101">
        <v>49.942999999999998</v>
      </c>
      <c r="O109" s="101">
        <v>49.965000000000003</v>
      </c>
      <c r="P109" s="101">
        <v>49.965000000000003</v>
      </c>
      <c r="Q109" s="101">
        <v>49.924999999999997</v>
      </c>
      <c r="R109" s="101">
        <v>50.01</v>
      </c>
      <c r="S109" s="101"/>
      <c r="T109" s="101">
        <v>50.1</v>
      </c>
      <c r="U109" s="101">
        <v>49.996000000000002</v>
      </c>
      <c r="V109" s="101">
        <v>49.933999999999997</v>
      </c>
      <c r="W109" s="101">
        <v>49.970999999999997</v>
      </c>
      <c r="X109" s="101">
        <v>50.127000000000002</v>
      </c>
      <c r="Y109" s="101">
        <v>49.960999999999999</v>
      </c>
      <c r="Z109" s="101">
        <v>50.04</v>
      </c>
      <c r="AA109" s="101">
        <v>50.055999999999997</v>
      </c>
      <c r="AB109" s="101">
        <v>50.076000000000001</v>
      </c>
      <c r="AC109" s="101">
        <v>49.954999999999998</v>
      </c>
      <c r="AD109" s="101">
        <v>49.991</v>
      </c>
      <c r="AE109" s="101">
        <v>50.222000000000001</v>
      </c>
      <c r="AF109" s="101">
        <v>49.965000000000003</v>
      </c>
      <c r="AG109" s="102"/>
      <c r="AH109" s="47">
        <f t="shared" si="14"/>
        <v>50.222000000000001</v>
      </c>
      <c r="AI109" s="48">
        <f t="shared" si="15"/>
        <v>49.923000000000002</v>
      </c>
    </row>
    <row r="110" spans="1:37" x14ac:dyDescent="0.25">
      <c r="A110" s="103" t="s">
        <v>110</v>
      </c>
      <c r="B110" s="65">
        <v>132.4</v>
      </c>
      <c r="C110" s="65">
        <v>133.19999999999999</v>
      </c>
      <c r="D110" s="65">
        <v>133.69999999999999</v>
      </c>
      <c r="E110" s="65">
        <v>133.5</v>
      </c>
      <c r="F110" s="65">
        <v>133.30000000000001</v>
      </c>
      <c r="G110" s="65">
        <v>132.69999999999999</v>
      </c>
      <c r="H110" s="65">
        <v>130.6</v>
      </c>
      <c r="I110" s="65">
        <v>128.30000000000001</v>
      </c>
      <c r="J110" s="65">
        <v>127.8</v>
      </c>
      <c r="K110" s="65">
        <v>126.3</v>
      </c>
      <c r="L110" s="65">
        <v>124.9</v>
      </c>
      <c r="M110" s="65">
        <v>124.7</v>
      </c>
      <c r="N110" s="65">
        <v>123.1</v>
      </c>
      <c r="O110" s="65">
        <v>124.1</v>
      </c>
      <c r="P110" s="65">
        <v>124.1</v>
      </c>
      <c r="Q110" s="65">
        <v>127.1</v>
      </c>
      <c r="R110" s="65">
        <v>126.9</v>
      </c>
      <c r="S110" s="65"/>
      <c r="T110" s="65">
        <v>126</v>
      </c>
      <c r="U110" s="65">
        <v>123.9</v>
      </c>
      <c r="V110" s="65">
        <v>128</v>
      </c>
      <c r="W110" s="65">
        <v>128.1</v>
      </c>
      <c r="X110" s="65">
        <v>127.6</v>
      </c>
      <c r="Y110" s="65">
        <v>127.9</v>
      </c>
      <c r="Z110" s="65">
        <v>128.5</v>
      </c>
      <c r="AA110" s="65">
        <v>128.5</v>
      </c>
      <c r="AB110" s="65">
        <v>127.9</v>
      </c>
      <c r="AC110" s="65">
        <v>127.5</v>
      </c>
      <c r="AD110" s="65">
        <v>129.19999999999999</v>
      </c>
      <c r="AE110" s="65">
        <v>129.5</v>
      </c>
      <c r="AF110" s="65">
        <v>130</v>
      </c>
      <c r="AG110" s="104"/>
      <c r="AH110" s="47">
        <f t="shared" si="14"/>
        <v>133.69999999999999</v>
      </c>
      <c r="AI110" s="48">
        <f t="shared" si="15"/>
        <v>123.1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14"/>
        <v>0</v>
      </c>
      <c r="AI111" s="48">
        <f t="shared" si="15"/>
        <v>0</v>
      </c>
    </row>
    <row r="112" spans="1:37" x14ac:dyDescent="0.25">
      <c r="A112" s="103" t="s">
        <v>112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14"/>
        <v>0</v>
      </c>
      <c r="AI112" s="48">
        <f t="shared" si="15"/>
        <v>0</v>
      </c>
    </row>
    <row r="113" spans="1:35" x14ac:dyDescent="0.25">
      <c r="A113" s="105" t="s">
        <v>113</v>
      </c>
      <c r="B113" s="65">
        <v>131.6</v>
      </c>
      <c r="C113" s="65">
        <v>133.1</v>
      </c>
      <c r="D113" s="65">
        <v>133.6</v>
      </c>
      <c r="E113" s="65">
        <v>133.19999999999999</v>
      </c>
      <c r="F113" s="65">
        <v>133.1</v>
      </c>
      <c r="G113" s="65">
        <v>133</v>
      </c>
      <c r="H113" s="65">
        <v>131.1</v>
      </c>
      <c r="I113" s="65">
        <v>128.19999999999999</v>
      </c>
      <c r="J113" s="65">
        <v>132.9</v>
      </c>
      <c r="K113" s="65">
        <v>126.6</v>
      </c>
      <c r="L113" s="65">
        <v>130</v>
      </c>
      <c r="M113" s="65">
        <v>125.5</v>
      </c>
      <c r="N113" s="65">
        <v>126.3</v>
      </c>
      <c r="O113" s="65">
        <v>127.8</v>
      </c>
      <c r="P113" s="65">
        <v>127.8</v>
      </c>
      <c r="Q113" s="65">
        <v>132.19999999999999</v>
      </c>
      <c r="R113" s="65">
        <v>134.5</v>
      </c>
      <c r="S113" s="65"/>
      <c r="T113" s="65">
        <v>129</v>
      </c>
      <c r="U113" s="65">
        <v>129.19999999999999</v>
      </c>
      <c r="V113" s="65">
        <v>130.6</v>
      </c>
      <c r="W113" s="65">
        <v>127.6</v>
      </c>
      <c r="X113" s="65">
        <v>128.5</v>
      </c>
      <c r="Y113" s="65">
        <v>131</v>
      </c>
      <c r="Z113" s="65">
        <v>132.4</v>
      </c>
      <c r="AA113" s="65">
        <v>134</v>
      </c>
      <c r="AB113" s="65">
        <v>131.6</v>
      </c>
      <c r="AC113" s="65">
        <v>132.30000000000001</v>
      </c>
      <c r="AD113" s="65">
        <v>131.6</v>
      </c>
      <c r="AE113" s="65">
        <v>131.69999999999999</v>
      </c>
      <c r="AF113" s="65">
        <v>132.4</v>
      </c>
      <c r="AG113" s="104"/>
      <c r="AH113" s="47">
        <f t="shared" si="14"/>
        <v>134.5</v>
      </c>
      <c r="AI113" s="48">
        <f t="shared" si="15"/>
        <v>125.5</v>
      </c>
    </row>
    <row r="114" spans="1:35" x14ac:dyDescent="0.25">
      <c r="A114" s="105" t="s">
        <v>114</v>
      </c>
      <c r="B114" s="106">
        <v>136.9</v>
      </c>
      <c r="C114" s="106">
        <v>137.19999999999999</v>
      </c>
      <c r="D114" s="106">
        <v>137.1</v>
      </c>
      <c r="E114" s="106">
        <v>136.69999999999999</v>
      </c>
      <c r="F114" s="106">
        <v>135.9</v>
      </c>
      <c r="G114" s="106">
        <v>136.19999999999999</v>
      </c>
      <c r="H114" s="106">
        <v>133.80000000000001</v>
      </c>
      <c r="I114" s="106">
        <v>131.6</v>
      </c>
      <c r="J114" s="106">
        <v>133.1</v>
      </c>
      <c r="K114" s="106">
        <v>134</v>
      </c>
      <c r="L114" s="106">
        <v>132.69999999999999</v>
      </c>
      <c r="M114" s="106">
        <v>134</v>
      </c>
      <c r="N114" s="106">
        <v>132.1</v>
      </c>
      <c r="O114" s="106">
        <v>133.4</v>
      </c>
      <c r="P114" s="106">
        <v>133.4</v>
      </c>
      <c r="Q114" s="106">
        <v>135.6</v>
      </c>
      <c r="R114" s="106">
        <v>135.4</v>
      </c>
      <c r="S114" s="106"/>
      <c r="T114" s="106">
        <v>131</v>
      </c>
      <c r="U114" s="106">
        <v>130</v>
      </c>
      <c r="V114" s="106">
        <v>133.30000000000001</v>
      </c>
      <c r="W114" s="106">
        <v>134.1</v>
      </c>
      <c r="X114" s="106">
        <v>135</v>
      </c>
      <c r="Y114" s="106">
        <v>135.30000000000001</v>
      </c>
      <c r="Z114" s="106">
        <v>135.9</v>
      </c>
      <c r="AA114" s="106">
        <v>134.30000000000001</v>
      </c>
      <c r="AB114" s="106">
        <v>135</v>
      </c>
      <c r="AC114" s="106">
        <v>134.69999999999999</v>
      </c>
      <c r="AD114" s="106">
        <v>136.9</v>
      </c>
      <c r="AE114" s="106">
        <v>136.6</v>
      </c>
      <c r="AF114" s="106">
        <v>136.1</v>
      </c>
      <c r="AG114" s="107"/>
      <c r="AH114" s="47">
        <f t="shared" si="14"/>
        <v>137.19999999999999</v>
      </c>
      <c r="AI114" s="48">
        <f t="shared" si="15"/>
        <v>130</v>
      </c>
    </row>
    <row r="115" spans="1:35" x14ac:dyDescent="0.25">
      <c r="A115" s="103" t="s">
        <v>115</v>
      </c>
      <c r="B115" s="65">
        <v>134.69999999999999</v>
      </c>
      <c r="C115" s="65">
        <v>133</v>
      </c>
      <c r="D115" s="65">
        <v>131</v>
      </c>
      <c r="E115" s="65">
        <v>131</v>
      </c>
      <c r="F115" s="65">
        <v>134.4</v>
      </c>
      <c r="G115" s="65">
        <v>132.80000000000001</v>
      </c>
      <c r="H115" s="65">
        <v>134.30000000000001</v>
      </c>
      <c r="I115" s="65">
        <v>131.19999999999999</v>
      </c>
      <c r="J115" s="65">
        <v>132.5</v>
      </c>
      <c r="K115" s="65">
        <v>133</v>
      </c>
      <c r="L115" s="65">
        <v>132.6</v>
      </c>
      <c r="M115" s="65">
        <v>128.1</v>
      </c>
      <c r="N115" s="65">
        <v>131</v>
      </c>
      <c r="O115" s="65">
        <v>128.4</v>
      </c>
      <c r="P115" s="65">
        <v>128.4</v>
      </c>
      <c r="Q115" s="65">
        <v>132.5</v>
      </c>
      <c r="R115" s="65">
        <v>132.80000000000001</v>
      </c>
      <c r="S115" s="65"/>
      <c r="T115" s="65">
        <v>133</v>
      </c>
      <c r="U115" s="65">
        <v>133</v>
      </c>
      <c r="V115" s="65">
        <v>133.30000000000001</v>
      </c>
      <c r="W115" s="65">
        <v>131.5</v>
      </c>
      <c r="X115" s="65">
        <v>133</v>
      </c>
      <c r="Y115" s="65">
        <v>133.5</v>
      </c>
      <c r="Z115" s="65">
        <v>133.30000000000001</v>
      </c>
      <c r="AA115" s="65">
        <v>133.6</v>
      </c>
      <c r="AB115" s="65">
        <v>136</v>
      </c>
      <c r="AC115" s="65">
        <v>134.6</v>
      </c>
      <c r="AD115" s="65">
        <v>134.6</v>
      </c>
      <c r="AE115" s="65">
        <v>132.5</v>
      </c>
      <c r="AF115" s="65">
        <v>133.19999999999999</v>
      </c>
      <c r="AG115" s="104"/>
      <c r="AH115" s="47">
        <f t="shared" si="14"/>
        <v>136</v>
      </c>
      <c r="AI115" s="48">
        <f t="shared" si="15"/>
        <v>128.1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14"/>
        <v>0</v>
      </c>
      <c r="AI116" s="48">
        <f t="shared" si="15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4"/>
        <v>0</v>
      </c>
      <c r="AI117" s="48">
        <f t="shared" si="15"/>
        <v>0</v>
      </c>
    </row>
    <row r="118" spans="1:35" ht="15.75" thickBot="1" x14ac:dyDescent="0.3">
      <c r="A118" s="110" t="s">
        <v>118</v>
      </c>
      <c r="B118" s="111">
        <f t="shared" ref="B118:O118" si="39">SUM(B22,B28,B31:B32,B66,B68:B69,B71,B73,B119:B123,B153,B159,B165,B174,B176,B188,B195,B198:B199,B206,B208,B210,B214:B216,B218:B220,B225,B231:B232,B234:B236,B244,B249)</f>
        <v>114.34</v>
      </c>
      <c r="C118" s="111">
        <f t="shared" si="39"/>
        <v>88.089999999999989</v>
      </c>
      <c r="D118" s="111">
        <f t="shared" si="39"/>
        <v>83.419999999999987</v>
      </c>
      <c r="E118" s="111">
        <f t="shared" si="39"/>
        <v>66.789999999999978</v>
      </c>
      <c r="F118" s="111">
        <f t="shared" si="39"/>
        <v>72.240000000000009</v>
      </c>
      <c r="G118" s="111">
        <f t="shared" si="39"/>
        <v>101.98999999999998</v>
      </c>
      <c r="H118" s="111">
        <f t="shared" si="39"/>
        <v>139.14000000000001</v>
      </c>
      <c r="I118" s="111">
        <f t="shared" si="39"/>
        <v>168.64</v>
      </c>
      <c r="J118" s="111">
        <f t="shared" si="39"/>
        <v>195.83999999999997</v>
      </c>
      <c r="K118" s="111">
        <f>SUM(K22,K28,K31:K32,K66,K68:K69,K71,K73,K119:K123,K153,K159,K165,K174,K176,K188,K195,K198:K199,K206,K208,K210,K214:K216,K218:K220,K225,K231:K232,K234:K236,K244,K249)</f>
        <v>238.76399999999998</v>
      </c>
      <c r="L118" s="111">
        <f>SUM(L22,L28,L31:L32,L66,L68:L69,L71,L73,L119:L123,L153,L159,L165,L174,L176,L188,L195,L198:L199,L206,L208,L210,L214:L216,L218:L220,L225,L231:L232,L234:L236,L244,L249)</f>
        <v>280.29399999999998</v>
      </c>
      <c r="M118" s="111">
        <f t="shared" si="39"/>
        <v>257.83999999999997</v>
      </c>
      <c r="N118" s="111">
        <f t="shared" si="39"/>
        <v>234.03999999999996</v>
      </c>
      <c r="O118" s="111">
        <f t="shared" si="39"/>
        <v>235.83999999999997</v>
      </c>
      <c r="P118" s="111">
        <v>42</v>
      </c>
      <c r="Q118" s="111">
        <f t="shared" ref="Q118:AF118" si="40">SUM(Q22,Q28,Q31:Q32,Q66,Q68:Q69,Q71,Q73,Q119:Q123,Q153,Q159,Q165,Q174,Q176,Q188,Q195,Q198:Q199,Q206,Q208,Q210,Q214:Q216,Q218:Q220,Q225,Q231:Q232,Q234:Q236,Q244,Q249)</f>
        <v>206.33999999999997</v>
      </c>
      <c r="R118" s="111">
        <f t="shared" si="40"/>
        <v>206.83999999999997</v>
      </c>
      <c r="S118" s="111">
        <f t="shared" si="40"/>
        <v>206.24</v>
      </c>
      <c r="T118" s="111">
        <f t="shared" ref="T118" si="41">SUM(T22,T28,T31:T32,T66,T68:T69,T71,T73,T119:T123,T153,T159,T165,T174,T176,T188,T195,T198:T199,T206,T208,T210,T214:T216,T218:T220,T225,T231:T232,T234:T236,T244,T249)</f>
        <v>219.04</v>
      </c>
      <c r="U118" s="111">
        <f t="shared" si="40"/>
        <v>207.34000000000003</v>
      </c>
      <c r="V118" s="111">
        <f t="shared" si="40"/>
        <v>253.53999999999996</v>
      </c>
      <c r="W118" s="111">
        <f t="shared" si="40"/>
        <v>256.04000000000002</v>
      </c>
      <c r="X118" s="111">
        <f t="shared" si="40"/>
        <v>272.202</v>
      </c>
      <c r="Y118" s="111">
        <f t="shared" si="40"/>
        <v>308.27499999999998</v>
      </c>
      <c r="Z118" s="111">
        <f t="shared" si="40"/>
        <v>260.404</v>
      </c>
      <c r="AA118" s="111">
        <f t="shared" si="40"/>
        <v>282.70799999999997</v>
      </c>
      <c r="AB118" s="111">
        <f t="shared" si="40"/>
        <v>315.24</v>
      </c>
      <c r="AC118" s="111">
        <f t="shared" si="40"/>
        <v>249.44</v>
      </c>
      <c r="AD118" s="111"/>
      <c r="AE118" s="111">
        <f t="shared" si="40"/>
        <v>159.34</v>
      </c>
      <c r="AF118" s="111">
        <f t="shared" si="40"/>
        <v>129.34</v>
      </c>
      <c r="AG118" s="112"/>
      <c r="AH118" s="47">
        <f t="shared" si="14"/>
        <v>315.24</v>
      </c>
      <c r="AI118" s="48">
        <f t="shared" si="15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>
        <f>234/5</f>
        <v>46.8</v>
      </c>
      <c r="W119" s="113">
        <v>46</v>
      </c>
      <c r="X119" s="113"/>
      <c r="Y119" s="113">
        <v>45</v>
      </c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14"/>
        <v>46.8</v>
      </c>
      <c r="AI119" s="48">
        <f t="shared" si="15"/>
        <v>45</v>
      </c>
    </row>
    <row r="120" spans="1:35" x14ac:dyDescent="0.25">
      <c r="A120" s="182" t="s">
        <v>120</v>
      </c>
      <c r="B120" s="115">
        <v>-1.6</v>
      </c>
      <c r="C120" s="115">
        <v>12</v>
      </c>
      <c r="D120" s="115">
        <v>4.5999999999999996</v>
      </c>
      <c r="E120" s="115">
        <v>22.4</v>
      </c>
      <c r="F120" s="115">
        <v>16.2</v>
      </c>
      <c r="G120" s="115">
        <v>12.1</v>
      </c>
      <c r="H120" s="115">
        <v>0</v>
      </c>
      <c r="I120" s="115">
        <v>10.8</v>
      </c>
      <c r="J120" s="115">
        <v>25.4</v>
      </c>
      <c r="K120" s="115">
        <v>41.4</v>
      </c>
      <c r="L120" s="115">
        <v>48.9</v>
      </c>
      <c r="M120" s="115">
        <v>49.6</v>
      </c>
      <c r="N120" s="115">
        <v>58</v>
      </c>
      <c r="O120" s="115">
        <v>64.5</v>
      </c>
      <c r="P120" s="115">
        <v>64.5</v>
      </c>
      <c r="Q120" s="115">
        <v>38</v>
      </c>
      <c r="R120" s="115">
        <v>38</v>
      </c>
      <c r="S120" s="115">
        <v>25.4</v>
      </c>
      <c r="T120" s="115">
        <v>25.4</v>
      </c>
      <c r="U120" s="115">
        <v>40.700000000000003</v>
      </c>
      <c r="V120" s="115">
        <v>62.7</v>
      </c>
      <c r="W120" s="115">
        <v>51.1</v>
      </c>
      <c r="X120" s="115">
        <v>49.3</v>
      </c>
      <c r="Y120" s="115">
        <v>45.6</v>
      </c>
      <c r="Z120" s="115">
        <v>43.3</v>
      </c>
      <c r="AA120" s="115">
        <v>49.1</v>
      </c>
      <c r="AB120" s="115">
        <v>53.9</v>
      </c>
      <c r="AC120" s="115">
        <v>48.6</v>
      </c>
      <c r="AD120" s="115">
        <v>16.3</v>
      </c>
      <c r="AE120" s="115">
        <v>-17</v>
      </c>
      <c r="AF120" s="115">
        <v>-18</v>
      </c>
      <c r="AG120" s="114">
        <v>240</v>
      </c>
      <c r="AH120" s="47">
        <f t="shared" si="14"/>
        <v>64.5</v>
      </c>
      <c r="AI120" s="48">
        <f t="shared" si="15"/>
        <v>-18</v>
      </c>
    </row>
    <row r="121" spans="1:35" x14ac:dyDescent="0.25">
      <c r="A121" s="182" t="s">
        <v>121</v>
      </c>
      <c r="B121" s="115">
        <v>-49</v>
      </c>
      <c r="C121" s="115">
        <v>-64</v>
      </c>
      <c r="D121" s="115">
        <v>-61</v>
      </c>
      <c r="E121" s="115">
        <f>-35.2-39.7</f>
        <v>-74.900000000000006</v>
      </c>
      <c r="F121" s="115">
        <f>-32.4-36.7</f>
        <v>-69.099999999999994</v>
      </c>
      <c r="G121" s="115">
        <f>-28.3-31.9</f>
        <v>-60.2</v>
      </c>
      <c r="H121" s="115">
        <f>-20.5-23.3</f>
        <v>-43.8</v>
      </c>
      <c r="I121" s="115">
        <f>-16.9-19.4</f>
        <v>-36.299999999999997</v>
      </c>
      <c r="J121" s="115">
        <f>-13.8-17.1</f>
        <v>-30.900000000000002</v>
      </c>
      <c r="K121" s="115">
        <f>-9-11.3</f>
        <v>-20.3</v>
      </c>
      <c r="L121" s="115">
        <f>-2.9-3.6</f>
        <v>-6.5</v>
      </c>
      <c r="M121" s="115">
        <v>1.9</v>
      </c>
      <c r="N121" s="115">
        <v>-24</v>
      </c>
      <c r="O121" s="115">
        <v>-23</v>
      </c>
      <c r="P121" s="115">
        <v>-23</v>
      </c>
      <c r="Q121" s="115">
        <v>-13</v>
      </c>
      <c r="R121" s="115">
        <v>-12.5</v>
      </c>
      <c r="S121" s="115">
        <v>-22.9</v>
      </c>
      <c r="T121" s="115">
        <v>-11</v>
      </c>
      <c r="U121" s="115">
        <v>-19.5</v>
      </c>
      <c r="V121" s="115">
        <v>-24.3</v>
      </c>
      <c r="W121" s="115">
        <v>-22.3</v>
      </c>
      <c r="X121" s="115">
        <v>-30.7</v>
      </c>
      <c r="Y121" s="115">
        <v>-32.5</v>
      </c>
      <c r="Z121" s="115">
        <v>-31</v>
      </c>
      <c r="AA121" s="115">
        <v>-15.8</v>
      </c>
      <c r="AB121" s="115">
        <v>6</v>
      </c>
      <c r="AC121" s="115">
        <v>2.8</v>
      </c>
      <c r="AD121" s="115">
        <v>0.7</v>
      </c>
      <c r="AE121" s="115">
        <v>-8</v>
      </c>
      <c r="AF121" s="115">
        <v>-22</v>
      </c>
      <c r="AG121" s="114">
        <v>240</v>
      </c>
      <c r="AH121" s="47">
        <f t="shared" si="14"/>
        <v>6</v>
      </c>
      <c r="AI121" s="48">
        <f t="shared" si="15"/>
        <v>-74.900000000000006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14"/>
        <v>0</v>
      </c>
      <c r="AI122" s="48">
        <f t="shared" si="15"/>
        <v>0</v>
      </c>
    </row>
    <row r="123" spans="1:35" x14ac:dyDescent="0.25">
      <c r="A123" s="181" t="s">
        <v>267</v>
      </c>
      <c r="B123" s="117">
        <f>31*1.6</f>
        <v>49.6</v>
      </c>
      <c r="C123" s="117">
        <f>15*1.65</f>
        <v>24.75</v>
      </c>
      <c r="D123" s="117">
        <f>15.3*1.6</f>
        <v>24.480000000000004</v>
      </c>
      <c r="E123" s="117">
        <f>4.7*1.5</f>
        <v>7.0500000000000007</v>
      </c>
      <c r="F123" s="117">
        <f>8.6*1.5</f>
        <v>12.899999999999999</v>
      </c>
      <c r="G123" s="117">
        <f>22.5*1.5</f>
        <v>33.75</v>
      </c>
      <c r="H123" s="117">
        <f>44.6*1.5</f>
        <v>66.900000000000006</v>
      </c>
      <c r="I123" s="117">
        <f>52.2*1.5</f>
        <v>78.300000000000011</v>
      </c>
      <c r="J123" s="117">
        <f>58*1.5</f>
        <v>87</v>
      </c>
      <c r="K123" s="117">
        <f>1.63*64.8</f>
        <v>105.624</v>
      </c>
      <c r="L123" s="117">
        <f>75.8*1.63</f>
        <v>123.55399999999999</v>
      </c>
      <c r="M123" s="117">
        <v>90</v>
      </c>
      <c r="N123" s="117">
        <v>83.7</v>
      </c>
      <c r="O123" s="117">
        <v>78</v>
      </c>
      <c r="P123" s="117">
        <v>78</v>
      </c>
      <c r="Q123" s="117">
        <v>65</v>
      </c>
      <c r="R123" s="117">
        <v>65</v>
      </c>
      <c r="S123" s="117">
        <v>66.3</v>
      </c>
      <c r="T123" s="117">
        <v>74</v>
      </c>
      <c r="U123" s="117">
        <v>71.2</v>
      </c>
      <c r="V123" s="117">
        <v>55</v>
      </c>
      <c r="W123" s="117">
        <v>70.099999999999994</v>
      </c>
      <c r="X123" s="117">
        <f>1.63*87.4</f>
        <v>142.46199999999999</v>
      </c>
      <c r="Y123" s="117">
        <f>1.63*84.5</f>
        <v>137.73499999999999</v>
      </c>
      <c r="Z123" s="117">
        <f>1.63*82.8</f>
        <v>134.964</v>
      </c>
      <c r="AA123" s="117">
        <f>1.63*83.6</f>
        <v>136.26799999999997</v>
      </c>
      <c r="AB123" s="117">
        <v>142</v>
      </c>
      <c r="AC123" s="117">
        <v>84.7</v>
      </c>
      <c r="AD123" s="117">
        <v>76.400000000000006</v>
      </c>
      <c r="AE123" s="117">
        <v>71</v>
      </c>
      <c r="AF123" s="117">
        <v>56</v>
      </c>
      <c r="AG123" s="118">
        <v>120</v>
      </c>
      <c r="AH123" s="47">
        <f t="shared" si="14"/>
        <v>142.46199999999999</v>
      </c>
      <c r="AI123" s="48">
        <f t="shared" si="15"/>
        <v>7.0500000000000007</v>
      </c>
    </row>
    <row r="124" spans="1:35" x14ac:dyDescent="0.25">
      <c r="A124" s="182" t="s">
        <v>266</v>
      </c>
      <c r="B124" s="117">
        <v>57</v>
      </c>
      <c r="C124" s="117">
        <v>44.3</v>
      </c>
      <c r="D124" s="117">
        <v>44</v>
      </c>
      <c r="E124" s="117">
        <v>35.6</v>
      </c>
      <c r="F124" s="117">
        <v>38.4</v>
      </c>
      <c r="G124" s="117">
        <v>49.6</v>
      </c>
      <c r="H124" s="117">
        <v>67.5</v>
      </c>
      <c r="I124" s="117">
        <v>73.2</v>
      </c>
      <c r="J124" s="117">
        <v>77.900000000000006</v>
      </c>
      <c r="K124" s="117">
        <v>83</v>
      </c>
      <c r="L124" s="117">
        <v>90.8</v>
      </c>
      <c r="M124" s="117">
        <v>102.6</v>
      </c>
      <c r="N124" s="117">
        <v>96</v>
      </c>
      <c r="O124" s="117">
        <v>93.4</v>
      </c>
      <c r="P124" s="117">
        <v>93.4</v>
      </c>
      <c r="Q124" s="117">
        <v>84</v>
      </c>
      <c r="R124" s="117">
        <v>82.7</v>
      </c>
      <c r="S124" s="117">
        <v>89.3</v>
      </c>
      <c r="T124" s="117">
        <v>91</v>
      </c>
      <c r="U124" s="117">
        <v>88.6</v>
      </c>
      <c r="V124" s="117">
        <v>76.099999999999994</v>
      </c>
      <c r="W124" s="117">
        <v>88.7</v>
      </c>
      <c r="X124" s="117">
        <v>101.8</v>
      </c>
      <c r="Y124" s="117">
        <v>99</v>
      </c>
      <c r="Z124" s="117">
        <v>98.4</v>
      </c>
      <c r="AA124" s="117">
        <v>99.1</v>
      </c>
      <c r="AB124" s="117">
        <v>100</v>
      </c>
      <c r="AC124" s="117">
        <v>100.7</v>
      </c>
      <c r="AD124" s="117">
        <v>94.3</v>
      </c>
      <c r="AE124" s="117">
        <v>90</v>
      </c>
      <c r="AF124" s="117">
        <v>77</v>
      </c>
      <c r="AG124" s="118"/>
      <c r="AH124" s="47"/>
      <c r="AI124" s="48"/>
    </row>
    <row r="125" spans="1:35" x14ac:dyDescent="0.25">
      <c r="A125" s="182" t="s">
        <v>263</v>
      </c>
      <c r="B125" s="117">
        <v>34</v>
      </c>
      <c r="C125" s="117">
        <v>21.6</v>
      </c>
      <c r="D125" s="117">
        <v>28</v>
      </c>
      <c r="E125" s="117">
        <v>12.3</v>
      </c>
      <c r="F125" s="117">
        <v>16.600000000000001</v>
      </c>
      <c r="G125" s="117">
        <v>21.2</v>
      </c>
      <c r="H125" s="117">
        <v>34.4</v>
      </c>
      <c r="I125" s="117">
        <v>27.2</v>
      </c>
      <c r="J125" s="117">
        <v>8</v>
      </c>
      <c r="K125" s="117">
        <v>-9.9</v>
      </c>
      <c r="L125" s="117">
        <v>-26.7</v>
      </c>
      <c r="M125" s="117">
        <v>-25.3</v>
      </c>
      <c r="N125" s="117">
        <v>-14</v>
      </c>
      <c r="O125" s="117">
        <v>-14</v>
      </c>
      <c r="P125" s="117">
        <v>-14</v>
      </c>
      <c r="Q125" s="117">
        <v>-0.1</v>
      </c>
      <c r="R125" s="117">
        <v>-1.4</v>
      </c>
      <c r="S125" s="117">
        <v>6</v>
      </c>
      <c r="T125" s="117">
        <v>11</v>
      </c>
      <c r="U125" s="117">
        <v>4.7</v>
      </c>
      <c r="V125" s="117">
        <v>-36.9</v>
      </c>
      <c r="W125" s="117">
        <v>-38.1</v>
      </c>
      <c r="X125" s="117">
        <v>-47.1</v>
      </c>
      <c r="Y125" s="117">
        <v>-43.2</v>
      </c>
      <c r="Z125" s="117">
        <v>-42.6</v>
      </c>
      <c r="AA125" s="117">
        <v>-99.1</v>
      </c>
      <c r="AB125" s="117">
        <v>-29.9</v>
      </c>
      <c r="AC125" s="117">
        <v>-21</v>
      </c>
      <c r="AD125" s="117">
        <v>-10</v>
      </c>
      <c r="AE125" s="117">
        <v>-43</v>
      </c>
      <c r="AF125" s="117">
        <v>-50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55</v>
      </c>
      <c r="C126" s="117">
        <v>37.200000000000003</v>
      </c>
      <c r="D126" s="117">
        <v>38</v>
      </c>
      <c r="E126" s="117">
        <v>25.8</v>
      </c>
      <c r="F126" s="117">
        <v>30.8</v>
      </c>
      <c r="G126" s="117">
        <v>46.2</v>
      </c>
      <c r="H126" s="117">
        <v>70.099999999999994</v>
      </c>
      <c r="I126" s="117">
        <v>77.599999999999994</v>
      </c>
      <c r="J126" s="117">
        <v>81.099999999999994</v>
      </c>
      <c r="K126" s="117">
        <v>84.2</v>
      </c>
      <c r="L126" s="117">
        <v>94.2</v>
      </c>
      <c r="M126" s="117">
        <v>87</v>
      </c>
      <c r="N126" s="117">
        <v>88</v>
      </c>
      <c r="O126" s="117">
        <v>91</v>
      </c>
      <c r="P126" s="117">
        <v>91</v>
      </c>
      <c r="Q126" s="117">
        <v>87</v>
      </c>
      <c r="R126" s="117">
        <v>92.4</v>
      </c>
      <c r="S126" s="117">
        <v>91.2</v>
      </c>
      <c r="T126" s="117">
        <v>98</v>
      </c>
      <c r="U126" s="117">
        <v>96.9</v>
      </c>
      <c r="V126" s="117">
        <v>66</v>
      </c>
      <c r="W126" s="117">
        <v>73.2</v>
      </c>
      <c r="X126" s="117">
        <v>83.6</v>
      </c>
      <c r="Y126" s="117">
        <v>86.2</v>
      </c>
      <c r="Z126" s="117">
        <v>85.1</v>
      </c>
      <c r="AA126" s="117">
        <v>81.8</v>
      </c>
      <c r="AB126" s="117">
        <v>91.4</v>
      </c>
      <c r="AC126" s="117">
        <v>88</v>
      </c>
      <c r="AD126" s="117">
        <v>63.5</v>
      </c>
      <c r="AE126" s="117">
        <v>88</v>
      </c>
      <c r="AF126" s="117">
        <v>80</v>
      </c>
      <c r="AG126" s="114"/>
      <c r="AH126" s="47">
        <f t="shared" si="14"/>
        <v>98</v>
      </c>
      <c r="AI126" s="48">
        <f t="shared" si="15"/>
        <v>25.8</v>
      </c>
    </row>
    <row r="127" spans="1:35" x14ac:dyDescent="0.25">
      <c r="A127" s="181" t="s">
        <v>264</v>
      </c>
      <c r="B127" s="117">
        <v>11</v>
      </c>
      <c r="C127" s="117">
        <v>3</v>
      </c>
      <c r="D127" s="117">
        <v>8.1999999999999993</v>
      </c>
      <c r="E127" s="117">
        <v>-4.9000000000000004</v>
      </c>
      <c r="F127" s="117">
        <v>0</v>
      </c>
      <c r="G127" s="117">
        <v>5.6</v>
      </c>
      <c r="H127" s="117">
        <v>18.8</v>
      </c>
      <c r="I127" s="117">
        <v>14.5</v>
      </c>
      <c r="J127" s="117">
        <v>8.4</v>
      </c>
      <c r="K127" s="117">
        <v>-5.2</v>
      </c>
      <c r="L127" s="117">
        <v>-4.9000000000000004</v>
      </c>
      <c r="M127" s="117">
        <v>-8</v>
      </c>
      <c r="N127" s="117">
        <v>-13</v>
      </c>
      <c r="O127" s="117">
        <v>15</v>
      </c>
      <c r="P127" s="117">
        <v>15</v>
      </c>
      <c r="Q127" s="117">
        <v>-9.3000000000000007</v>
      </c>
      <c r="R127" s="117"/>
      <c r="S127" s="117">
        <v>-5.4</v>
      </c>
      <c r="T127" s="117">
        <v>0</v>
      </c>
      <c r="U127" s="117">
        <v>-6.7</v>
      </c>
      <c r="V127" s="117">
        <v>-22.3</v>
      </c>
      <c r="W127" s="117">
        <v>-10.5</v>
      </c>
      <c r="X127" s="117">
        <v>-8.4</v>
      </c>
      <c r="Y127" s="117">
        <v>3.2</v>
      </c>
      <c r="Z127" s="117">
        <v>7.5</v>
      </c>
      <c r="AA127" s="117">
        <v>0</v>
      </c>
      <c r="AB127" s="117">
        <v>-5.2</v>
      </c>
      <c r="AC127" s="117">
        <v>-8.4</v>
      </c>
      <c r="AD127" s="117">
        <v>0</v>
      </c>
      <c r="AE127" s="117">
        <v>24</v>
      </c>
      <c r="AF127" s="106">
        <v>20</v>
      </c>
      <c r="AG127" s="114"/>
      <c r="AH127" s="47">
        <f t="shared" si="14"/>
        <v>24</v>
      </c>
      <c r="AI127" s="48">
        <f t="shared" si="15"/>
        <v>-22.3</v>
      </c>
    </row>
    <row r="128" spans="1:35" x14ac:dyDescent="0.25">
      <c r="A128" s="182" t="s">
        <v>126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 t="shared" si="14"/>
        <v>0</v>
      </c>
      <c r="AI128" s="48">
        <f t="shared" si="15"/>
        <v>0</v>
      </c>
    </row>
    <row r="129" spans="1:37" x14ac:dyDescent="0.25">
      <c r="A129" s="182" t="s">
        <v>268</v>
      </c>
      <c r="B129" s="106">
        <v>19</v>
      </c>
      <c r="C129" s="106">
        <v>33</v>
      </c>
      <c r="D129" s="106">
        <v>28</v>
      </c>
      <c r="E129" s="106">
        <v>42.3</v>
      </c>
      <c r="F129" s="106">
        <v>36.1</v>
      </c>
      <c r="G129" s="106">
        <v>28.3</v>
      </c>
      <c r="H129" s="106">
        <v>11.6</v>
      </c>
      <c r="I129" s="106">
        <v>7.8</v>
      </c>
      <c r="J129" s="106">
        <v>9.6999999999999993</v>
      </c>
      <c r="K129" s="106">
        <v>9.5</v>
      </c>
      <c r="L129" s="106">
        <v>6.7</v>
      </c>
      <c r="M129" s="106">
        <v>0</v>
      </c>
      <c r="N129" s="106">
        <v>18</v>
      </c>
      <c r="O129" s="106">
        <v>18</v>
      </c>
      <c r="P129" s="106">
        <v>18</v>
      </c>
      <c r="Q129" s="106">
        <v>6.9</v>
      </c>
      <c r="R129" s="106">
        <v>10</v>
      </c>
      <c r="S129" s="106">
        <v>8.3000000000000007</v>
      </c>
      <c r="T129" s="106">
        <v>-1</v>
      </c>
      <c r="U129" s="106">
        <v>6.8</v>
      </c>
      <c r="V129" s="106">
        <v>25.1</v>
      </c>
      <c r="W129" s="106">
        <v>8.5</v>
      </c>
      <c r="X129" s="106">
        <v>-1.7</v>
      </c>
      <c r="Y129" s="106">
        <v>-2.9</v>
      </c>
      <c r="Z129" s="106">
        <v>-4.8</v>
      </c>
      <c r="AA129" s="106">
        <v>-7.4</v>
      </c>
      <c r="AB129" s="106">
        <v>-12.4</v>
      </c>
      <c r="AC129" s="106">
        <v>-3.9</v>
      </c>
      <c r="AD129" s="106">
        <v>-2.5</v>
      </c>
      <c r="AE129" s="106">
        <v>-9</v>
      </c>
      <c r="AF129" s="106">
        <v>1.7</v>
      </c>
      <c r="AG129" s="114"/>
      <c r="AH129" s="47">
        <f t="shared" si="14"/>
        <v>42.3</v>
      </c>
      <c r="AI129" s="48">
        <f t="shared" si="15"/>
        <v>-12.4</v>
      </c>
    </row>
    <row r="130" spans="1:37" ht="15.75" thickBot="1" x14ac:dyDescent="0.3">
      <c r="A130" s="182" t="s">
        <v>265</v>
      </c>
      <c r="B130" s="106">
        <v>64</v>
      </c>
      <c r="C130" s="106">
        <v>66</v>
      </c>
      <c r="D130" s="106">
        <v>62</v>
      </c>
      <c r="E130" s="106">
        <v>61.5</v>
      </c>
      <c r="F130" s="106">
        <v>56.4</v>
      </c>
      <c r="G130" s="106">
        <v>71.400000000000006</v>
      </c>
      <c r="H130" s="106">
        <v>77.099999999999994</v>
      </c>
      <c r="I130" s="106">
        <v>82.2</v>
      </c>
      <c r="J130" s="106">
        <v>87</v>
      </c>
      <c r="K130" s="106">
        <v>101.3</v>
      </c>
      <c r="L130" s="106">
        <v>107.4</v>
      </c>
      <c r="M130" s="106">
        <v>108.9</v>
      </c>
      <c r="N130" s="106">
        <v>106</v>
      </c>
      <c r="O130" s="106">
        <v>94.2</v>
      </c>
      <c r="P130" s="106">
        <v>94.2</v>
      </c>
      <c r="Q130" s="106">
        <v>83</v>
      </c>
      <c r="R130" s="106">
        <v>85</v>
      </c>
      <c r="S130" s="106">
        <v>97.2</v>
      </c>
      <c r="T130" s="106">
        <v>93</v>
      </c>
      <c r="U130" s="106">
        <v>75.400000000000006</v>
      </c>
      <c r="V130" s="106">
        <v>72.3</v>
      </c>
      <c r="W130" s="106">
        <v>119.7</v>
      </c>
      <c r="X130" s="106">
        <v>110.7</v>
      </c>
      <c r="Y130" s="106">
        <v>107.5</v>
      </c>
      <c r="Z130" s="106">
        <v>100.2</v>
      </c>
      <c r="AA130" s="106">
        <v>96.3</v>
      </c>
      <c r="AB130" s="106">
        <v>66.7</v>
      </c>
      <c r="AC130" s="106">
        <v>90.2</v>
      </c>
      <c r="AD130" s="106">
        <v>83.8</v>
      </c>
      <c r="AE130" s="106">
        <v>75</v>
      </c>
      <c r="AF130" s="106">
        <v>66</v>
      </c>
      <c r="AG130" s="114"/>
      <c r="AH130" s="47">
        <f t="shared" si="14"/>
        <v>119.7</v>
      </c>
      <c r="AI130" s="48">
        <f t="shared" si="15"/>
        <v>56.4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243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244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245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ht="15.75" thickBot="1" x14ac:dyDescent="0.3">
      <c r="A135" s="199" t="s">
        <v>246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9"/>
      <c r="AG135" s="153"/>
      <c r="AH135" s="47"/>
      <c r="AI135" s="48"/>
    </row>
    <row r="136" spans="1:37" ht="15.75" thickBot="1" x14ac:dyDescent="0.3">
      <c r="A136" s="122" t="s">
        <v>129</v>
      </c>
      <c r="B136" s="123"/>
      <c r="C136" s="123"/>
      <c r="D136" s="123"/>
      <c r="E136" s="123"/>
      <c r="F136" s="176" t="s">
        <v>258</v>
      </c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83"/>
      <c r="AH136" s="47"/>
      <c r="AI136" s="48"/>
      <c r="AK136" s="50"/>
    </row>
    <row r="137" spans="1:37" x14ac:dyDescent="0.25">
      <c r="A137" s="125" t="s">
        <v>130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>
        <v>9.94</v>
      </c>
      <c r="AH137" s="47"/>
      <c r="AI137" s="48"/>
      <c r="AK137" s="50"/>
    </row>
    <row r="138" spans="1:37" x14ac:dyDescent="0.25">
      <c r="A138" s="103" t="s">
        <v>131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47"/>
      <c r="AI138" s="48"/>
      <c r="AK138" s="50"/>
    </row>
    <row r="139" spans="1:37" x14ac:dyDescent="0.25">
      <c r="A139" s="103" t="s">
        <v>132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47"/>
      <c r="AI139" s="48"/>
      <c r="AK139" s="50"/>
    </row>
    <row r="140" spans="1:37" x14ac:dyDescent="0.25">
      <c r="A140" s="103" t="s">
        <v>133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134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135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136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137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138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139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140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141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142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143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144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145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146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1">
        <v>9.9</v>
      </c>
      <c r="AH153" s="47"/>
      <c r="AI153" s="48"/>
      <c r="AK153" s="50"/>
    </row>
    <row r="154" spans="1:37" x14ac:dyDescent="0.25">
      <c r="A154" s="116" t="s">
        <v>147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9.6579999999999995</v>
      </c>
      <c r="AH154" s="47"/>
      <c r="AI154" s="48"/>
      <c r="AK154" s="50"/>
    </row>
    <row r="155" spans="1:37" x14ac:dyDescent="0.25">
      <c r="A155" s="116" t="s">
        <v>148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9.6</v>
      </c>
      <c r="AH155" s="47"/>
      <c r="AI155" s="48"/>
      <c r="AK155" s="50"/>
    </row>
    <row r="156" spans="1:37" x14ac:dyDescent="0.25">
      <c r="A156" s="116" t="s">
        <v>149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9.51</v>
      </c>
      <c r="AH156" s="47"/>
      <c r="AI156" s="48"/>
      <c r="AK156" s="50"/>
    </row>
    <row r="157" spans="1:37" x14ac:dyDescent="0.25">
      <c r="A157" s="116" t="s">
        <v>150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9.4</v>
      </c>
      <c r="AH157" s="47"/>
      <c r="AI157" s="48"/>
      <c r="AK157" s="50"/>
    </row>
    <row r="158" spans="1:37" x14ac:dyDescent="0.25">
      <c r="A158" s="116" t="s">
        <v>151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8.8000000000000007</v>
      </c>
      <c r="AH158" s="47"/>
      <c r="AI158" s="48"/>
      <c r="AK158" s="50"/>
    </row>
    <row r="159" spans="1:37" x14ac:dyDescent="0.25">
      <c r="A159" s="116" t="s">
        <v>152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8.5</v>
      </c>
      <c r="AH159" s="47"/>
      <c r="AI159" s="48"/>
      <c r="AK159" s="50"/>
    </row>
    <row r="160" spans="1:37" x14ac:dyDescent="0.25">
      <c r="A160" s="116" t="s">
        <v>153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8.5</v>
      </c>
      <c r="AH160" s="47"/>
      <c r="AI160" s="48"/>
      <c r="AK160" s="50"/>
    </row>
    <row r="161" spans="1:37" x14ac:dyDescent="0.25">
      <c r="A161" s="116" t="s">
        <v>154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8.4</v>
      </c>
      <c r="AH161" s="47"/>
      <c r="AI161" s="48"/>
      <c r="AK161" s="50"/>
    </row>
    <row r="162" spans="1:37" ht="13.5" customHeight="1" x14ac:dyDescent="0.25">
      <c r="A162" s="116" t="s">
        <v>155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</v>
      </c>
      <c r="AH162" s="47"/>
      <c r="AI162" s="48"/>
      <c r="AK162" s="50"/>
    </row>
    <row r="163" spans="1:37" x14ac:dyDescent="0.25">
      <c r="A163" s="116" t="s">
        <v>156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</v>
      </c>
      <c r="AH163" s="47"/>
      <c r="AI163" s="48"/>
      <c r="AK163" s="50"/>
    </row>
    <row r="164" spans="1:37" x14ac:dyDescent="0.25">
      <c r="A164" s="116" t="s">
        <v>157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158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7.8</v>
      </c>
      <c r="AH165" s="47"/>
      <c r="AI165" s="48"/>
      <c r="AK165" s="50"/>
    </row>
    <row r="166" spans="1:37" x14ac:dyDescent="0.25">
      <c r="A166" s="116" t="s">
        <v>159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7.6</v>
      </c>
      <c r="AH166" s="47"/>
      <c r="AI166" s="48"/>
      <c r="AK166" s="50"/>
    </row>
    <row r="167" spans="1:37" x14ac:dyDescent="0.25">
      <c r="A167" s="116" t="s">
        <v>160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7.5</v>
      </c>
      <c r="AH167" s="47"/>
      <c r="AI167" s="48"/>
      <c r="AK167" s="50"/>
    </row>
    <row r="168" spans="1:37" x14ac:dyDescent="0.25">
      <c r="A168" s="116" t="s">
        <v>161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7.5</v>
      </c>
      <c r="AH168" s="47"/>
      <c r="AI168" s="48"/>
      <c r="AK168" s="50"/>
    </row>
    <row r="169" spans="1:37" x14ac:dyDescent="0.25">
      <c r="A169" s="116" t="s">
        <v>162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</v>
      </c>
      <c r="AH169" s="47"/>
      <c r="AI169" s="48"/>
      <c r="AK169" s="50"/>
    </row>
    <row r="170" spans="1:37" x14ac:dyDescent="0.25">
      <c r="A170" s="116" t="s">
        <v>163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</v>
      </c>
      <c r="AH170" s="47"/>
      <c r="AI170" s="48"/>
      <c r="AK170" s="50"/>
    </row>
    <row r="171" spans="1:37" x14ac:dyDescent="0.25">
      <c r="A171" s="116" t="s">
        <v>164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165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166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6.6</v>
      </c>
      <c r="AH173" s="47"/>
      <c r="AI173" s="48"/>
      <c r="AK173" s="50"/>
    </row>
    <row r="174" spans="1:37" x14ac:dyDescent="0.25">
      <c r="A174" s="116" t="s">
        <v>167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6.6</v>
      </c>
      <c r="AH174" s="47"/>
      <c r="AI174" s="48"/>
      <c r="AK174" s="50"/>
    </row>
    <row r="175" spans="1:37" x14ac:dyDescent="0.25">
      <c r="A175" s="116" t="s">
        <v>168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6.4</v>
      </c>
      <c r="AH175" s="47"/>
      <c r="AI175" s="48"/>
      <c r="AK175" s="50"/>
    </row>
    <row r="176" spans="1:37" x14ac:dyDescent="0.25">
      <c r="A176" s="116" t="s">
        <v>169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</v>
      </c>
      <c r="AH176" s="47"/>
      <c r="AI176" s="48"/>
      <c r="AK176" s="50"/>
    </row>
    <row r="177" spans="1:37" x14ac:dyDescent="0.25">
      <c r="A177" s="116" t="s">
        <v>170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5.0999999999999996</v>
      </c>
      <c r="AH177" s="47"/>
      <c r="AI177" s="48"/>
      <c r="AK177" s="50"/>
    </row>
    <row r="178" spans="1:37" x14ac:dyDescent="0.25">
      <c r="A178" s="116" t="s">
        <v>171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5</v>
      </c>
      <c r="AH178" s="47"/>
      <c r="AI178" s="48"/>
      <c r="AK178" s="50"/>
    </row>
    <row r="179" spans="1:37" x14ac:dyDescent="0.25">
      <c r="A179" s="103" t="s">
        <v>172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1">
        <v>5</v>
      </c>
      <c r="AH179" s="47"/>
      <c r="AI179" s="48"/>
      <c r="AK179" s="50"/>
    </row>
    <row r="180" spans="1:37" x14ac:dyDescent="0.25">
      <c r="A180" s="116" t="s">
        <v>173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16" t="s">
        <v>174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5</v>
      </c>
      <c r="AH181" s="47"/>
      <c r="AI181" s="48"/>
      <c r="AK181" s="50"/>
    </row>
    <row r="182" spans="1:37" x14ac:dyDescent="0.25">
      <c r="A182" s="116" t="s">
        <v>175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176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177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178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4.9930000000000003</v>
      </c>
      <c r="AH185" s="47"/>
      <c r="AI185" s="48"/>
      <c r="AK185" s="50"/>
    </row>
    <row r="186" spans="1:37" x14ac:dyDescent="0.25">
      <c r="A186" s="116" t="s">
        <v>179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4.9800000000000004</v>
      </c>
      <c r="AH186" s="47"/>
      <c r="AI186" s="48"/>
      <c r="AK186" s="50"/>
    </row>
    <row r="187" spans="1:37" x14ac:dyDescent="0.25">
      <c r="A187" s="116" t="s">
        <v>180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4.95</v>
      </c>
      <c r="AH187" s="47"/>
      <c r="AI187" s="48"/>
      <c r="AK187" s="50"/>
    </row>
    <row r="188" spans="1:37" x14ac:dyDescent="0.25">
      <c r="A188" s="116" t="s">
        <v>181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4.95</v>
      </c>
      <c r="AH188" s="47"/>
      <c r="AI188" s="48"/>
      <c r="AK188" s="50"/>
    </row>
    <row r="189" spans="1:37" x14ac:dyDescent="0.25">
      <c r="A189" s="116" t="s">
        <v>182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4.8</v>
      </c>
      <c r="AH189" s="47"/>
      <c r="AI189" s="48"/>
      <c r="AK189" s="50"/>
    </row>
    <row r="190" spans="1:37" x14ac:dyDescent="0.25">
      <c r="A190" s="116" t="s">
        <v>183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4.8</v>
      </c>
      <c r="AH190" s="47"/>
      <c r="AI190" s="48"/>
      <c r="AK190" s="50"/>
    </row>
    <row r="191" spans="1:37" x14ac:dyDescent="0.25">
      <c r="A191" s="116" t="s">
        <v>184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185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4.5</v>
      </c>
      <c r="AH192" s="47"/>
      <c r="AI192" s="48"/>
      <c r="AK192" s="50"/>
    </row>
    <row r="193" spans="1:37" x14ac:dyDescent="0.25">
      <c r="A193" s="116" t="s">
        <v>186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4.5</v>
      </c>
      <c r="AH193" s="47"/>
      <c r="AI193" s="48"/>
      <c r="AK193" s="50"/>
    </row>
    <row r="194" spans="1:37" x14ac:dyDescent="0.25">
      <c r="A194" s="116" t="s">
        <v>187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4.4550000000000001</v>
      </c>
      <c r="AH194" s="47"/>
      <c r="AI194" s="48"/>
      <c r="AK194" s="50"/>
    </row>
    <row r="195" spans="1:37" x14ac:dyDescent="0.25">
      <c r="A195" s="116" t="s">
        <v>188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4.41</v>
      </c>
      <c r="AH195" s="47"/>
      <c r="AI195" s="48"/>
      <c r="AK195" s="50"/>
    </row>
    <row r="196" spans="1:37" x14ac:dyDescent="0.25">
      <c r="A196" s="116" t="s">
        <v>189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4.4000000000000004</v>
      </c>
      <c r="AH196" s="47"/>
      <c r="AI196" s="48"/>
      <c r="AK196" s="50"/>
    </row>
    <row r="197" spans="1:37" x14ac:dyDescent="0.25">
      <c r="A197" s="116" t="s">
        <v>190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4.3600000000000003</v>
      </c>
      <c r="AH197" s="47"/>
      <c r="AI197" s="48"/>
      <c r="AK197" s="50"/>
    </row>
    <row r="198" spans="1:37" x14ac:dyDescent="0.25">
      <c r="A198" s="116" t="s">
        <v>191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4.2</v>
      </c>
      <c r="AH198" s="47"/>
      <c r="AI198" s="48"/>
      <c r="AK198" s="50"/>
    </row>
    <row r="199" spans="1:37" x14ac:dyDescent="0.25">
      <c r="A199" s="116" t="s">
        <v>192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</v>
      </c>
      <c r="AH199" s="47"/>
      <c r="AI199" s="48"/>
      <c r="AK199" s="50"/>
    </row>
    <row r="200" spans="1:37" x14ac:dyDescent="0.25">
      <c r="A200" s="116" t="s">
        <v>193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</v>
      </c>
      <c r="AH200" s="47"/>
      <c r="AI200" s="48"/>
      <c r="AK200" s="50"/>
    </row>
    <row r="201" spans="1:37" x14ac:dyDescent="0.25">
      <c r="A201" s="116" t="s">
        <v>194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195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196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197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198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199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200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3.75</v>
      </c>
      <c r="AH207" s="47"/>
      <c r="AI207" s="48"/>
      <c r="AK207" s="50"/>
    </row>
    <row r="208" spans="1:37" x14ac:dyDescent="0.25">
      <c r="A208" s="116" t="s">
        <v>201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3.52</v>
      </c>
      <c r="AH208" s="47"/>
      <c r="AI208" s="48"/>
      <c r="AK208" s="50"/>
    </row>
    <row r="209" spans="1:37" x14ac:dyDescent="0.25">
      <c r="A209" s="116" t="s">
        <v>202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3.33</v>
      </c>
      <c r="AH209" s="47"/>
      <c r="AI209" s="48"/>
      <c r="AK209" s="50"/>
    </row>
    <row r="210" spans="1:37" x14ac:dyDescent="0.25">
      <c r="A210" s="116" t="s">
        <v>203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3.2</v>
      </c>
      <c r="AH210" s="47"/>
      <c r="AI210" s="48"/>
      <c r="AK210" s="50"/>
    </row>
    <row r="211" spans="1:37" x14ac:dyDescent="0.25">
      <c r="A211" s="116" t="s">
        <v>204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</v>
      </c>
      <c r="AH211" s="47"/>
      <c r="AI211" s="48"/>
      <c r="AK211" s="50"/>
    </row>
    <row r="212" spans="1:37" x14ac:dyDescent="0.25">
      <c r="A212" s="116" t="s">
        <v>205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</v>
      </c>
      <c r="AH212" s="47"/>
      <c r="AI212" s="48"/>
      <c r="AK212" s="50"/>
    </row>
    <row r="213" spans="1:37" x14ac:dyDescent="0.25">
      <c r="A213" s="116" t="s">
        <v>206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207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208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209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210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211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212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2.83</v>
      </c>
      <c r="AH219" s="47"/>
      <c r="AI219" s="48"/>
      <c r="AK219" s="50"/>
    </row>
    <row r="220" spans="1:37" x14ac:dyDescent="0.25">
      <c r="A220" s="116" t="s">
        <v>213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2.5</v>
      </c>
      <c r="AH220" s="47"/>
      <c r="AI220" s="48"/>
      <c r="AK220" s="50"/>
    </row>
    <row r="221" spans="1:37" x14ac:dyDescent="0.25">
      <c r="A221" s="116" t="s">
        <v>214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2.5</v>
      </c>
      <c r="AH221" s="47"/>
      <c r="AI221" s="48"/>
      <c r="AK221" s="50"/>
    </row>
    <row r="222" spans="1:37" x14ac:dyDescent="0.25">
      <c r="A222" s="116" t="s">
        <v>215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2.4</v>
      </c>
      <c r="AH222" s="47"/>
      <c r="AI222" s="48"/>
      <c r="AK222" s="50"/>
    </row>
    <row r="223" spans="1:37" x14ac:dyDescent="0.25">
      <c r="A223" s="116" t="s">
        <v>216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2.4</v>
      </c>
      <c r="AH223" s="47"/>
      <c r="AI223" s="48"/>
      <c r="AK223" s="50"/>
    </row>
    <row r="224" spans="1:37" x14ac:dyDescent="0.25">
      <c r="A224" s="116" t="s">
        <v>217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2.2000000000000002</v>
      </c>
      <c r="AH224" s="47"/>
      <c r="AI224" s="48"/>
      <c r="AK224" s="50"/>
    </row>
    <row r="225" spans="1:37" x14ac:dyDescent="0.25">
      <c r="A225" s="116" t="s">
        <v>218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</v>
      </c>
      <c r="AH225" s="47"/>
      <c r="AI225" s="48"/>
      <c r="AK225" s="50"/>
    </row>
    <row r="226" spans="1:37" x14ac:dyDescent="0.25">
      <c r="A226" s="116" t="s">
        <v>219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</v>
      </c>
      <c r="AH226" s="47"/>
      <c r="AI226" s="48"/>
      <c r="AK226" s="50"/>
    </row>
    <row r="227" spans="1:37" x14ac:dyDescent="0.25">
      <c r="A227" s="116" t="s">
        <v>220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221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1.8</v>
      </c>
      <c r="AH228" s="47"/>
      <c r="AI228" s="48"/>
      <c r="AK228" s="50"/>
    </row>
    <row r="229" spans="1:37" x14ac:dyDescent="0.25">
      <c r="A229" s="116" t="s">
        <v>222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1.8</v>
      </c>
      <c r="AH229" s="47"/>
      <c r="AI229" s="48"/>
      <c r="AK229" s="50"/>
    </row>
    <row r="230" spans="1:37" x14ac:dyDescent="0.25">
      <c r="A230" s="116" t="s">
        <v>223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1.65</v>
      </c>
      <c r="AH230" s="47"/>
      <c r="AI230" s="48"/>
      <c r="AK230" s="50"/>
    </row>
    <row r="231" spans="1:37" x14ac:dyDescent="0.25">
      <c r="A231" s="116" t="s">
        <v>224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1.5</v>
      </c>
      <c r="AH231" s="47"/>
      <c r="AI231" s="48"/>
      <c r="AK231" s="50"/>
    </row>
    <row r="232" spans="1:37" x14ac:dyDescent="0.25">
      <c r="A232" s="116" t="s">
        <v>225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0.998</v>
      </c>
      <c r="AH232" s="47"/>
      <c r="AI232" s="48"/>
      <c r="AK232" s="50"/>
    </row>
    <row r="233" spans="1:37" x14ac:dyDescent="0.25">
      <c r="A233" s="116" t="s">
        <v>226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0.997</v>
      </c>
      <c r="AH233" s="47"/>
      <c r="AI233" s="48"/>
      <c r="AK233" s="50"/>
    </row>
    <row r="234" spans="1:37" x14ac:dyDescent="0.25">
      <c r="A234" s="116" t="s">
        <v>227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0.997</v>
      </c>
      <c r="AH234" s="47"/>
      <c r="AI234" s="48"/>
      <c r="AK234" s="50"/>
    </row>
    <row r="235" spans="1:37" x14ac:dyDescent="0.25">
      <c r="A235" s="116" t="s">
        <v>228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0.996</v>
      </c>
      <c r="AH235" s="47"/>
      <c r="AI235" s="48"/>
      <c r="AK235" s="50"/>
    </row>
    <row r="236" spans="1:37" x14ac:dyDescent="0.25">
      <c r="A236" s="116" t="s">
        <v>229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0.996</v>
      </c>
      <c r="AH236" s="47"/>
      <c r="AI236" s="48"/>
      <c r="AK236" s="50"/>
    </row>
    <row r="237" spans="1:37" x14ac:dyDescent="0.25">
      <c r="A237" s="116" t="s">
        <v>230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231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0.995</v>
      </c>
      <c r="AH238" s="47"/>
      <c r="AI238" s="48"/>
      <c r="AK238" s="50"/>
    </row>
    <row r="239" spans="1:37" x14ac:dyDescent="0.25">
      <c r="A239" s="116" t="s">
        <v>232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0.99299999999999999</v>
      </c>
      <c r="AH239" s="47"/>
      <c r="AI239" s="48"/>
      <c r="AK239" s="50"/>
    </row>
    <row r="240" spans="1:37" x14ac:dyDescent="0.25">
      <c r="A240" s="116" t="s">
        <v>233</v>
      </c>
      <c r="B240" s="129"/>
      <c r="C240" s="127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</v>
      </c>
      <c r="AH240" s="47"/>
      <c r="AI240" s="48"/>
      <c r="AK240" s="50"/>
    </row>
    <row r="241" spans="1:37" ht="15.75" thickBot="1" x14ac:dyDescent="0.3">
      <c r="A241" s="116" t="s">
        <v>234</v>
      </c>
      <c r="B241" s="133"/>
      <c r="C241" s="134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2">
        <v>0.97899999999999998</v>
      </c>
      <c r="AH241" s="47"/>
      <c r="AI241" s="48"/>
      <c r="AK241" s="50"/>
    </row>
    <row r="242" spans="1:37" ht="15.75" thickBot="1" x14ac:dyDescent="0.3">
      <c r="A242" s="135" t="s">
        <v>235</v>
      </c>
      <c r="B242" s="136">
        <f t="shared" ref="B242:AG242" si="42">SUM(B137:B241)</f>
        <v>0</v>
      </c>
      <c r="C242" s="137">
        <f t="shared" si="42"/>
        <v>0</v>
      </c>
      <c r="D242" s="137">
        <f t="shared" si="42"/>
        <v>0</v>
      </c>
      <c r="E242" s="137">
        <f t="shared" si="42"/>
        <v>0</v>
      </c>
      <c r="F242" s="137">
        <f t="shared" si="42"/>
        <v>0</v>
      </c>
      <c r="G242" s="137">
        <f t="shared" si="42"/>
        <v>0</v>
      </c>
      <c r="H242" s="137">
        <f t="shared" si="42"/>
        <v>0</v>
      </c>
      <c r="I242" s="137">
        <f t="shared" si="42"/>
        <v>0</v>
      </c>
      <c r="J242" s="137">
        <f t="shared" si="42"/>
        <v>0</v>
      </c>
      <c r="K242" s="137">
        <f t="shared" si="42"/>
        <v>0</v>
      </c>
      <c r="L242" s="137">
        <f t="shared" si="42"/>
        <v>0</v>
      </c>
      <c r="M242" s="137">
        <f t="shared" si="42"/>
        <v>0</v>
      </c>
      <c r="N242" s="137">
        <f t="shared" si="42"/>
        <v>0</v>
      </c>
      <c r="O242" s="137">
        <f t="shared" si="42"/>
        <v>0</v>
      </c>
      <c r="P242" s="137">
        <f t="shared" si="42"/>
        <v>0</v>
      </c>
      <c r="Q242" s="137">
        <f t="shared" si="42"/>
        <v>0</v>
      </c>
      <c r="R242" s="137">
        <f t="shared" si="42"/>
        <v>0</v>
      </c>
      <c r="S242" s="137">
        <f t="shared" si="42"/>
        <v>0</v>
      </c>
      <c r="T242" s="137">
        <f t="shared" si="42"/>
        <v>0</v>
      </c>
      <c r="U242" s="137">
        <f t="shared" si="42"/>
        <v>0</v>
      </c>
      <c r="V242" s="137">
        <f t="shared" si="42"/>
        <v>0</v>
      </c>
      <c r="W242" s="137">
        <f t="shared" si="42"/>
        <v>0</v>
      </c>
      <c r="X242" s="137">
        <f t="shared" si="42"/>
        <v>0</v>
      </c>
      <c r="Y242" s="137">
        <f t="shared" si="42"/>
        <v>0</v>
      </c>
      <c r="Z242" s="137">
        <f t="shared" si="42"/>
        <v>0</v>
      </c>
      <c r="AA242" s="137">
        <f t="shared" si="42"/>
        <v>0</v>
      </c>
      <c r="AB242" s="137">
        <f t="shared" si="42"/>
        <v>0</v>
      </c>
      <c r="AC242" s="137">
        <f t="shared" si="42"/>
        <v>0</v>
      </c>
      <c r="AD242" s="137">
        <f t="shared" si="42"/>
        <v>0</v>
      </c>
      <c r="AE242" s="137">
        <f t="shared" si="42"/>
        <v>0</v>
      </c>
      <c r="AF242" s="138">
        <f t="shared" si="42"/>
        <v>0</v>
      </c>
      <c r="AG242" s="139">
        <f t="shared" si="42"/>
        <v>412.72299999999984</v>
      </c>
      <c r="AH242" s="47"/>
      <c r="AI242" s="48"/>
      <c r="AK242" s="50"/>
    </row>
    <row r="243" spans="1:37" ht="15.75" thickBot="1" x14ac:dyDescent="0.3">
      <c r="A243" s="26" t="s">
        <v>75</v>
      </c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19"/>
      <c r="AH243" s="47"/>
      <c r="AI243" s="48"/>
      <c r="AK243" s="50"/>
    </row>
    <row r="244" spans="1:37" x14ac:dyDescent="0.25">
      <c r="A244" s="100" t="s">
        <v>236</v>
      </c>
      <c r="B244" s="141">
        <f t="shared" ref="B244:B249" si="43">AF244</f>
        <v>0.3</v>
      </c>
      <c r="C244" s="141">
        <v>0.3</v>
      </c>
      <c r="D244" s="141">
        <f t="shared" ref="D244:S249" si="44">C244</f>
        <v>0.3</v>
      </c>
      <c r="E244" s="141">
        <f t="shared" si="44"/>
        <v>0.3</v>
      </c>
      <c r="F244" s="141">
        <f t="shared" si="44"/>
        <v>0.3</v>
      </c>
      <c r="G244" s="141">
        <f t="shared" si="44"/>
        <v>0.3</v>
      </c>
      <c r="H244" s="141">
        <f t="shared" si="44"/>
        <v>0.3</v>
      </c>
      <c r="I244" s="141">
        <f t="shared" si="44"/>
        <v>0.3</v>
      </c>
      <c r="J244" s="141">
        <f t="shared" si="44"/>
        <v>0.3</v>
      </c>
      <c r="K244" s="141">
        <f t="shared" si="44"/>
        <v>0.3</v>
      </c>
      <c r="L244" s="141">
        <f t="shared" si="44"/>
        <v>0.3</v>
      </c>
      <c r="M244" s="141">
        <f t="shared" si="44"/>
        <v>0.3</v>
      </c>
      <c r="N244" s="141">
        <f t="shared" si="44"/>
        <v>0.3</v>
      </c>
      <c r="O244" s="141">
        <f t="shared" si="44"/>
        <v>0.3</v>
      </c>
      <c r="P244" s="141">
        <f t="shared" si="44"/>
        <v>0.3</v>
      </c>
      <c r="Q244" s="141">
        <f t="shared" si="44"/>
        <v>0.3</v>
      </c>
      <c r="R244" s="141">
        <f t="shared" si="44"/>
        <v>0.3</v>
      </c>
      <c r="S244" s="141">
        <f t="shared" si="44"/>
        <v>0.3</v>
      </c>
      <c r="T244" s="141">
        <f t="shared" ref="T244:AF249" si="45">S244</f>
        <v>0.3</v>
      </c>
      <c r="U244" s="141">
        <f t="shared" si="45"/>
        <v>0.3</v>
      </c>
      <c r="V244" s="141">
        <f t="shared" si="45"/>
        <v>0.3</v>
      </c>
      <c r="W244" s="141">
        <f t="shared" si="45"/>
        <v>0.3</v>
      </c>
      <c r="X244" s="141">
        <f t="shared" si="45"/>
        <v>0.3</v>
      </c>
      <c r="Y244" s="141">
        <f t="shared" si="45"/>
        <v>0.3</v>
      </c>
      <c r="Z244" s="141">
        <f t="shared" si="45"/>
        <v>0.3</v>
      </c>
      <c r="AA244" s="141">
        <f t="shared" si="45"/>
        <v>0.3</v>
      </c>
      <c r="AB244" s="141">
        <f t="shared" si="45"/>
        <v>0.3</v>
      </c>
      <c r="AC244" s="141">
        <f t="shared" si="45"/>
        <v>0.3</v>
      </c>
      <c r="AD244" s="141">
        <f t="shared" si="45"/>
        <v>0.3</v>
      </c>
      <c r="AE244" s="141">
        <f t="shared" si="45"/>
        <v>0.3</v>
      </c>
      <c r="AF244" s="141">
        <f t="shared" si="45"/>
        <v>0.3</v>
      </c>
      <c r="AG244" s="142">
        <v>2.4</v>
      </c>
      <c r="AH244" s="47"/>
      <c r="AI244" s="48"/>
      <c r="AK244" s="50"/>
    </row>
    <row r="245" spans="1:37" x14ac:dyDescent="0.25">
      <c r="A245" s="103" t="s">
        <v>237</v>
      </c>
      <c r="B245" s="129">
        <f t="shared" si="43"/>
        <v>0.4</v>
      </c>
      <c r="C245" s="129">
        <v>0.4</v>
      </c>
      <c r="D245" s="129">
        <f t="shared" si="44"/>
        <v>0.4</v>
      </c>
      <c r="E245" s="129">
        <f t="shared" si="44"/>
        <v>0.4</v>
      </c>
      <c r="F245" s="129">
        <f t="shared" si="44"/>
        <v>0.4</v>
      </c>
      <c r="G245" s="129">
        <f t="shared" si="44"/>
        <v>0.4</v>
      </c>
      <c r="H245" s="129">
        <f t="shared" si="44"/>
        <v>0.4</v>
      </c>
      <c r="I245" s="129">
        <f t="shared" si="44"/>
        <v>0.4</v>
      </c>
      <c r="J245" s="129">
        <f t="shared" si="44"/>
        <v>0.4</v>
      </c>
      <c r="K245" s="129">
        <f t="shared" si="44"/>
        <v>0.4</v>
      </c>
      <c r="L245" s="129">
        <f t="shared" si="44"/>
        <v>0.4</v>
      </c>
      <c r="M245" s="129">
        <f t="shared" si="44"/>
        <v>0.4</v>
      </c>
      <c r="N245" s="129">
        <f t="shared" si="44"/>
        <v>0.4</v>
      </c>
      <c r="O245" s="129">
        <f t="shared" si="44"/>
        <v>0.4</v>
      </c>
      <c r="P245" s="129">
        <f t="shared" si="44"/>
        <v>0.4</v>
      </c>
      <c r="Q245" s="129">
        <f t="shared" si="44"/>
        <v>0.4</v>
      </c>
      <c r="R245" s="129">
        <f t="shared" si="44"/>
        <v>0.4</v>
      </c>
      <c r="S245" s="129">
        <f t="shared" si="44"/>
        <v>0.4</v>
      </c>
      <c r="T245" s="129">
        <f t="shared" si="45"/>
        <v>0.4</v>
      </c>
      <c r="U245" s="129">
        <f t="shared" si="45"/>
        <v>0.4</v>
      </c>
      <c r="V245" s="129">
        <f t="shared" si="45"/>
        <v>0.4</v>
      </c>
      <c r="W245" s="129">
        <f t="shared" si="45"/>
        <v>0.4</v>
      </c>
      <c r="X245" s="129">
        <f t="shared" si="45"/>
        <v>0.4</v>
      </c>
      <c r="Y245" s="129">
        <f t="shared" si="45"/>
        <v>0.4</v>
      </c>
      <c r="Z245" s="129">
        <f t="shared" si="45"/>
        <v>0.4</v>
      </c>
      <c r="AA245" s="129">
        <f t="shared" si="45"/>
        <v>0.4</v>
      </c>
      <c r="AB245" s="129">
        <f t="shared" si="45"/>
        <v>0.4</v>
      </c>
      <c r="AC245" s="129">
        <f t="shared" si="45"/>
        <v>0.4</v>
      </c>
      <c r="AD245" s="129">
        <f t="shared" si="45"/>
        <v>0.4</v>
      </c>
      <c r="AE245" s="129">
        <f t="shared" si="45"/>
        <v>0.4</v>
      </c>
      <c r="AF245" s="129">
        <f t="shared" si="45"/>
        <v>0.4</v>
      </c>
      <c r="AG245" s="143">
        <v>2</v>
      </c>
      <c r="AH245" s="47"/>
      <c r="AI245" s="48"/>
      <c r="AK245" s="50"/>
    </row>
    <row r="246" spans="1:37" x14ac:dyDescent="0.25">
      <c r="A246" s="103" t="s">
        <v>238</v>
      </c>
      <c r="B246" s="129">
        <f t="shared" si="43"/>
        <v>1.5</v>
      </c>
      <c r="C246" s="129">
        <v>1.5</v>
      </c>
      <c r="D246" s="129">
        <f t="shared" si="44"/>
        <v>1.5</v>
      </c>
      <c r="E246" s="129">
        <f t="shared" si="44"/>
        <v>1.5</v>
      </c>
      <c r="F246" s="129">
        <f t="shared" si="44"/>
        <v>1.5</v>
      </c>
      <c r="G246" s="129">
        <f t="shared" si="44"/>
        <v>1.5</v>
      </c>
      <c r="H246" s="129">
        <f t="shared" si="44"/>
        <v>1.5</v>
      </c>
      <c r="I246" s="129">
        <f t="shared" si="44"/>
        <v>1.5</v>
      </c>
      <c r="J246" s="129">
        <f t="shared" si="44"/>
        <v>1.5</v>
      </c>
      <c r="K246" s="129">
        <f t="shared" si="44"/>
        <v>1.5</v>
      </c>
      <c r="L246" s="129">
        <f t="shared" si="44"/>
        <v>1.5</v>
      </c>
      <c r="M246" s="129">
        <f t="shared" si="44"/>
        <v>1.5</v>
      </c>
      <c r="N246" s="129">
        <f t="shared" si="44"/>
        <v>1.5</v>
      </c>
      <c r="O246" s="129">
        <f t="shared" si="44"/>
        <v>1.5</v>
      </c>
      <c r="P246" s="129">
        <f t="shared" si="44"/>
        <v>1.5</v>
      </c>
      <c r="Q246" s="129">
        <f t="shared" si="44"/>
        <v>1.5</v>
      </c>
      <c r="R246" s="129">
        <f t="shared" si="44"/>
        <v>1.5</v>
      </c>
      <c r="S246" s="129">
        <f t="shared" si="44"/>
        <v>1.5</v>
      </c>
      <c r="T246" s="129">
        <f t="shared" si="45"/>
        <v>1.5</v>
      </c>
      <c r="U246" s="129">
        <f t="shared" si="45"/>
        <v>1.5</v>
      </c>
      <c r="V246" s="129">
        <f t="shared" si="45"/>
        <v>1.5</v>
      </c>
      <c r="W246" s="129">
        <f t="shared" si="45"/>
        <v>1.5</v>
      </c>
      <c r="X246" s="129">
        <f t="shared" si="45"/>
        <v>1.5</v>
      </c>
      <c r="Y246" s="129">
        <f t="shared" si="45"/>
        <v>1.5</v>
      </c>
      <c r="Z246" s="129">
        <f t="shared" si="45"/>
        <v>1.5</v>
      </c>
      <c r="AA246" s="129">
        <f t="shared" si="45"/>
        <v>1.5</v>
      </c>
      <c r="AB246" s="129">
        <f t="shared" si="45"/>
        <v>1.5</v>
      </c>
      <c r="AC246" s="129">
        <f t="shared" si="45"/>
        <v>1.5</v>
      </c>
      <c r="AD246" s="129">
        <f t="shared" si="45"/>
        <v>1.5</v>
      </c>
      <c r="AE246" s="129">
        <f t="shared" si="45"/>
        <v>1.5</v>
      </c>
      <c r="AF246" s="129">
        <f t="shared" si="45"/>
        <v>1.5</v>
      </c>
      <c r="AG246" s="143">
        <v>1.5</v>
      </c>
      <c r="AH246" s="47"/>
      <c r="AI246" s="48"/>
      <c r="AK246" s="50"/>
    </row>
    <row r="247" spans="1:37" x14ac:dyDescent="0.25">
      <c r="A247" s="103" t="s">
        <v>239</v>
      </c>
      <c r="B247" s="129">
        <f t="shared" si="43"/>
        <v>0.3</v>
      </c>
      <c r="C247" s="129">
        <v>0.3</v>
      </c>
      <c r="D247" s="129">
        <f t="shared" si="44"/>
        <v>0.3</v>
      </c>
      <c r="E247" s="129">
        <f t="shared" si="44"/>
        <v>0.3</v>
      </c>
      <c r="F247" s="129">
        <f t="shared" si="44"/>
        <v>0.3</v>
      </c>
      <c r="G247" s="129">
        <f t="shared" si="44"/>
        <v>0.3</v>
      </c>
      <c r="H247" s="129">
        <f t="shared" si="44"/>
        <v>0.3</v>
      </c>
      <c r="I247" s="129">
        <f t="shared" si="44"/>
        <v>0.3</v>
      </c>
      <c r="J247" s="129">
        <f t="shared" si="44"/>
        <v>0.3</v>
      </c>
      <c r="K247" s="129">
        <f t="shared" si="44"/>
        <v>0.3</v>
      </c>
      <c r="L247" s="129">
        <f t="shared" si="44"/>
        <v>0.3</v>
      </c>
      <c r="M247" s="129">
        <f t="shared" si="44"/>
        <v>0.3</v>
      </c>
      <c r="N247" s="129">
        <f t="shared" si="44"/>
        <v>0.3</v>
      </c>
      <c r="O247" s="129">
        <f t="shared" si="44"/>
        <v>0.3</v>
      </c>
      <c r="P247" s="129">
        <f t="shared" si="44"/>
        <v>0.3</v>
      </c>
      <c r="Q247" s="129">
        <f t="shared" si="44"/>
        <v>0.3</v>
      </c>
      <c r="R247" s="129">
        <f t="shared" si="44"/>
        <v>0.3</v>
      </c>
      <c r="S247" s="129">
        <f t="shared" si="44"/>
        <v>0.3</v>
      </c>
      <c r="T247" s="129">
        <f t="shared" si="45"/>
        <v>0.3</v>
      </c>
      <c r="U247" s="129">
        <f t="shared" si="45"/>
        <v>0.3</v>
      </c>
      <c r="V247" s="129">
        <f t="shared" si="45"/>
        <v>0.3</v>
      </c>
      <c r="W247" s="129">
        <f t="shared" si="45"/>
        <v>0.3</v>
      </c>
      <c r="X247" s="129">
        <f t="shared" si="45"/>
        <v>0.3</v>
      </c>
      <c r="Y247" s="129">
        <f t="shared" si="45"/>
        <v>0.3</v>
      </c>
      <c r="Z247" s="129">
        <f t="shared" si="45"/>
        <v>0.3</v>
      </c>
      <c r="AA247" s="129">
        <f t="shared" si="45"/>
        <v>0.3</v>
      </c>
      <c r="AB247" s="129">
        <f t="shared" si="45"/>
        <v>0.3</v>
      </c>
      <c r="AC247" s="129">
        <f t="shared" si="45"/>
        <v>0.3</v>
      </c>
      <c r="AD247" s="129">
        <f t="shared" si="45"/>
        <v>0.3</v>
      </c>
      <c r="AE247" s="129">
        <f t="shared" si="45"/>
        <v>0.3</v>
      </c>
      <c r="AF247" s="129">
        <f t="shared" si="45"/>
        <v>0.3</v>
      </c>
      <c r="AG247" s="143">
        <v>1</v>
      </c>
      <c r="AH247" s="47"/>
      <c r="AI247" s="48"/>
      <c r="AK247" s="50"/>
    </row>
    <row r="248" spans="1:37" x14ac:dyDescent="0.25">
      <c r="A248" s="103" t="s">
        <v>240</v>
      </c>
      <c r="B248" s="129">
        <f t="shared" si="43"/>
        <v>0.4</v>
      </c>
      <c r="C248" s="129">
        <v>0.4</v>
      </c>
      <c r="D248" s="129">
        <f t="shared" si="44"/>
        <v>0.4</v>
      </c>
      <c r="E248" s="129">
        <f t="shared" si="44"/>
        <v>0.4</v>
      </c>
      <c r="F248" s="129">
        <f t="shared" si="44"/>
        <v>0.4</v>
      </c>
      <c r="G248" s="129">
        <f t="shared" si="44"/>
        <v>0.4</v>
      </c>
      <c r="H248" s="129">
        <f t="shared" si="44"/>
        <v>0.4</v>
      </c>
      <c r="I248" s="129">
        <f t="shared" si="44"/>
        <v>0.4</v>
      </c>
      <c r="J248" s="129">
        <f t="shared" si="44"/>
        <v>0.4</v>
      </c>
      <c r="K248" s="129">
        <f t="shared" si="44"/>
        <v>0.4</v>
      </c>
      <c r="L248" s="129">
        <f t="shared" si="44"/>
        <v>0.4</v>
      </c>
      <c r="M248" s="129">
        <f t="shared" si="44"/>
        <v>0.4</v>
      </c>
      <c r="N248" s="129">
        <f t="shared" si="44"/>
        <v>0.4</v>
      </c>
      <c r="O248" s="129">
        <f t="shared" si="44"/>
        <v>0.4</v>
      </c>
      <c r="P248" s="129">
        <f t="shared" si="44"/>
        <v>0.4</v>
      </c>
      <c r="Q248" s="129">
        <f t="shared" si="44"/>
        <v>0.4</v>
      </c>
      <c r="R248" s="129">
        <f t="shared" si="44"/>
        <v>0.4</v>
      </c>
      <c r="S248" s="129">
        <f t="shared" si="44"/>
        <v>0.4</v>
      </c>
      <c r="T248" s="129">
        <f t="shared" si="45"/>
        <v>0.4</v>
      </c>
      <c r="U248" s="129">
        <f t="shared" si="45"/>
        <v>0.4</v>
      </c>
      <c r="V248" s="129">
        <f t="shared" si="45"/>
        <v>0.4</v>
      </c>
      <c r="W248" s="129">
        <f t="shared" si="45"/>
        <v>0.4</v>
      </c>
      <c r="X248" s="129">
        <f t="shared" si="45"/>
        <v>0.4</v>
      </c>
      <c r="Y248" s="129">
        <f t="shared" si="45"/>
        <v>0.4</v>
      </c>
      <c r="Z248" s="129">
        <f t="shared" si="45"/>
        <v>0.4</v>
      </c>
      <c r="AA248" s="129">
        <f t="shared" si="45"/>
        <v>0.4</v>
      </c>
      <c r="AB248" s="129">
        <f t="shared" si="45"/>
        <v>0.4</v>
      </c>
      <c r="AC248" s="129">
        <f t="shared" si="45"/>
        <v>0.4</v>
      </c>
      <c r="AD248" s="129">
        <f t="shared" si="45"/>
        <v>0.4</v>
      </c>
      <c r="AE248" s="129">
        <f t="shared" si="45"/>
        <v>0.4</v>
      </c>
      <c r="AF248" s="129">
        <f t="shared" si="45"/>
        <v>0.4</v>
      </c>
      <c r="AG248" s="143">
        <v>1</v>
      </c>
      <c r="AH248" s="47"/>
      <c r="AI248" s="48"/>
      <c r="AK248" s="50"/>
    </row>
    <row r="249" spans="1:37" ht="15.75" thickBot="1" x14ac:dyDescent="0.3">
      <c r="A249" s="116" t="s">
        <v>241</v>
      </c>
      <c r="B249" s="133">
        <f t="shared" si="43"/>
        <v>0.64</v>
      </c>
      <c r="C249" s="133">
        <v>0.64</v>
      </c>
      <c r="D249" s="133">
        <f t="shared" si="44"/>
        <v>0.64</v>
      </c>
      <c r="E249" s="133">
        <f t="shared" si="44"/>
        <v>0.64</v>
      </c>
      <c r="F249" s="133">
        <f t="shared" si="44"/>
        <v>0.64</v>
      </c>
      <c r="G249" s="133">
        <f t="shared" si="44"/>
        <v>0.64</v>
      </c>
      <c r="H249" s="133">
        <f t="shared" si="44"/>
        <v>0.64</v>
      </c>
      <c r="I249" s="133">
        <f t="shared" si="44"/>
        <v>0.64</v>
      </c>
      <c r="J249" s="133">
        <f t="shared" si="44"/>
        <v>0.64</v>
      </c>
      <c r="K249" s="133">
        <f t="shared" si="44"/>
        <v>0.64</v>
      </c>
      <c r="L249" s="133">
        <f t="shared" si="44"/>
        <v>0.64</v>
      </c>
      <c r="M249" s="133">
        <f t="shared" si="44"/>
        <v>0.64</v>
      </c>
      <c r="N249" s="133">
        <f t="shared" si="44"/>
        <v>0.64</v>
      </c>
      <c r="O249" s="133">
        <f t="shared" si="44"/>
        <v>0.64</v>
      </c>
      <c r="P249" s="133">
        <f t="shared" si="44"/>
        <v>0.64</v>
      </c>
      <c r="Q249" s="133">
        <f t="shared" si="44"/>
        <v>0.64</v>
      </c>
      <c r="R249" s="133">
        <f t="shared" si="44"/>
        <v>0.64</v>
      </c>
      <c r="S249" s="133">
        <f t="shared" si="44"/>
        <v>0.64</v>
      </c>
      <c r="T249" s="133">
        <f t="shared" si="45"/>
        <v>0.64</v>
      </c>
      <c r="U249" s="133">
        <f t="shared" si="45"/>
        <v>0.64</v>
      </c>
      <c r="V249" s="133">
        <f t="shared" si="45"/>
        <v>0.64</v>
      </c>
      <c r="W249" s="133">
        <f t="shared" si="45"/>
        <v>0.64</v>
      </c>
      <c r="X249" s="133">
        <f t="shared" si="45"/>
        <v>0.64</v>
      </c>
      <c r="Y249" s="133">
        <f t="shared" si="45"/>
        <v>0.64</v>
      </c>
      <c r="Z249" s="133">
        <f t="shared" si="45"/>
        <v>0.64</v>
      </c>
      <c r="AA249" s="133">
        <f t="shared" si="45"/>
        <v>0.64</v>
      </c>
      <c r="AB249" s="133">
        <f t="shared" si="45"/>
        <v>0.64</v>
      </c>
      <c r="AC249" s="133">
        <f t="shared" si="45"/>
        <v>0.64</v>
      </c>
      <c r="AD249" s="133">
        <f t="shared" si="45"/>
        <v>0.64</v>
      </c>
      <c r="AE249" s="133">
        <f t="shared" si="45"/>
        <v>0.64</v>
      </c>
      <c r="AF249" s="133">
        <f t="shared" si="45"/>
        <v>0.64</v>
      </c>
      <c r="AG249" s="144">
        <v>0.66</v>
      </c>
      <c r="AH249" s="47"/>
      <c r="AI249" s="48"/>
    </row>
    <row r="250" spans="1:37" ht="15.75" thickBot="1" x14ac:dyDescent="0.3">
      <c r="A250" s="145" t="s">
        <v>75</v>
      </c>
      <c r="B250" s="137">
        <f t="shared" ref="B250:AG250" si="46">SUM(B244:B249)</f>
        <v>3.54</v>
      </c>
      <c r="C250" s="137">
        <f t="shared" si="46"/>
        <v>3.54</v>
      </c>
      <c r="D250" s="137">
        <f t="shared" si="46"/>
        <v>3.54</v>
      </c>
      <c r="E250" s="137">
        <f t="shared" si="46"/>
        <v>3.54</v>
      </c>
      <c r="F250" s="137">
        <f t="shared" si="46"/>
        <v>3.54</v>
      </c>
      <c r="G250" s="137">
        <f t="shared" si="46"/>
        <v>3.54</v>
      </c>
      <c r="H250" s="137">
        <f t="shared" si="46"/>
        <v>3.54</v>
      </c>
      <c r="I250" s="137">
        <f t="shared" si="46"/>
        <v>3.54</v>
      </c>
      <c r="J250" s="137">
        <f t="shared" si="46"/>
        <v>3.54</v>
      </c>
      <c r="K250" s="137">
        <f t="shared" si="46"/>
        <v>3.54</v>
      </c>
      <c r="L250" s="137">
        <f t="shared" si="46"/>
        <v>3.54</v>
      </c>
      <c r="M250" s="137">
        <f t="shared" si="46"/>
        <v>3.54</v>
      </c>
      <c r="N250" s="137">
        <f t="shared" si="46"/>
        <v>3.54</v>
      </c>
      <c r="O250" s="137">
        <f t="shared" si="46"/>
        <v>3.54</v>
      </c>
      <c r="P250" s="137">
        <f t="shared" si="46"/>
        <v>3.54</v>
      </c>
      <c r="Q250" s="137">
        <f t="shared" si="46"/>
        <v>3.54</v>
      </c>
      <c r="R250" s="137">
        <f t="shared" si="46"/>
        <v>3.54</v>
      </c>
      <c r="S250" s="137">
        <f t="shared" si="46"/>
        <v>3.54</v>
      </c>
      <c r="T250" s="137">
        <f t="shared" si="46"/>
        <v>3.54</v>
      </c>
      <c r="U250" s="137">
        <f t="shared" si="46"/>
        <v>3.54</v>
      </c>
      <c r="V250" s="137">
        <f t="shared" si="46"/>
        <v>3.54</v>
      </c>
      <c r="W250" s="137">
        <f t="shared" si="46"/>
        <v>3.54</v>
      </c>
      <c r="X250" s="137">
        <f t="shared" si="46"/>
        <v>3.54</v>
      </c>
      <c r="Y250" s="137">
        <f t="shared" si="46"/>
        <v>3.54</v>
      </c>
      <c r="Z250" s="137">
        <f t="shared" si="46"/>
        <v>3.54</v>
      </c>
      <c r="AA250" s="137">
        <f t="shared" si="46"/>
        <v>3.54</v>
      </c>
      <c r="AB250" s="137">
        <f t="shared" si="46"/>
        <v>3.54</v>
      </c>
      <c r="AC250" s="137">
        <f t="shared" si="46"/>
        <v>3.54</v>
      </c>
      <c r="AD250" s="137">
        <f t="shared" si="46"/>
        <v>3.54</v>
      </c>
      <c r="AE250" s="137">
        <f t="shared" si="46"/>
        <v>3.54</v>
      </c>
      <c r="AF250" s="137">
        <f t="shared" si="46"/>
        <v>3.54</v>
      </c>
      <c r="AG250" s="146">
        <f t="shared" si="46"/>
        <v>8.56</v>
      </c>
      <c r="AH250" s="47"/>
      <c r="AI250" s="48"/>
    </row>
    <row r="251" spans="1:37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140"/>
      <c r="AH251" s="43"/>
    </row>
    <row r="252" spans="1:37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7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7" x14ac:dyDescent="0.25">
      <c r="A254" s="160" t="s">
        <v>247</v>
      </c>
      <c r="B254" s="161">
        <f>MAX(G99:N99)</f>
        <v>1731.1399999999996</v>
      </c>
      <c r="C254" s="162">
        <f>INDEX(G9:N9,1,MATCH(MAX(G99:N99),G99:N99,0))</f>
        <v>0.33333333333333331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63" t="str">
        <f ca="1">MID(CELL("filename",C7),FIND("]",CELL("filename",C7))+1,600)</f>
        <v>22</v>
      </c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233" t="s">
        <v>248</v>
      </c>
      <c r="B256" s="233"/>
      <c r="C256" s="43"/>
      <c r="D256" s="163" t="str">
        <f ca="1">"Pie Chart of Daily Peak Demand(Inclusive of Export) of Nepal ("&amp;A4&amp;" "&amp;B4&amp;")"</f>
        <v>Pie Chart of Daily Peak Demand(Inclusive of Export) of Nepal (Nepali Date: 2080/09/22)</v>
      </c>
      <c r="E256" s="43"/>
      <c r="F256" s="43"/>
      <c r="G256" s="16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63" t="str">
        <f ca="1">"Daily Load Curve(Excluding of Export) of Nepal ("&amp;A4&amp;" "&amp;B4&amp;")"</f>
        <v>Daily Load Curve(Excluding of Export) of Nepal (Nepali Date: 2080/09/22)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ht="12.75" customHeight="1" thickBot="1" x14ac:dyDescent="0.3">
      <c r="A257" s="164" t="s">
        <v>7</v>
      </c>
      <c r="B257" s="165"/>
      <c r="C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ht="15.75" thickTop="1" x14ac:dyDescent="0.25">
      <c r="A258" s="164" t="s">
        <v>249</v>
      </c>
      <c r="B258" s="16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6" t="s">
        <v>250</v>
      </c>
      <c r="T258" s="167">
        <v>0</v>
      </c>
      <c r="U258" s="168">
        <v>4.1666666666666664E-2</v>
      </c>
      <c r="V258" s="169">
        <v>8.3333333333333301E-2</v>
      </c>
      <c r="W258" s="169">
        <v>0.125</v>
      </c>
      <c r="X258" s="169">
        <v>0.16666666666666699</v>
      </c>
      <c r="Y258" s="169">
        <v>0.20833333333333301</v>
      </c>
      <c r="Z258" s="169">
        <v>0.22916666666666666</v>
      </c>
      <c r="AA258" s="169">
        <v>0.25</v>
      </c>
      <c r="AB258" s="169">
        <v>0.27083333333333331</v>
      </c>
      <c r="AC258" s="169">
        <v>0.29166666666666669</v>
      </c>
      <c r="AD258" s="169">
        <v>0.3125</v>
      </c>
      <c r="AE258" s="170">
        <v>0.33333333333333331</v>
      </c>
      <c r="AF258" s="170">
        <v>0.375</v>
      </c>
      <c r="AG258" s="170">
        <v>0.41666666666666702</v>
      </c>
      <c r="AH258" s="170">
        <v>0.45833333333333298</v>
      </c>
      <c r="AI258" s="170">
        <v>0.5</v>
      </c>
      <c r="AJ258" s="170">
        <v>0.54166666666666696</v>
      </c>
      <c r="AK258" s="170">
        <v>0.58333333333333304</v>
      </c>
      <c r="AL258" s="170">
        <v>0.625</v>
      </c>
      <c r="AM258" s="170">
        <v>0.66666666666666696</v>
      </c>
      <c r="AN258" s="170">
        <v>0.70833333333333304</v>
      </c>
      <c r="AO258" s="170">
        <v>0.72916666666666663</v>
      </c>
      <c r="AP258" s="170">
        <v>0.75</v>
      </c>
      <c r="AQ258" s="170">
        <v>0.77083333333333337</v>
      </c>
      <c r="AR258" s="170">
        <v>0.79166666666666663</v>
      </c>
      <c r="AS258" s="170">
        <v>0.8125</v>
      </c>
      <c r="AT258" s="169">
        <v>0.83333333333333337</v>
      </c>
      <c r="AU258" s="169">
        <v>0.85416666666666663</v>
      </c>
      <c r="AV258" s="169">
        <v>0.875</v>
      </c>
      <c r="AW258" s="169">
        <v>0.91666666666666696</v>
      </c>
      <c r="AX258" s="169">
        <v>0.95833333333333304</v>
      </c>
    </row>
    <row r="259" spans="1:50" x14ac:dyDescent="0.25">
      <c r="A259" s="164" t="s">
        <v>251</v>
      </c>
      <c r="B259" s="16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 t="s">
        <v>252</v>
      </c>
      <c r="T259" s="171">
        <f t="shared" ref="T259:AX259" si="47">B99</f>
        <v>957.64</v>
      </c>
      <c r="U259" s="171">
        <f t="shared" si="47"/>
        <v>936.83999999999992</v>
      </c>
      <c r="V259" s="171">
        <f t="shared" si="47"/>
        <v>906.74</v>
      </c>
      <c r="W259" s="171">
        <f t="shared" si="47"/>
        <v>924.84</v>
      </c>
      <c r="X259" s="171">
        <f t="shared" si="47"/>
        <v>931.74</v>
      </c>
      <c r="Y259" s="171">
        <f t="shared" si="47"/>
        <v>1016.84</v>
      </c>
      <c r="Z259" s="171">
        <f t="shared" si="47"/>
        <v>1107.3400000000001</v>
      </c>
      <c r="AA259" s="171">
        <f t="shared" si="47"/>
        <v>1185.04</v>
      </c>
      <c r="AB259" s="171">
        <f t="shared" si="47"/>
        <v>1355.7399999999998</v>
      </c>
      <c r="AC259" s="171">
        <f t="shared" si="47"/>
        <v>1483.94</v>
      </c>
      <c r="AD259" s="171">
        <f t="shared" si="47"/>
        <v>1629.44</v>
      </c>
      <c r="AE259" s="171">
        <f t="shared" si="47"/>
        <v>1731.1399999999996</v>
      </c>
      <c r="AF259" s="171">
        <f t="shared" si="47"/>
        <v>1568.04</v>
      </c>
      <c r="AG259" s="171">
        <f t="shared" si="47"/>
        <v>1572.04</v>
      </c>
      <c r="AH259" s="171">
        <f t="shared" si="47"/>
        <v>1643.4399999999998</v>
      </c>
      <c r="AI259" s="171">
        <f t="shared" si="47"/>
        <v>1366.24</v>
      </c>
      <c r="AJ259" s="171">
        <f t="shared" si="47"/>
        <v>1342.94</v>
      </c>
      <c r="AK259" s="171">
        <f t="shared" si="47"/>
        <v>1379.94</v>
      </c>
      <c r="AL259" s="171">
        <f t="shared" si="47"/>
        <v>1371.8400000000001</v>
      </c>
      <c r="AM259" s="171">
        <f t="shared" si="47"/>
        <v>1394.3400000000001</v>
      </c>
      <c r="AN259" s="171">
        <f t="shared" si="47"/>
        <v>1311.24</v>
      </c>
      <c r="AO259" s="171">
        <f t="shared" si="47"/>
        <v>1523.54</v>
      </c>
      <c r="AP259" s="171">
        <f t="shared" si="47"/>
        <v>1713.6399999999999</v>
      </c>
      <c r="AQ259" s="171">
        <f t="shared" si="47"/>
        <v>1720.8400000000001</v>
      </c>
      <c r="AR259" s="171">
        <f t="shared" si="47"/>
        <v>1675.37</v>
      </c>
      <c r="AS259" s="171">
        <f t="shared" si="47"/>
        <v>1623.7400000000002</v>
      </c>
      <c r="AT259" s="171">
        <f t="shared" si="47"/>
        <v>1550.3400000000001</v>
      </c>
      <c r="AU259" s="171">
        <f t="shared" si="47"/>
        <v>1461.7400000000002</v>
      </c>
      <c r="AV259" s="171">
        <f t="shared" si="47"/>
        <v>1351.2400000000002</v>
      </c>
      <c r="AW259" s="171">
        <f t="shared" si="47"/>
        <v>1172.3400000000001</v>
      </c>
      <c r="AX259" s="171">
        <f t="shared" si="47"/>
        <v>1069.3400000000001</v>
      </c>
    </row>
    <row r="260" spans="1:50" x14ac:dyDescent="0.25">
      <c r="A260" s="164" t="s">
        <v>253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50" x14ac:dyDescent="0.25">
      <c r="A261" s="164" t="s">
        <v>254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50" x14ac:dyDescent="0.25">
      <c r="A262" s="164" t="s">
        <v>255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256</v>
      </c>
      <c r="B263" s="17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257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A280" s="173" t="s">
        <v>242</v>
      </c>
      <c r="B280" s="174">
        <f t="shared" ref="B280:AE280" si="48">C249</f>
        <v>0.64</v>
      </c>
      <c r="C280" s="174">
        <f t="shared" si="48"/>
        <v>0.64</v>
      </c>
      <c r="D280" s="174">
        <f t="shared" si="48"/>
        <v>0.64</v>
      </c>
      <c r="E280" s="174">
        <f t="shared" si="48"/>
        <v>0.64</v>
      </c>
      <c r="F280" s="174">
        <f t="shared" si="48"/>
        <v>0.64</v>
      </c>
      <c r="G280" s="174">
        <f t="shared" si="48"/>
        <v>0.64</v>
      </c>
      <c r="H280" s="174">
        <f t="shared" si="48"/>
        <v>0.64</v>
      </c>
      <c r="I280" s="174">
        <f t="shared" si="48"/>
        <v>0.64</v>
      </c>
      <c r="J280" s="174">
        <f t="shared" si="48"/>
        <v>0.64</v>
      </c>
      <c r="K280" s="174">
        <f t="shared" si="48"/>
        <v>0.64</v>
      </c>
      <c r="L280" s="174">
        <f t="shared" si="48"/>
        <v>0.64</v>
      </c>
      <c r="M280" s="174">
        <f t="shared" si="48"/>
        <v>0.64</v>
      </c>
      <c r="N280" s="174">
        <f t="shared" si="48"/>
        <v>0.64</v>
      </c>
      <c r="O280" s="174">
        <f t="shared" si="48"/>
        <v>0.64</v>
      </c>
      <c r="P280" s="174">
        <f t="shared" si="48"/>
        <v>0.64</v>
      </c>
      <c r="Q280" s="174">
        <f t="shared" si="48"/>
        <v>0.64</v>
      </c>
      <c r="R280" s="174">
        <f t="shared" si="48"/>
        <v>0.64</v>
      </c>
      <c r="S280" s="174">
        <f t="shared" si="48"/>
        <v>0.64</v>
      </c>
      <c r="T280" s="174">
        <f t="shared" si="48"/>
        <v>0.64</v>
      </c>
      <c r="U280" s="174">
        <f t="shared" si="48"/>
        <v>0.64</v>
      </c>
      <c r="V280" s="174">
        <f t="shared" si="48"/>
        <v>0.64</v>
      </c>
      <c r="W280" s="174">
        <f t="shared" si="48"/>
        <v>0.64</v>
      </c>
      <c r="X280" s="174">
        <f t="shared" si="48"/>
        <v>0.64</v>
      </c>
      <c r="Y280" s="174">
        <f t="shared" si="48"/>
        <v>0.64</v>
      </c>
      <c r="Z280" s="174">
        <f t="shared" si="48"/>
        <v>0.64</v>
      </c>
      <c r="AA280" s="174">
        <f t="shared" si="48"/>
        <v>0.64</v>
      </c>
      <c r="AB280" s="174">
        <f t="shared" si="48"/>
        <v>0.64</v>
      </c>
      <c r="AC280" s="174">
        <f t="shared" si="48"/>
        <v>0.64</v>
      </c>
      <c r="AD280" s="174">
        <f t="shared" si="48"/>
        <v>0.64</v>
      </c>
      <c r="AE280" s="174">
        <f t="shared" si="48"/>
        <v>0.64</v>
      </c>
      <c r="AF280" s="174">
        <f>B249</f>
        <v>0.64</v>
      </c>
      <c r="AG280" s="43"/>
      <c r="AH280" s="43"/>
    </row>
    <row r="281" spans="1:34" x14ac:dyDescent="0.25">
      <c r="A281" s="175" t="str">
        <f>A132</f>
        <v>KGA</v>
      </c>
      <c r="B281" s="175" t="str">
        <f t="shared" ref="B281:AF281" si="49">IF(B132&lt;100,"",B132-520)</f>
        <v/>
      </c>
      <c r="C281" s="175" t="str">
        <f t="shared" si="49"/>
        <v/>
      </c>
      <c r="D281" s="175" t="str">
        <f t="shared" si="49"/>
        <v/>
      </c>
      <c r="E281" s="175" t="str">
        <f t="shared" si="49"/>
        <v/>
      </c>
      <c r="F281" s="175" t="str">
        <f t="shared" si="49"/>
        <v/>
      </c>
      <c r="G281" s="175" t="str">
        <f t="shared" si="49"/>
        <v/>
      </c>
      <c r="H281" s="175" t="str">
        <f t="shared" si="49"/>
        <v/>
      </c>
      <c r="I281" s="175" t="str">
        <f t="shared" si="49"/>
        <v/>
      </c>
      <c r="J281" s="175" t="str">
        <f t="shared" si="49"/>
        <v/>
      </c>
      <c r="K281" s="175" t="str">
        <f t="shared" si="49"/>
        <v/>
      </c>
      <c r="L281" s="175" t="str">
        <f t="shared" si="49"/>
        <v/>
      </c>
      <c r="M281" s="175" t="str">
        <f t="shared" si="49"/>
        <v/>
      </c>
      <c r="N281" s="175" t="str">
        <f t="shared" si="49"/>
        <v/>
      </c>
      <c r="O281" s="175" t="str">
        <f t="shared" si="49"/>
        <v/>
      </c>
      <c r="P281" s="175" t="str">
        <f t="shared" si="49"/>
        <v/>
      </c>
      <c r="Q281" s="175" t="str">
        <f t="shared" si="49"/>
        <v/>
      </c>
      <c r="R281" s="175" t="str">
        <f t="shared" si="49"/>
        <v/>
      </c>
      <c r="S281" s="175" t="str">
        <f t="shared" si="49"/>
        <v/>
      </c>
      <c r="T281" s="175" t="str">
        <f t="shared" si="49"/>
        <v/>
      </c>
      <c r="U281" s="175" t="str">
        <f t="shared" si="49"/>
        <v/>
      </c>
      <c r="V281" s="175" t="str">
        <f t="shared" si="49"/>
        <v/>
      </c>
      <c r="W281" s="175" t="str">
        <f t="shared" si="49"/>
        <v/>
      </c>
      <c r="X281" s="175" t="str">
        <f t="shared" si="49"/>
        <v/>
      </c>
      <c r="Y281" s="175" t="str">
        <f t="shared" si="49"/>
        <v/>
      </c>
      <c r="Z281" s="175" t="str">
        <f t="shared" si="49"/>
        <v/>
      </c>
      <c r="AA281" s="175" t="str">
        <f t="shared" si="49"/>
        <v/>
      </c>
      <c r="AB281" s="175" t="str">
        <f t="shared" si="49"/>
        <v/>
      </c>
      <c r="AC281" s="175" t="str">
        <f t="shared" si="49"/>
        <v/>
      </c>
      <c r="AD281" s="175" t="str">
        <f t="shared" si="49"/>
        <v/>
      </c>
      <c r="AE281" s="175" t="str">
        <f t="shared" si="49"/>
        <v/>
      </c>
      <c r="AF281" s="175" t="str">
        <f t="shared" si="49"/>
        <v/>
      </c>
      <c r="AG281" s="43"/>
      <c r="AH281" s="43"/>
    </row>
    <row r="282" spans="1:34" x14ac:dyDescent="0.25">
      <c r="A282" s="175" t="str">
        <f>A133</f>
        <v>MMRS</v>
      </c>
      <c r="B282" s="175" t="str">
        <f t="shared" ref="B282:AF282" si="50">IF(B133&lt;100,"",B133-620)</f>
        <v/>
      </c>
      <c r="C282" s="175" t="str">
        <f t="shared" si="50"/>
        <v/>
      </c>
      <c r="D282" s="175" t="str">
        <f t="shared" si="50"/>
        <v/>
      </c>
      <c r="E282" s="175" t="str">
        <f t="shared" si="50"/>
        <v/>
      </c>
      <c r="F282" s="175" t="str">
        <f t="shared" si="50"/>
        <v/>
      </c>
      <c r="G282" s="175" t="str">
        <f t="shared" si="50"/>
        <v/>
      </c>
      <c r="H282" s="175" t="str">
        <f t="shared" si="50"/>
        <v/>
      </c>
      <c r="I282" s="175" t="str">
        <f t="shared" si="50"/>
        <v/>
      </c>
      <c r="J282" s="175" t="str">
        <f t="shared" si="50"/>
        <v/>
      </c>
      <c r="K282" s="175" t="str">
        <f t="shared" si="50"/>
        <v/>
      </c>
      <c r="L282" s="175" t="str">
        <f t="shared" si="50"/>
        <v/>
      </c>
      <c r="M282" s="175" t="str">
        <f t="shared" si="50"/>
        <v/>
      </c>
      <c r="N282" s="175" t="str">
        <f t="shared" si="50"/>
        <v/>
      </c>
      <c r="O282" s="175" t="str">
        <f t="shared" si="50"/>
        <v/>
      </c>
      <c r="P282" s="175" t="str">
        <f t="shared" si="50"/>
        <v/>
      </c>
      <c r="Q282" s="175" t="str">
        <f t="shared" si="50"/>
        <v/>
      </c>
      <c r="R282" s="175" t="str">
        <f t="shared" si="50"/>
        <v/>
      </c>
      <c r="S282" s="175" t="str">
        <f t="shared" si="50"/>
        <v/>
      </c>
      <c r="T282" s="175" t="str">
        <f t="shared" si="50"/>
        <v/>
      </c>
      <c r="U282" s="175" t="str">
        <f t="shared" si="50"/>
        <v/>
      </c>
      <c r="V282" s="175" t="str">
        <f t="shared" si="50"/>
        <v/>
      </c>
      <c r="W282" s="175" t="str">
        <f t="shared" si="50"/>
        <v/>
      </c>
      <c r="X282" s="175" t="str">
        <f t="shared" si="50"/>
        <v/>
      </c>
      <c r="Y282" s="175" t="str">
        <f t="shared" si="50"/>
        <v/>
      </c>
      <c r="Z282" s="175" t="str">
        <f t="shared" si="50"/>
        <v/>
      </c>
      <c r="AA282" s="175" t="str">
        <f t="shared" si="50"/>
        <v/>
      </c>
      <c r="AB282" s="175" t="str">
        <f t="shared" si="50"/>
        <v/>
      </c>
      <c r="AC282" s="175" t="str">
        <f t="shared" si="50"/>
        <v/>
      </c>
      <c r="AD282" s="175" t="str">
        <f t="shared" si="50"/>
        <v/>
      </c>
      <c r="AE282" s="175" t="str">
        <f t="shared" si="50"/>
        <v/>
      </c>
      <c r="AF282" s="175" t="str">
        <f t="shared" si="50"/>
        <v/>
      </c>
      <c r="AG282" s="43"/>
      <c r="AH282" s="43"/>
    </row>
    <row r="283" spans="1:34" x14ac:dyDescent="0.25">
      <c r="A283" s="175" t="str">
        <f>A134</f>
        <v>MRS</v>
      </c>
      <c r="B283" s="175" t="str">
        <f t="shared" ref="B283:AF283" si="51">IF(B134&lt;100,"",B134-330)</f>
        <v/>
      </c>
      <c r="C283" s="175" t="str">
        <f t="shared" si="51"/>
        <v/>
      </c>
      <c r="D283" s="175" t="str">
        <f t="shared" si="51"/>
        <v/>
      </c>
      <c r="E283" s="175" t="str">
        <f t="shared" si="51"/>
        <v/>
      </c>
      <c r="F283" s="175" t="str">
        <f t="shared" si="51"/>
        <v/>
      </c>
      <c r="G283" s="175" t="str">
        <f t="shared" si="51"/>
        <v/>
      </c>
      <c r="H283" s="175" t="str">
        <f t="shared" si="51"/>
        <v/>
      </c>
      <c r="I283" s="175" t="str">
        <f t="shared" si="51"/>
        <v/>
      </c>
      <c r="J283" s="175" t="str">
        <f t="shared" si="51"/>
        <v/>
      </c>
      <c r="K283" s="175" t="str">
        <f t="shared" si="51"/>
        <v/>
      </c>
      <c r="L283" s="175" t="str">
        <f t="shared" si="51"/>
        <v/>
      </c>
      <c r="M283" s="175" t="str">
        <f t="shared" si="51"/>
        <v/>
      </c>
      <c r="N283" s="175" t="str">
        <f t="shared" si="51"/>
        <v/>
      </c>
      <c r="O283" s="175" t="str">
        <f t="shared" si="51"/>
        <v/>
      </c>
      <c r="P283" s="175" t="str">
        <f t="shared" si="51"/>
        <v/>
      </c>
      <c r="Q283" s="175" t="str">
        <f t="shared" si="51"/>
        <v/>
      </c>
      <c r="R283" s="175" t="str">
        <f t="shared" si="51"/>
        <v/>
      </c>
      <c r="S283" s="175" t="str">
        <f t="shared" si="51"/>
        <v/>
      </c>
      <c r="T283" s="175" t="str">
        <f t="shared" si="51"/>
        <v/>
      </c>
      <c r="U283" s="175" t="str">
        <f t="shared" si="51"/>
        <v/>
      </c>
      <c r="V283" s="175" t="str">
        <f t="shared" si="51"/>
        <v/>
      </c>
      <c r="W283" s="175" t="str">
        <f t="shared" si="51"/>
        <v/>
      </c>
      <c r="X283" s="175" t="str">
        <f t="shared" si="51"/>
        <v/>
      </c>
      <c r="Y283" s="175" t="str">
        <f t="shared" si="51"/>
        <v/>
      </c>
      <c r="Z283" s="175" t="str">
        <f t="shared" si="51"/>
        <v/>
      </c>
      <c r="AA283" s="175" t="str">
        <f t="shared" si="51"/>
        <v/>
      </c>
      <c r="AB283" s="175" t="str">
        <f t="shared" si="51"/>
        <v/>
      </c>
      <c r="AC283" s="175" t="str">
        <f t="shared" si="51"/>
        <v/>
      </c>
      <c r="AD283" s="175" t="str">
        <f t="shared" si="51"/>
        <v/>
      </c>
      <c r="AE283" s="175" t="str">
        <f t="shared" si="51"/>
        <v/>
      </c>
      <c r="AF283" s="175" t="str">
        <f t="shared" si="51"/>
        <v/>
      </c>
      <c r="AG283" s="43"/>
      <c r="AH283" s="43"/>
    </row>
    <row r="284" spans="1:34" x14ac:dyDescent="0.25">
      <c r="A284" s="175" t="str">
        <f>A135</f>
        <v>KL 1</v>
      </c>
      <c r="B284" s="175" t="str">
        <f t="shared" ref="B284:AF284" si="52">IF(B135&lt;100,"",B135-1500)</f>
        <v/>
      </c>
      <c r="C284" s="175" t="str">
        <f t="shared" si="52"/>
        <v/>
      </c>
      <c r="D284" s="175" t="str">
        <f t="shared" si="52"/>
        <v/>
      </c>
      <c r="E284" s="175" t="str">
        <f t="shared" si="52"/>
        <v/>
      </c>
      <c r="F284" s="175" t="str">
        <f t="shared" si="52"/>
        <v/>
      </c>
      <c r="G284" s="175" t="str">
        <f t="shared" si="52"/>
        <v/>
      </c>
      <c r="H284" s="175" t="str">
        <f t="shared" si="52"/>
        <v/>
      </c>
      <c r="I284" s="175" t="str">
        <f t="shared" si="52"/>
        <v/>
      </c>
      <c r="J284" s="175" t="str">
        <f t="shared" si="52"/>
        <v/>
      </c>
      <c r="K284" s="175" t="str">
        <f t="shared" si="52"/>
        <v/>
      </c>
      <c r="L284" s="175" t="str">
        <f t="shared" si="52"/>
        <v/>
      </c>
      <c r="M284" s="175" t="str">
        <f t="shared" si="52"/>
        <v/>
      </c>
      <c r="N284" s="175" t="str">
        <f t="shared" si="52"/>
        <v/>
      </c>
      <c r="O284" s="175" t="str">
        <f t="shared" si="52"/>
        <v/>
      </c>
      <c r="P284" s="175" t="str">
        <f t="shared" si="52"/>
        <v/>
      </c>
      <c r="Q284" s="175" t="str">
        <f t="shared" si="52"/>
        <v/>
      </c>
      <c r="R284" s="175" t="str">
        <f t="shared" si="52"/>
        <v/>
      </c>
      <c r="S284" s="175" t="str">
        <f t="shared" si="52"/>
        <v/>
      </c>
      <c r="T284" s="175" t="str">
        <f t="shared" si="52"/>
        <v/>
      </c>
      <c r="U284" s="175" t="str">
        <f t="shared" si="52"/>
        <v/>
      </c>
      <c r="V284" s="175" t="str">
        <f t="shared" si="52"/>
        <v/>
      </c>
      <c r="W284" s="175" t="str">
        <f t="shared" si="52"/>
        <v/>
      </c>
      <c r="X284" s="175" t="str">
        <f t="shared" si="52"/>
        <v/>
      </c>
      <c r="Y284" s="175" t="str">
        <f t="shared" si="52"/>
        <v/>
      </c>
      <c r="Z284" s="175" t="str">
        <f t="shared" si="52"/>
        <v/>
      </c>
      <c r="AA284" s="175" t="str">
        <f t="shared" si="52"/>
        <v/>
      </c>
      <c r="AB284" s="175" t="str">
        <f t="shared" si="52"/>
        <v/>
      </c>
      <c r="AC284" s="175" t="str">
        <f t="shared" si="52"/>
        <v/>
      </c>
      <c r="AD284" s="175" t="str">
        <f t="shared" si="52"/>
        <v/>
      </c>
      <c r="AE284" s="175" t="str">
        <f t="shared" si="52"/>
        <v/>
      </c>
      <c r="AF284" s="175" t="str">
        <f t="shared" si="52"/>
        <v/>
      </c>
      <c r="AG284" s="43"/>
      <c r="AH284" s="43"/>
    </row>
    <row r="285" spans="1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1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</sheetData>
  <mergeCells count="49">
    <mergeCell ref="AN92:AN93"/>
    <mergeCell ref="A256:B25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 A132:A251">
    <cfRule type="expression" dxfId="1222" priority="53">
      <formula>$AH11=0</formula>
    </cfRule>
  </conditionalFormatting>
  <conditionalFormatting sqref="B8 M8 S8 AB8">
    <cfRule type="expression" dxfId="1221" priority="114">
      <formula>AND(C$9&gt;=8/24,C$9&lt;14/24)</formula>
    </cfRule>
    <cfRule type="expression" dxfId="1220" priority="113">
      <formula>AND(C$9&gt;=14/24,C$9&lt;20/24)</formula>
    </cfRule>
    <cfRule type="expression" dxfId="1219" priority="115">
      <formula>C$9&lt;8/24</formula>
    </cfRule>
  </conditionalFormatting>
  <conditionalFormatting sqref="B63:I74 J64:J74 K68:R74 S70:V74 W71:AF74">
    <cfRule type="expression" dxfId="1218" priority="17">
      <formula>AND(B$9&gt;=8/24,B$9&lt;14/24)</formula>
    </cfRule>
    <cfRule type="expression" dxfId="1217" priority="15">
      <formula>B$9&gt;=20/24</formula>
    </cfRule>
    <cfRule type="expression" dxfId="1216" priority="16">
      <formula>AND(B$9&gt;=14/24,B$9&lt;20/24)</formula>
    </cfRule>
    <cfRule type="expression" dxfId="1215" priority="18">
      <formula>B$9&lt;8/24</formula>
    </cfRule>
  </conditionalFormatting>
  <conditionalFormatting sqref="B9:AF52">
    <cfRule type="expression" dxfId="1214" priority="26">
      <formula>AND(B$9&gt;=8/24,B$9&lt;14/24)</formula>
    </cfRule>
    <cfRule type="expression" dxfId="1213" priority="24">
      <formula>B$9&gt;=20/24</formula>
    </cfRule>
    <cfRule type="expression" dxfId="1212" priority="25">
      <formula>AND(B$9&gt;=14/24,B$9&lt;20/24)</formula>
    </cfRule>
    <cfRule type="expression" dxfId="1211" priority="27">
      <formula>B$9&lt;8/24</formula>
    </cfRule>
  </conditionalFormatting>
  <conditionalFormatting sqref="B11:AF54">
    <cfRule type="expression" dxfId="1210" priority="9">
      <formula>B11&gt;$AG11</formula>
    </cfRule>
  </conditionalFormatting>
  <conditionalFormatting sqref="B53:AF54">
    <cfRule type="expression" dxfId="1209" priority="5">
      <formula>B$9&gt;=20/24</formula>
    </cfRule>
    <cfRule type="expression" dxfId="1208" priority="6">
      <formula>AND(B$9&gt;=14/24,B$9&lt;20/24)</formula>
    </cfRule>
    <cfRule type="expression" dxfId="1207" priority="8">
      <formula>B$9&lt;8/24</formula>
    </cfRule>
    <cfRule type="expression" dxfId="1206" priority="7">
      <formula>AND(B$9&gt;=8/24,B$9&lt;14/24)</formula>
    </cfRule>
  </conditionalFormatting>
  <conditionalFormatting sqref="B55:AF55">
    <cfRule type="expression" dxfId="1205" priority="33">
      <formula>B55&gt;$AG55</formula>
    </cfRule>
  </conditionalFormatting>
  <conditionalFormatting sqref="B55:AF57">
    <cfRule type="expression" dxfId="1204" priority="31">
      <formula>AND(B$9&gt;=8/24,B$9&lt;14/24)</formula>
    </cfRule>
    <cfRule type="expression" dxfId="1203" priority="29">
      <formula>B$9&gt;=20/24</formula>
    </cfRule>
    <cfRule type="expression" dxfId="1202" priority="30">
      <formula>AND(B$9&gt;=14/24,B$9&lt;20/24)</formula>
    </cfRule>
  </conditionalFormatting>
  <conditionalFormatting sqref="B56:AF61">
    <cfRule type="expression" dxfId="1201" priority="28">
      <formula>B56&gt;$AG56</formula>
    </cfRule>
  </conditionalFormatting>
  <conditionalFormatting sqref="B59:AF61">
    <cfRule type="expression" dxfId="1200" priority="42">
      <formula>B$9&lt;8/24</formula>
    </cfRule>
    <cfRule type="expression" dxfId="1199" priority="41">
      <formula>AND(B$9&gt;=8/24,B$9&lt;14/24)</formula>
    </cfRule>
    <cfRule type="expression" dxfId="1198" priority="40">
      <formula>AND(B$9&gt;=14/24,B$9&lt;20/24)</formula>
    </cfRule>
    <cfRule type="expression" dxfId="1197" priority="39">
      <formula>B$9&gt;=20/24</formula>
    </cfRule>
  </conditionalFormatting>
  <conditionalFormatting sqref="B63:AF74">
    <cfRule type="expression" dxfId="1196" priority="14">
      <formula>B63&gt;$AG63</formula>
    </cfRule>
  </conditionalFormatting>
  <conditionalFormatting sqref="B77:AF79">
    <cfRule type="expression" dxfId="1195" priority="47">
      <formula>B$9&lt;8/24</formula>
    </cfRule>
    <cfRule type="expression" dxfId="1194" priority="44">
      <formula>B$9&gt;=20/24</formula>
    </cfRule>
    <cfRule type="expression" dxfId="1193" priority="45">
      <formula>AND(B$9&gt;=14/24,B$9&lt;20/24)</formula>
    </cfRule>
    <cfRule type="expression" dxfId="1192" priority="46">
      <formula>AND(B$9&gt;=8/24,B$9&lt;14/24)</formula>
    </cfRule>
    <cfRule type="expression" dxfId="1191" priority="43">
      <formula>B77&gt;$AG77</formula>
    </cfRule>
  </conditionalFormatting>
  <conditionalFormatting sqref="B81:AF99">
    <cfRule type="expression" dxfId="1190" priority="12">
      <formula>AND(B$9&gt;=8/24,B$9&lt;14/24)</formula>
    </cfRule>
    <cfRule type="expression" dxfId="1189" priority="11">
      <formula>AND(B$9&gt;=14/24,B$9&lt;20/24)</formula>
    </cfRule>
    <cfRule type="expression" dxfId="1188" priority="10">
      <formula>B$9&gt;=20/24</formula>
    </cfRule>
    <cfRule type="expression" dxfId="1187" priority="13">
      <formula>B$9&lt;8/24</formula>
    </cfRule>
  </conditionalFormatting>
  <conditionalFormatting sqref="B101:AF117">
    <cfRule type="expression" dxfId="1186" priority="1">
      <formula>B$9&gt;=20/24</formula>
    </cfRule>
    <cfRule type="expression" dxfId="1185" priority="4">
      <formula>B$9&lt;8/24</formula>
    </cfRule>
    <cfRule type="expression" dxfId="1184" priority="3">
      <formula>AND(B$9&gt;=8/24,B$9&lt;14/24)</formula>
    </cfRule>
    <cfRule type="expression" dxfId="1183" priority="2">
      <formula>AND(B$9&gt;=14/24,B$9&lt;20/24)</formula>
    </cfRule>
  </conditionalFormatting>
  <conditionalFormatting sqref="B119:AF135">
    <cfRule type="expression" dxfId="1182" priority="22">
      <formula>B$9&lt;8/24</formula>
    </cfRule>
    <cfRule type="expression" dxfId="1181" priority="19">
      <formula>B$9&gt;=20/24</formula>
    </cfRule>
    <cfRule type="expression" dxfId="1180" priority="21">
      <formula>AND(B$9&gt;=8/24,B$9&lt;14/24)</formula>
    </cfRule>
    <cfRule type="expression" dxfId="1179" priority="20">
      <formula>AND(B$9&gt;=14/24,B$9&lt;20/24)</formula>
    </cfRule>
  </conditionalFormatting>
  <conditionalFormatting sqref="B242:AF242 B244:B250 D244:AF250 U258:AF258">
    <cfRule type="expression" dxfId="1178" priority="106">
      <formula>B$9&gt;=20/24</formula>
    </cfRule>
    <cfRule type="expression" dxfId="1177" priority="108">
      <formula>AND(B$9&gt;=8/24,B$9&lt;14/24)</formula>
    </cfRule>
    <cfRule type="expression" dxfId="1176" priority="109">
      <formula>B$9&lt;8/24</formula>
    </cfRule>
    <cfRule type="expression" dxfId="1175" priority="107">
      <formula>AND(B$9&gt;=14/24,B$9&lt;20/24)</formula>
    </cfRule>
  </conditionalFormatting>
  <conditionalFormatting sqref="B62:AG62">
    <cfRule type="expression" dxfId="1174" priority="48">
      <formula>B62&gt;$AG62</formula>
    </cfRule>
    <cfRule type="expression" dxfId="1173" priority="49">
      <formula>B$9&gt;=20/24</formula>
    </cfRule>
    <cfRule type="expression" dxfId="1172" priority="50">
      <formula>AND(B$9&gt;=14/24,B$9&lt;20/24)</formula>
    </cfRule>
    <cfRule type="expression" dxfId="1171" priority="51">
      <formula>AND(B$9&gt;=8/24,B$9&lt;14/24)</formula>
    </cfRule>
    <cfRule type="expression" dxfId="1170" priority="52">
      <formula>B$9&lt;8/24</formula>
    </cfRule>
  </conditionalFormatting>
  <conditionalFormatting sqref="B75:AG76 B80:AG80">
    <cfRule type="expression" dxfId="1169" priority="34">
      <formula>B75&gt;$AG75</formula>
    </cfRule>
  </conditionalFormatting>
  <conditionalFormatting sqref="B80:AG80">
    <cfRule type="expression" dxfId="1168" priority="36">
      <formula>AND(B$9&gt;=14/24,B$9&lt;20/24)</formula>
    </cfRule>
    <cfRule type="expression" dxfId="1167" priority="37">
      <formula>AND(B$9&gt;=8/24,B$9&lt;14/24)</formula>
    </cfRule>
    <cfRule type="expression" dxfId="1166" priority="38">
      <formula>B$9&lt;8/24</formula>
    </cfRule>
    <cfRule type="expression" dxfId="1165" priority="35">
      <formula>B$9&gt;=20/24</formula>
    </cfRule>
  </conditionalFormatting>
  <conditionalFormatting sqref="F63:R65">
    <cfRule type="expression" dxfId="1164" priority="87">
      <formula>F$9&gt;=20/24</formula>
    </cfRule>
    <cfRule type="expression" dxfId="1163" priority="88">
      <formula>AND(F$9&gt;=14/24,F$9&lt;20/24)</formula>
    </cfRule>
    <cfRule type="expression" dxfId="1162" priority="89">
      <formula>AND(F$9&gt;=8/24,F$9&lt;14/24)</formula>
    </cfRule>
    <cfRule type="expression" dxfId="1161" priority="90">
      <formula>F$9&lt;8/24</formula>
    </cfRule>
  </conditionalFormatting>
  <conditionalFormatting sqref="F68:R68">
    <cfRule type="expression" dxfId="1160" priority="64">
      <formula>F$9&gt;=20/24</formula>
    </cfRule>
    <cfRule type="expression" dxfId="1159" priority="65">
      <formula>AND(F$9&gt;=14/24,F$9&lt;20/24)</formula>
    </cfRule>
    <cfRule type="expression" dxfId="1158" priority="66">
      <formula>AND(F$9&gt;=8/24,F$9&lt;14/24)</formula>
    </cfRule>
    <cfRule type="expression" dxfId="1157" priority="67">
      <formula>F$9&lt;8/24</formula>
    </cfRule>
  </conditionalFormatting>
  <conditionalFormatting sqref="F69:AF74">
    <cfRule type="expression" dxfId="1156" priority="54">
      <formula>F$9&gt;=20/24</formula>
    </cfRule>
    <cfRule type="expression" dxfId="1155" priority="55">
      <formula>AND(F$9&gt;=14/24,F$9&lt;20/24)</formula>
    </cfRule>
    <cfRule type="expression" dxfId="1154" priority="56">
      <formula>AND(F$9&gt;=8/24,F$9&lt;14/24)</formula>
    </cfRule>
    <cfRule type="expression" dxfId="1153" priority="57">
      <formula>F$9&lt;8/24</formula>
    </cfRule>
  </conditionalFormatting>
  <conditionalFormatting sqref="K55:Y55 Z55:AF56 B55:J57 C56:Y56">
    <cfRule type="expression" dxfId="1152" priority="32">
      <formula>B$9&lt;8/24</formula>
    </cfRule>
  </conditionalFormatting>
  <conditionalFormatting sqref="K56:AF57">
    <cfRule type="expression" dxfId="1151" priority="62">
      <formula>K$9&lt;8/24</formula>
    </cfRule>
  </conditionalFormatting>
  <conditionalFormatting sqref="M63:R67">
    <cfRule type="expression" dxfId="1150" priority="91">
      <formula>M$9&gt;=20/24</formula>
    </cfRule>
    <cfRule type="expression" dxfId="1149" priority="93">
      <formula>AND(M$9&gt;=8/24,M$9&lt;14/24)</formula>
    </cfRule>
    <cfRule type="expression" dxfId="1148" priority="94">
      <formula>M$9&lt;8/24</formula>
    </cfRule>
    <cfRule type="expression" dxfId="1147" priority="92">
      <formula>AND(M$9&gt;=14/24,M$9&lt;20/24)</formula>
    </cfRule>
  </conditionalFormatting>
  <conditionalFormatting sqref="O3:P3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146" priority="112">
      <formula>C$9&gt;=20/24</formula>
    </cfRule>
  </conditionalFormatting>
  <conditionalFormatting sqref="S8">
    <cfRule type="expression" dxfId="1145" priority="102">
      <formula>U$9&lt;8/24</formula>
    </cfRule>
    <cfRule type="expression" dxfId="1144" priority="101">
      <formula>AND(U$9&gt;=8/24,U$9&lt;14/24)</formula>
    </cfRule>
    <cfRule type="expression" dxfId="1143" priority="100">
      <formula>AND(U$9&gt;=14/24,U$9&lt;20/24)</formula>
    </cfRule>
    <cfRule type="expression" dxfId="1142" priority="99">
      <formula>U$9&gt;=20/24</formula>
    </cfRule>
  </conditionalFormatting>
  <conditionalFormatting sqref="S63:AF68">
    <cfRule type="expression" dxfId="1141" priority="60">
      <formula>AND(S$9&gt;=8/24,S$9&lt;14/24)</formula>
    </cfRule>
    <cfRule type="expression" dxfId="1140" priority="61">
      <formula>S$9&lt;8/24</formula>
    </cfRule>
    <cfRule type="expression" dxfId="1139" priority="58">
      <formula>S$9&gt;=20/24</formula>
    </cfRule>
    <cfRule type="expression" dxfId="1138" priority="59">
      <formula>AND(S$9&gt;=14/24,S$9&lt;20/24)</formula>
    </cfRule>
  </conditionalFormatting>
  <conditionalFormatting sqref="T258">
    <cfRule type="expression" dxfId="1137" priority="127">
      <formula>AX$9&lt;8/24</formula>
    </cfRule>
    <cfRule type="expression" dxfId="1136" priority="124">
      <formula>AX$9&gt;=20/24</formula>
    </cfRule>
    <cfRule type="expression" dxfId="1135" priority="125">
      <formula>AND(AX$9&gt;=14/24,AX$9&lt;20/24)</formula>
    </cfRule>
    <cfRule type="expression" dxfId="1134" priority="126">
      <formula>AND(AX$9&gt;=8/24,AX$9&lt;14/24)</formula>
    </cfRule>
  </conditionalFormatting>
  <conditionalFormatting sqref="V3 AB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133" priority="97">
      <formula>AND(AD$9&gt;=8/24,AD$9&lt;14/24)</formula>
    </cfRule>
    <cfRule type="expression" dxfId="1132" priority="96">
      <formula>AND(AD$9&gt;=14/24,AD$9&lt;20/24)</formula>
    </cfRule>
    <cfRule type="expression" dxfId="1131" priority="95">
      <formula>AD$9&gt;=20/24</formula>
    </cfRule>
    <cfRule type="expression" dxfId="1130" priority="98">
      <formula>AD$9&lt;8/24</formula>
    </cfRule>
  </conditionalFormatting>
  <conditionalFormatting sqref="AG58">
    <cfRule type="expression" dxfId="1129" priority="82">
      <formula>AG58&gt;$AG58</formula>
    </cfRule>
  </conditionalFormatting>
  <conditionalFormatting sqref="AG97">
    <cfRule type="expression" dxfId="1128" priority="85">
      <formula>AND(AG$9&gt;=8/24,AG$9&lt;14/24)</formula>
    </cfRule>
    <cfRule type="expression" dxfId="1127" priority="86">
      <formula>AG$9&lt;8/24</formula>
    </cfRule>
    <cfRule type="expression" dxfId="1126" priority="84">
      <formula>AND(AG$9&gt;=14/24,AG$9&lt;20/24)</formula>
    </cfRule>
    <cfRule type="expression" dxfId="1125" priority="83">
      <formula>AG$9&gt;=20/24</formula>
    </cfRule>
  </conditionalFormatting>
  <conditionalFormatting sqref="AG258">
    <cfRule type="expression" dxfId="1124" priority="116">
      <formula>B$9&gt;=20/24</formula>
    </cfRule>
    <cfRule type="expression" dxfId="1123" priority="117">
      <formula>AND(B$9&gt;=14/24,B$9&lt;20/24)</formula>
    </cfRule>
    <cfRule type="expression" dxfId="1122" priority="118">
      <formula>AND(B$9&gt;=8/24,B$9&lt;14/24)</formula>
    </cfRule>
    <cfRule type="expression" dxfId="1121" priority="119">
      <formula>B$9&lt;8/24</formula>
    </cfRule>
  </conditionalFormatting>
  <conditionalFormatting sqref="AH258:AX258">
    <cfRule type="expression" dxfId="1120" priority="120">
      <formula>AG$9&gt;=20/24</formula>
    </cfRule>
    <cfRule type="expression" dxfId="1119" priority="121">
      <formula>AND(AG$9&gt;=14/24,AG$9&lt;20/24)</formula>
    </cfRule>
    <cfRule type="expression" dxfId="1118" priority="122">
      <formula>AND(AG$9&gt;=8/24,AG$9&lt;14/24)</formula>
    </cfRule>
    <cfRule type="expression" dxfId="1117" priority="123">
      <formula>AG$9&lt;8/24</formula>
    </cfRule>
  </conditionalFormatting>
  <conditionalFormatting sqref="AL4:AL6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116" priority="129">
      <formula>AJ$9&gt;=20/24</formula>
    </cfRule>
    <cfRule type="expression" dxfId="1115" priority="130">
      <formula>AND(AJ$9&gt;=14/24,AJ$9&lt;20/24)</formula>
    </cfRule>
    <cfRule type="expression" dxfId="1114" priority="131">
      <formula>AND(AJ$9&gt;=8/24,AJ$9&lt;14/24)</formula>
    </cfRule>
    <cfRule type="expression" dxfId="1113" priority="132">
      <formula>AJ$9&lt;8/24</formula>
    </cfRule>
  </conditionalFormatting>
  <conditionalFormatting sqref="AL88:AN88 AL94:AN94">
    <cfRule type="expression" dxfId="1112" priority="75">
      <formula>AL$9&gt;=20/24</formula>
    </cfRule>
    <cfRule type="expression" dxfId="1111" priority="76">
      <formula>AND(AL$9&gt;=14/24,AL$9&lt;20/24)</formula>
    </cfRule>
    <cfRule type="expression" dxfId="1110" priority="77">
      <formula>AND(AL$9&gt;=8/24,AL$9&lt;14/24)</formula>
    </cfRule>
    <cfRule type="expression" dxfId="1109" priority="78">
      <formula>AL$9&lt;8/24</formula>
    </cfRule>
  </conditionalFormatting>
  <conditionalFormatting sqref="AN89:AN92">
    <cfRule type="expression" dxfId="1108" priority="71">
      <formula>AN$9&gt;=20/24</formula>
    </cfRule>
    <cfRule type="expression" dxfId="1107" priority="72">
      <formula>AND(AN$9&gt;=14/24,AN$9&lt;20/24)</formula>
    </cfRule>
    <cfRule type="expression" dxfId="1106" priority="73">
      <formula>AND(AN$9&gt;=8/24,AN$9&lt;14/24)</formula>
    </cfRule>
    <cfRule type="expression" dxfId="1105" priority="7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A603-DA6A-49B4-974D-7BF67980D76A}">
  <sheetPr codeName="Sheet24"/>
  <dimension ref="A1:CJ293"/>
  <sheetViews>
    <sheetView zoomScale="90" zoomScaleNormal="90" workbookViewId="0">
      <pane xSplit="1" ySplit="10" topLeftCell="B77" activePane="bottomRight" state="frozen"/>
      <selection activeCell="P118" sqref="P118"/>
      <selection pane="topRight" activeCell="P118" sqref="P118"/>
      <selection pane="bottomLeft" activeCell="P118" sqref="P118"/>
      <selection pane="bottomRight" activeCell="U138" sqref="U138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2080/09/23</v>
      </c>
      <c r="C4" s="246"/>
      <c r="D4" s="246"/>
      <c r="E4" s="247" t="str">
        <f ca="1">"2080/"&amp;"09/"&amp;INT(MID(CELL("filename",G6),FIND("]",CELL("filename",G6))+1,200))</f>
        <v>2080/09/23</v>
      </c>
      <c r="F4" s="247"/>
      <c r="G4" s="247"/>
      <c r="H4" s="247" t="str">
        <f ca="1">TEXT(E4,"dddd")</f>
        <v>Monday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255</v>
      </c>
      <c r="C5" s="30">
        <f t="shared" si="0"/>
        <v>215</v>
      </c>
      <c r="D5" s="30">
        <f t="shared" si="0"/>
        <v>198</v>
      </c>
      <c r="E5" s="30">
        <f t="shared" si="0"/>
        <v>161.4</v>
      </c>
      <c r="F5" s="30">
        <f t="shared" si="0"/>
        <v>240.7</v>
      </c>
      <c r="G5" s="30">
        <f t="shared" si="0"/>
        <v>331</v>
      </c>
      <c r="H5" s="30">
        <f t="shared" si="0"/>
        <v>405.5</v>
      </c>
      <c r="I5" s="30">
        <f t="shared" si="0"/>
        <v>419</v>
      </c>
      <c r="J5" s="30">
        <f t="shared" si="0"/>
        <v>461.6</v>
      </c>
      <c r="K5" s="30">
        <f t="shared" si="0"/>
        <v>234.9</v>
      </c>
      <c r="L5" s="30">
        <f t="shared" si="0"/>
        <v>101</v>
      </c>
      <c r="M5" s="30">
        <f t="shared" si="0"/>
        <v>75.3</v>
      </c>
      <c r="N5" s="30">
        <f t="shared" si="0"/>
        <v>69</v>
      </c>
      <c r="O5" s="30">
        <f t="shared" si="0"/>
        <v>312</v>
      </c>
      <c r="P5" s="30">
        <f t="shared" si="0"/>
        <v>411.5</v>
      </c>
      <c r="Q5" s="30">
        <f t="shared" si="0"/>
        <v>443</v>
      </c>
      <c r="R5" s="30">
        <f t="shared" si="0"/>
        <v>445.5</v>
      </c>
      <c r="S5" s="30">
        <f t="shared" si="0"/>
        <v>477</v>
      </c>
      <c r="T5" s="30">
        <f t="shared" si="0"/>
        <v>487</v>
      </c>
      <c r="U5" s="30">
        <f t="shared" si="0"/>
        <v>367.9</v>
      </c>
      <c r="V5" s="30">
        <f t="shared" si="0"/>
        <v>255</v>
      </c>
      <c r="W5" s="30">
        <f t="shared" si="0"/>
        <v>214</v>
      </c>
      <c r="X5" s="30">
        <f t="shared" si="0"/>
        <v>214</v>
      </c>
      <c r="Y5" s="30">
        <f t="shared" si="0"/>
        <v>214</v>
      </c>
      <c r="Z5" s="30">
        <f t="shared" si="0"/>
        <v>214</v>
      </c>
      <c r="AA5" s="30">
        <f t="shared" si="0"/>
        <v>312.40000000000003</v>
      </c>
      <c r="AB5" s="30">
        <f t="shared" si="0"/>
        <v>249.5</v>
      </c>
      <c r="AC5" s="30">
        <f t="shared" si="0"/>
        <v>283.8</v>
      </c>
      <c r="AD5" s="30">
        <f t="shared" si="0"/>
        <v>309.8</v>
      </c>
      <c r="AE5" s="30">
        <f t="shared" si="0"/>
        <v>260.5</v>
      </c>
      <c r="AF5" s="30">
        <f>B92</f>
        <v>231.8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1702MW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Load=335</v>
      </c>
      <c r="B7" s="35">
        <f>B100</f>
        <v>335.44000000000005</v>
      </c>
      <c r="C7" s="35">
        <f t="shared" ref="C7:AF7" si="1">C100</f>
        <v>1004.24</v>
      </c>
      <c r="D7" s="35">
        <f t="shared" si="1"/>
        <v>964.24</v>
      </c>
      <c r="E7" s="35">
        <f t="shared" si="1"/>
        <v>950.84</v>
      </c>
      <c r="F7" s="35">
        <f t="shared" si="1"/>
        <v>958.24</v>
      </c>
      <c r="G7" s="35">
        <f t="shared" si="1"/>
        <v>1039.74</v>
      </c>
      <c r="H7" s="35">
        <f t="shared" si="1"/>
        <v>1129.44</v>
      </c>
      <c r="I7" s="35">
        <f t="shared" si="1"/>
        <v>1259.8499999999999</v>
      </c>
      <c r="J7" s="35">
        <f t="shared" si="1"/>
        <v>1341.14</v>
      </c>
      <c r="K7" s="35">
        <f t="shared" si="1"/>
        <v>1491.04</v>
      </c>
      <c r="L7" s="35">
        <f t="shared" si="1"/>
        <v>1694.8400000000001</v>
      </c>
      <c r="M7" s="35">
        <f t="shared" si="1"/>
        <v>1700.94</v>
      </c>
      <c r="N7" s="35">
        <f t="shared" si="1"/>
        <v>1630.64</v>
      </c>
      <c r="O7" s="35">
        <f t="shared" si="1"/>
        <v>1604.74</v>
      </c>
      <c r="P7" s="35">
        <f t="shared" si="1"/>
        <v>1507.44</v>
      </c>
      <c r="Q7" s="35">
        <f t="shared" si="1"/>
        <v>1418.94</v>
      </c>
      <c r="R7" s="35">
        <f t="shared" si="1"/>
        <v>1389.94</v>
      </c>
      <c r="S7" s="35">
        <f t="shared" si="1"/>
        <v>1351.5400000000002</v>
      </c>
      <c r="T7" s="35">
        <f t="shared" si="1"/>
        <v>1363.64</v>
      </c>
      <c r="U7" s="35">
        <f t="shared" si="1"/>
        <v>1395.14</v>
      </c>
      <c r="V7" s="35">
        <f t="shared" si="1"/>
        <v>1464.94</v>
      </c>
      <c r="W7" s="35">
        <f t="shared" si="1"/>
        <v>1637.64</v>
      </c>
      <c r="X7" s="35">
        <f t="shared" si="1"/>
        <v>1713.8</v>
      </c>
      <c r="Y7" s="35">
        <f t="shared" si="1"/>
        <v>1713.8</v>
      </c>
      <c r="Z7" s="35">
        <f t="shared" si="1"/>
        <v>1713.8</v>
      </c>
      <c r="AA7" s="35">
        <f t="shared" si="1"/>
        <v>1713.8</v>
      </c>
      <c r="AB7" s="35">
        <f t="shared" si="1"/>
        <v>1568.3400000000001</v>
      </c>
      <c r="AC7" s="35">
        <f t="shared" si="1"/>
        <v>1500.24</v>
      </c>
      <c r="AD7" s="35">
        <f t="shared" si="1"/>
        <v>1336.94</v>
      </c>
      <c r="AE7" s="35">
        <f t="shared" si="1"/>
        <v>1169.6400000000001</v>
      </c>
      <c r="AF7" s="35">
        <f t="shared" si="1"/>
        <v>1027.0400000000002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32.5</v>
      </c>
      <c r="C11" s="45">
        <v>32.5</v>
      </c>
      <c r="D11" s="45">
        <v>32.5</v>
      </c>
      <c r="E11" s="45">
        <v>36.5</v>
      </c>
      <c r="F11" s="45">
        <v>36.5</v>
      </c>
      <c r="G11" s="45">
        <v>36.5</v>
      </c>
      <c r="H11" s="45">
        <v>36.5</v>
      </c>
      <c r="I11" s="45">
        <v>36.5</v>
      </c>
      <c r="J11" s="45">
        <v>36.5</v>
      </c>
      <c r="K11" s="45">
        <v>36.5</v>
      </c>
      <c r="L11" s="45">
        <v>36.5</v>
      </c>
      <c r="M11" s="45">
        <v>36.1</v>
      </c>
      <c r="N11" s="45">
        <v>36.1</v>
      </c>
      <c r="O11" s="45">
        <v>36.1</v>
      </c>
      <c r="P11" s="45">
        <v>36.1</v>
      </c>
      <c r="Q11" s="45">
        <v>36.1</v>
      </c>
      <c r="R11" s="45">
        <v>36.1</v>
      </c>
      <c r="S11" s="45">
        <v>34.5</v>
      </c>
      <c r="T11" s="45">
        <v>34.5</v>
      </c>
      <c r="U11" s="45">
        <v>34.5</v>
      </c>
      <c r="V11" s="45">
        <v>34.5</v>
      </c>
      <c r="W11" s="45">
        <v>34.5</v>
      </c>
      <c r="X11" s="45">
        <v>34.5</v>
      </c>
      <c r="Y11" s="45">
        <v>34.5</v>
      </c>
      <c r="Z11" s="45">
        <v>34.5</v>
      </c>
      <c r="AA11" s="45">
        <v>34.5</v>
      </c>
      <c r="AB11" s="45">
        <v>34.5</v>
      </c>
      <c r="AC11" s="45">
        <v>34.5</v>
      </c>
      <c r="AD11" s="45">
        <v>34.5</v>
      </c>
      <c r="AE11" s="45">
        <v>34.5</v>
      </c>
      <c r="AF11" s="45">
        <v>34.5</v>
      </c>
      <c r="AG11" s="46">
        <v>86</v>
      </c>
      <c r="AH11" s="47">
        <f t="shared" ref="AH11:AH84" si="2">MAX(B11:AF11)</f>
        <v>36.5</v>
      </c>
      <c r="AI11" s="48">
        <f t="shared" ref="AI11:AI84" si="3">MIN(B11:AF11)</f>
        <v>32.5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11.5</v>
      </c>
      <c r="C12" s="45">
        <v>11.5</v>
      </c>
      <c r="D12" s="45">
        <v>11.5</v>
      </c>
      <c r="E12" s="45">
        <v>11.5</v>
      </c>
      <c r="F12" s="45">
        <v>11.5</v>
      </c>
      <c r="G12" s="45">
        <v>11.5</v>
      </c>
      <c r="H12" s="45">
        <v>11.5</v>
      </c>
      <c r="I12" s="45">
        <v>11.5</v>
      </c>
      <c r="J12" s="45">
        <v>11.5</v>
      </c>
      <c r="K12" s="45">
        <v>11.5</v>
      </c>
      <c r="L12" s="45">
        <v>11.5</v>
      </c>
      <c r="M12" s="45">
        <v>11.5</v>
      </c>
      <c r="N12" s="45">
        <v>11.5</v>
      </c>
      <c r="O12" s="45">
        <v>11.5</v>
      </c>
      <c r="P12" s="45">
        <v>11.5</v>
      </c>
      <c r="Q12" s="45">
        <v>11.5</v>
      </c>
      <c r="R12" s="45">
        <v>11.5</v>
      </c>
      <c r="S12" s="45">
        <v>11.5</v>
      </c>
      <c r="T12" s="45">
        <v>11.5</v>
      </c>
      <c r="U12" s="45">
        <v>11.5</v>
      </c>
      <c r="V12" s="45">
        <v>11.5</v>
      </c>
      <c r="W12" s="45">
        <v>11.5</v>
      </c>
      <c r="X12" s="45">
        <v>11.5</v>
      </c>
      <c r="Y12" s="45">
        <v>11.5</v>
      </c>
      <c r="Z12" s="45">
        <v>11.5</v>
      </c>
      <c r="AA12" s="45">
        <v>11.5</v>
      </c>
      <c r="AB12" s="45">
        <v>11.5</v>
      </c>
      <c r="AC12" s="45">
        <v>11.5</v>
      </c>
      <c r="AD12" s="45">
        <v>11.5</v>
      </c>
      <c r="AE12" s="45">
        <v>11.5</v>
      </c>
      <c r="AF12" s="45">
        <v>11.5</v>
      </c>
      <c r="AG12" s="49">
        <v>54</v>
      </c>
      <c r="AH12" s="47">
        <f t="shared" si="2"/>
        <v>11.5</v>
      </c>
      <c r="AI12" s="48">
        <f t="shared" si="3"/>
        <v>11.5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14</v>
      </c>
      <c r="C13" s="45">
        <v>14</v>
      </c>
      <c r="D13" s="45">
        <v>14</v>
      </c>
      <c r="E13" s="45">
        <v>14</v>
      </c>
      <c r="F13" s="45">
        <v>14</v>
      </c>
      <c r="G13" s="45">
        <v>14</v>
      </c>
      <c r="H13" s="45">
        <v>14</v>
      </c>
      <c r="I13" s="45">
        <v>14</v>
      </c>
      <c r="J13" s="45">
        <v>14</v>
      </c>
      <c r="K13" s="45">
        <v>14</v>
      </c>
      <c r="L13" s="45">
        <v>14</v>
      </c>
      <c r="M13" s="45">
        <v>14</v>
      </c>
      <c r="N13" s="45">
        <v>14</v>
      </c>
      <c r="O13" s="45">
        <v>14</v>
      </c>
      <c r="P13" s="45">
        <v>14</v>
      </c>
      <c r="Q13" s="45">
        <v>14</v>
      </c>
      <c r="R13" s="45">
        <v>14</v>
      </c>
      <c r="S13" s="45">
        <v>14</v>
      </c>
      <c r="T13" s="45">
        <v>14</v>
      </c>
      <c r="U13" s="45">
        <v>14</v>
      </c>
      <c r="V13" s="45">
        <v>14</v>
      </c>
      <c r="W13" s="45">
        <v>14</v>
      </c>
      <c r="X13" s="45">
        <v>16</v>
      </c>
      <c r="Y13" s="45">
        <v>16</v>
      </c>
      <c r="Z13" s="45">
        <v>16</v>
      </c>
      <c r="AA13" s="45">
        <v>16</v>
      </c>
      <c r="AB13" s="45">
        <v>16</v>
      </c>
      <c r="AC13" s="45">
        <v>16</v>
      </c>
      <c r="AD13" s="45">
        <v>16</v>
      </c>
      <c r="AE13" s="45">
        <v>16</v>
      </c>
      <c r="AF13" s="45">
        <v>16</v>
      </c>
      <c r="AG13" s="49">
        <v>54</v>
      </c>
      <c r="AH13" s="47">
        <f t="shared" si="2"/>
        <v>16</v>
      </c>
      <c r="AI13" s="48">
        <f t="shared" si="3"/>
        <v>14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17</v>
      </c>
      <c r="C14" s="45">
        <v>17</v>
      </c>
      <c r="D14" s="45">
        <v>17</v>
      </c>
      <c r="E14" s="45">
        <v>18.5</v>
      </c>
      <c r="F14" s="45">
        <v>18.5</v>
      </c>
      <c r="G14" s="45">
        <v>18.5</v>
      </c>
      <c r="H14" s="45">
        <v>18.5</v>
      </c>
      <c r="I14" s="45">
        <v>18.5</v>
      </c>
      <c r="J14" s="45">
        <v>18.5</v>
      </c>
      <c r="K14" s="45">
        <v>18.5</v>
      </c>
      <c r="L14" s="45">
        <v>18.5</v>
      </c>
      <c r="M14" s="45">
        <v>17.100000000000001</v>
      </c>
      <c r="N14" s="45">
        <v>17.100000000000001</v>
      </c>
      <c r="O14" s="45">
        <v>17.100000000000001</v>
      </c>
      <c r="P14" s="45">
        <v>17.100000000000001</v>
      </c>
      <c r="Q14" s="45">
        <v>17.100000000000001</v>
      </c>
      <c r="R14" s="45">
        <v>17.100000000000001</v>
      </c>
      <c r="S14" s="45">
        <v>17.100000000000001</v>
      </c>
      <c r="T14" s="45">
        <v>17.100000000000001</v>
      </c>
      <c r="U14" s="45">
        <v>17.100000000000001</v>
      </c>
      <c r="V14" s="45">
        <v>17.100000000000001</v>
      </c>
      <c r="W14" s="45">
        <v>17.100000000000001</v>
      </c>
      <c r="X14" s="45">
        <v>17.100000000000001</v>
      </c>
      <c r="Y14" s="45">
        <v>17.100000000000001</v>
      </c>
      <c r="Z14" s="45">
        <v>17.100000000000001</v>
      </c>
      <c r="AA14" s="45">
        <v>17.100000000000001</v>
      </c>
      <c r="AB14" s="45">
        <v>17.100000000000001</v>
      </c>
      <c r="AC14" s="45">
        <v>17.100000000000001</v>
      </c>
      <c r="AD14" s="45">
        <v>17.100000000000001</v>
      </c>
      <c r="AE14" s="45">
        <v>17.100000000000001</v>
      </c>
      <c r="AF14" s="45">
        <v>17.100000000000001</v>
      </c>
      <c r="AG14" s="46">
        <v>52.4</v>
      </c>
      <c r="AH14" s="47">
        <f t="shared" si="2"/>
        <v>18.5</v>
      </c>
      <c r="AI14" s="48">
        <f t="shared" si="3"/>
        <v>17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37.200000000000003</v>
      </c>
      <c r="C15" s="45">
        <v>37.200000000000003</v>
      </c>
      <c r="D15" s="45">
        <v>37.200000000000003</v>
      </c>
      <c r="E15" s="45">
        <v>37.9</v>
      </c>
      <c r="F15" s="45">
        <v>37.9</v>
      </c>
      <c r="G15" s="45">
        <v>37.9</v>
      </c>
      <c r="H15" s="45">
        <v>37.9</v>
      </c>
      <c r="I15" s="45">
        <v>37.9</v>
      </c>
      <c r="J15" s="45">
        <v>37.9</v>
      </c>
      <c r="K15" s="45">
        <v>37.9</v>
      </c>
      <c r="L15" s="45">
        <v>37.9</v>
      </c>
      <c r="M15" s="45">
        <v>38.6</v>
      </c>
      <c r="N15" s="45">
        <v>38.6</v>
      </c>
      <c r="O15" s="45">
        <v>38.6</v>
      </c>
      <c r="P15" s="45">
        <v>38.6</v>
      </c>
      <c r="Q15" s="45">
        <v>38.6</v>
      </c>
      <c r="R15" s="45">
        <v>38.6</v>
      </c>
      <c r="S15" s="45">
        <v>38.6</v>
      </c>
      <c r="T15" s="45">
        <v>38.6</v>
      </c>
      <c r="U15" s="45">
        <v>38.6</v>
      </c>
      <c r="V15" s="45">
        <v>38.6</v>
      </c>
      <c r="W15" s="45">
        <v>38.6</v>
      </c>
      <c r="X15" s="51">
        <v>38.6</v>
      </c>
      <c r="Y15" s="51">
        <v>38.6</v>
      </c>
      <c r="Z15" s="51">
        <v>38.6</v>
      </c>
      <c r="AA15" s="51">
        <v>38.6</v>
      </c>
      <c r="AB15" s="51">
        <v>38.6</v>
      </c>
      <c r="AC15" s="51">
        <v>38.6</v>
      </c>
      <c r="AD15" s="51">
        <v>38.6</v>
      </c>
      <c r="AE15" s="51">
        <v>38.6</v>
      </c>
      <c r="AF15" s="51">
        <v>38.6</v>
      </c>
      <c r="AG15" s="49">
        <v>50</v>
      </c>
      <c r="AH15" s="47">
        <f t="shared" si="2"/>
        <v>38.6</v>
      </c>
      <c r="AI15" s="48">
        <f t="shared" si="3"/>
        <v>37.200000000000003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21.5</v>
      </c>
      <c r="C16" s="45">
        <v>21.5</v>
      </c>
      <c r="D16" s="45">
        <v>21.5</v>
      </c>
      <c r="E16" s="45">
        <v>19.899999999999999</v>
      </c>
      <c r="F16" s="45">
        <v>19.899999999999999</v>
      </c>
      <c r="G16" s="45">
        <v>19.899999999999999</v>
      </c>
      <c r="H16" s="45">
        <v>19.899999999999999</v>
      </c>
      <c r="I16" s="45">
        <v>19.899999999999999</v>
      </c>
      <c r="J16" s="45">
        <v>19.899999999999999</v>
      </c>
      <c r="K16" s="45">
        <v>19.899999999999999</v>
      </c>
      <c r="L16" s="45">
        <v>19.899999999999999</v>
      </c>
      <c r="M16" s="45">
        <v>18.600000000000001</v>
      </c>
      <c r="N16" s="45">
        <v>18.600000000000001</v>
      </c>
      <c r="O16" s="45">
        <v>18.600000000000001</v>
      </c>
      <c r="P16" s="45">
        <v>18.600000000000001</v>
      </c>
      <c r="Q16" s="45">
        <v>18.600000000000001</v>
      </c>
      <c r="R16" s="45">
        <v>18.600000000000001</v>
      </c>
      <c r="S16" s="45">
        <v>18.600000000000001</v>
      </c>
      <c r="T16" s="45">
        <v>18.600000000000001</v>
      </c>
      <c r="U16" s="45">
        <v>18.600000000000001</v>
      </c>
      <c r="V16" s="45">
        <v>18.600000000000001</v>
      </c>
      <c r="W16" s="45">
        <v>18.600000000000001</v>
      </c>
      <c r="X16" s="45">
        <v>18.600000000000001</v>
      </c>
      <c r="Y16" s="45">
        <v>18.600000000000001</v>
      </c>
      <c r="Z16" s="45">
        <v>18.600000000000001</v>
      </c>
      <c r="AA16" s="45">
        <v>18.600000000000001</v>
      </c>
      <c r="AB16" s="45">
        <v>18.600000000000001</v>
      </c>
      <c r="AC16" s="45">
        <v>18.600000000000001</v>
      </c>
      <c r="AD16" s="45">
        <v>18.600000000000001</v>
      </c>
      <c r="AE16" s="45">
        <v>18.600000000000001</v>
      </c>
      <c r="AF16" s="45">
        <v>18.600000000000001</v>
      </c>
      <c r="AG16" s="49">
        <v>45</v>
      </c>
      <c r="AH16" s="47">
        <f t="shared" si="2"/>
        <v>21.5</v>
      </c>
      <c r="AI16" s="48">
        <f t="shared" si="3"/>
        <v>18.600000000000001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17</v>
      </c>
      <c r="C17" s="45">
        <v>17</v>
      </c>
      <c r="D17" s="45">
        <v>17</v>
      </c>
      <c r="E17" s="45">
        <v>17</v>
      </c>
      <c r="F17" s="45">
        <v>17</v>
      </c>
      <c r="G17" s="45">
        <v>17</v>
      </c>
      <c r="H17" s="45">
        <v>17</v>
      </c>
      <c r="I17" s="45">
        <v>17</v>
      </c>
      <c r="J17" s="45">
        <v>17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</v>
      </c>
      <c r="T17" s="45">
        <v>17</v>
      </c>
      <c r="U17" s="45">
        <v>17</v>
      </c>
      <c r="V17" s="45">
        <v>17</v>
      </c>
      <c r="W17" s="45">
        <v>17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10</v>
      </c>
      <c r="C18" s="45">
        <v>10</v>
      </c>
      <c r="D18" s="45">
        <v>10</v>
      </c>
      <c r="E18" s="45">
        <v>10</v>
      </c>
      <c r="F18" s="45">
        <v>10</v>
      </c>
      <c r="G18" s="45">
        <v>10</v>
      </c>
      <c r="H18" s="45">
        <v>10</v>
      </c>
      <c r="I18" s="45">
        <v>10</v>
      </c>
      <c r="J18" s="45">
        <v>10</v>
      </c>
      <c r="K18" s="45">
        <v>10</v>
      </c>
      <c r="L18" s="45">
        <v>10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10</v>
      </c>
      <c r="T18" s="45">
        <v>10</v>
      </c>
      <c r="U18" s="45">
        <v>10</v>
      </c>
      <c r="V18" s="45">
        <v>10</v>
      </c>
      <c r="W18" s="45">
        <v>10</v>
      </c>
      <c r="X18" s="45">
        <v>10</v>
      </c>
      <c r="Y18" s="45">
        <v>10</v>
      </c>
      <c r="Z18" s="45">
        <v>10</v>
      </c>
      <c r="AA18" s="45">
        <v>10</v>
      </c>
      <c r="AB18" s="45">
        <v>10</v>
      </c>
      <c r="AC18" s="45">
        <v>10</v>
      </c>
      <c r="AD18" s="45">
        <v>10</v>
      </c>
      <c r="AE18" s="45">
        <v>10</v>
      </c>
      <c r="AF18" s="45">
        <v>10</v>
      </c>
      <c r="AG18" s="49">
        <v>42</v>
      </c>
      <c r="AH18" s="47">
        <f t="shared" si="2"/>
        <v>10</v>
      </c>
      <c r="AI18" s="48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12.5</v>
      </c>
      <c r="C20" s="45">
        <v>12.5</v>
      </c>
      <c r="D20" s="45">
        <v>12.5</v>
      </c>
      <c r="E20" s="45">
        <v>12.5</v>
      </c>
      <c r="F20" s="45">
        <v>12.5</v>
      </c>
      <c r="G20" s="45">
        <v>12.5</v>
      </c>
      <c r="H20" s="45">
        <v>12.5</v>
      </c>
      <c r="I20" s="45">
        <v>12.5</v>
      </c>
      <c r="J20" s="45">
        <v>12.5</v>
      </c>
      <c r="K20" s="45">
        <v>12.5</v>
      </c>
      <c r="L20" s="45">
        <v>12.5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12.5</v>
      </c>
      <c r="T20" s="45">
        <v>12.5</v>
      </c>
      <c r="U20" s="45">
        <v>12.5</v>
      </c>
      <c r="V20" s="45">
        <v>12.5</v>
      </c>
      <c r="W20" s="45">
        <v>12.5</v>
      </c>
      <c r="X20" s="45">
        <v>12.5</v>
      </c>
      <c r="Y20" s="45">
        <v>12.5</v>
      </c>
      <c r="Z20" s="45">
        <v>12.5</v>
      </c>
      <c r="AA20" s="45">
        <v>12.5</v>
      </c>
      <c r="AB20" s="45">
        <v>12.5</v>
      </c>
      <c r="AC20" s="45">
        <v>12.5</v>
      </c>
      <c r="AD20" s="45">
        <v>12.5</v>
      </c>
      <c r="AE20" s="45">
        <v>12.5</v>
      </c>
      <c r="AF20" s="45">
        <v>12.5</v>
      </c>
      <c r="AG20" s="49">
        <v>38.46</v>
      </c>
      <c r="AH20" s="47">
        <f t="shared" si="2"/>
        <v>12.5</v>
      </c>
      <c r="AI20" s="48">
        <f t="shared" si="3"/>
        <v>12.5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16</v>
      </c>
      <c r="T21" s="45">
        <v>16</v>
      </c>
      <c r="U21" s="45">
        <v>16</v>
      </c>
      <c r="V21" s="45">
        <v>16</v>
      </c>
      <c r="W21" s="45">
        <v>16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49">
        <v>36</v>
      </c>
      <c r="AH21" s="47">
        <f t="shared" si="2"/>
        <v>16</v>
      </c>
      <c r="AI21" s="48">
        <f t="shared" si="3"/>
        <v>16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11.7</v>
      </c>
      <c r="C22" s="45">
        <v>11.7</v>
      </c>
      <c r="D22" s="45">
        <v>11.7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2">
        <v>30</v>
      </c>
      <c r="AH22" s="47">
        <f t="shared" si="2"/>
        <v>11.7</v>
      </c>
      <c r="AI22" s="48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49">
        <v>24.2</v>
      </c>
      <c r="AH23" s="47">
        <f t="shared" si="2"/>
        <v>10</v>
      </c>
      <c r="AI23" s="48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11.9</v>
      </c>
      <c r="C24" s="45">
        <v>11.9</v>
      </c>
      <c r="D24" s="45">
        <v>11.9</v>
      </c>
      <c r="E24" s="45">
        <v>11</v>
      </c>
      <c r="F24" s="45">
        <v>11</v>
      </c>
      <c r="G24" s="45">
        <v>11</v>
      </c>
      <c r="H24" s="45">
        <v>11</v>
      </c>
      <c r="I24" s="45">
        <v>11</v>
      </c>
      <c r="J24" s="45">
        <v>11</v>
      </c>
      <c r="K24" s="45">
        <v>11</v>
      </c>
      <c r="L24" s="45">
        <v>11</v>
      </c>
      <c r="M24" s="45">
        <v>10.6</v>
      </c>
      <c r="N24" s="45">
        <v>10.6</v>
      </c>
      <c r="O24" s="45">
        <v>10.6</v>
      </c>
      <c r="P24" s="45">
        <v>10.6</v>
      </c>
      <c r="Q24" s="45">
        <v>10.6</v>
      </c>
      <c r="R24" s="45">
        <v>10.6</v>
      </c>
      <c r="S24" s="45">
        <v>10.6</v>
      </c>
      <c r="T24" s="45">
        <v>10.6</v>
      </c>
      <c r="U24" s="45">
        <v>10.6</v>
      </c>
      <c r="V24" s="45">
        <v>10.6</v>
      </c>
      <c r="W24" s="45">
        <v>10.6</v>
      </c>
      <c r="X24" s="45">
        <v>10.6</v>
      </c>
      <c r="Y24" s="45">
        <v>10.6</v>
      </c>
      <c r="Z24" s="45">
        <v>10.6</v>
      </c>
      <c r="AA24" s="45">
        <v>10.6</v>
      </c>
      <c r="AB24" s="45">
        <v>10.6</v>
      </c>
      <c r="AC24" s="45">
        <v>10.6</v>
      </c>
      <c r="AD24" s="45">
        <v>10.6</v>
      </c>
      <c r="AE24" s="45">
        <v>10.6</v>
      </c>
      <c r="AF24" s="45">
        <v>10.6</v>
      </c>
      <c r="AG24" s="49">
        <v>28</v>
      </c>
      <c r="AH24" s="47">
        <f t="shared" si="2"/>
        <v>11.9</v>
      </c>
      <c r="AI24" s="48">
        <f t="shared" si="3"/>
        <v>10.6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9</v>
      </c>
      <c r="E25" s="45">
        <v>9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8.4</v>
      </c>
      <c r="N25" s="45">
        <v>8.4</v>
      </c>
      <c r="O25" s="45">
        <v>8.4</v>
      </c>
      <c r="P25" s="45">
        <v>8.4</v>
      </c>
      <c r="Q25" s="45">
        <v>8.4</v>
      </c>
      <c r="R25" s="45">
        <v>8.4</v>
      </c>
      <c r="S25" s="45">
        <v>8.4</v>
      </c>
      <c r="T25" s="45">
        <v>8.4</v>
      </c>
      <c r="U25" s="45">
        <v>8.4</v>
      </c>
      <c r="V25" s="45">
        <v>8.4</v>
      </c>
      <c r="W25" s="45">
        <v>8.4</v>
      </c>
      <c r="X25" s="45">
        <v>8.4</v>
      </c>
      <c r="Y25" s="45">
        <v>8.4</v>
      </c>
      <c r="Z25" s="45">
        <v>8.4</v>
      </c>
      <c r="AA25" s="45">
        <v>8.4</v>
      </c>
      <c r="AB25" s="45">
        <v>8.4</v>
      </c>
      <c r="AC25" s="45">
        <v>8.4</v>
      </c>
      <c r="AD25" s="45">
        <v>8.4</v>
      </c>
      <c r="AE25" s="45">
        <v>8.4</v>
      </c>
      <c r="AF25" s="45">
        <v>8.4</v>
      </c>
      <c r="AG25" s="52">
        <v>30</v>
      </c>
      <c r="AH25" s="47">
        <f t="shared" si="2"/>
        <v>9</v>
      </c>
      <c r="AI25" s="48">
        <f t="shared" si="3"/>
        <v>8.4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10.3</v>
      </c>
      <c r="C26" s="45">
        <v>10.3</v>
      </c>
      <c r="D26" s="45">
        <v>10.3</v>
      </c>
      <c r="E26" s="45">
        <v>10.9</v>
      </c>
      <c r="F26" s="45">
        <v>10.9</v>
      </c>
      <c r="G26" s="45">
        <v>10.9</v>
      </c>
      <c r="H26" s="45">
        <v>10.9</v>
      </c>
      <c r="I26" s="45">
        <v>10.9</v>
      </c>
      <c r="J26" s="45">
        <v>10.9</v>
      </c>
      <c r="K26" s="45">
        <v>10.9</v>
      </c>
      <c r="L26" s="45">
        <v>10.9</v>
      </c>
      <c r="M26" s="45">
        <v>11.1</v>
      </c>
      <c r="N26" s="45">
        <v>11.1</v>
      </c>
      <c r="O26" s="45">
        <v>11.1</v>
      </c>
      <c r="P26" s="45">
        <v>11.1</v>
      </c>
      <c r="Q26" s="45">
        <v>11.1</v>
      </c>
      <c r="R26" s="45">
        <v>11.1</v>
      </c>
      <c r="S26" s="45">
        <v>11.1</v>
      </c>
      <c r="T26" s="45">
        <v>11.1</v>
      </c>
      <c r="U26" s="45">
        <v>11.1</v>
      </c>
      <c r="V26" s="45">
        <v>11.1</v>
      </c>
      <c r="W26" s="45">
        <v>11.1</v>
      </c>
      <c r="X26" s="45">
        <v>11.1</v>
      </c>
      <c r="Y26" s="45">
        <v>11.1</v>
      </c>
      <c r="Z26" s="45">
        <v>11.1</v>
      </c>
      <c r="AA26" s="45">
        <v>11.1</v>
      </c>
      <c r="AB26" s="45">
        <v>11.1</v>
      </c>
      <c r="AC26" s="45">
        <v>11.1</v>
      </c>
      <c r="AD26" s="45">
        <v>11.1</v>
      </c>
      <c r="AE26" s="45">
        <v>11.1</v>
      </c>
      <c r="AF26" s="45">
        <v>11.1</v>
      </c>
      <c r="AG26" s="49">
        <v>25</v>
      </c>
      <c r="AH26" s="47">
        <f t="shared" si="2"/>
        <v>11.1</v>
      </c>
      <c r="AI26" s="48">
        <f t="shared" si="3"/>
        <v>10.3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9.5</v>
      </c>
      <c r="T28" s="45">
        <v>9.5</v>
      </c>
      <c r="U28" s="45">
        <v>9.5</v>
      </c>
      <c r="V28" s="45">
        <v>9.5</v>
      </c>
      <c r="W28" s="45">
        <v>9.5</v>
      </c>
      <c r="X28" s="45">
        <v>9.5</v>
      </c>
      <c r="Y28" s="45">
        <v>9.5</v>
      </c>
      <c r="Z28" s="45">
        <v>9.5</v>
      </c>
      <c r="AA28" s="45">
        <v>9.5</v>
      </c>
      <c r="AB28" s="45">
        <v>9.5</v>
      </c>
      <c r="AC28" s="45">
        <v>9.5</v>
      </c>
      <c r="AD28" s="45">
        <v>9.5</v>
      </c>
      <c r="AE28" s="45">
        <v>9.5</v>
      </c>
      <c r="AF28" s="45">
        <v>9.5</v>
      </c>
      <c r="AG28" s="49">
        <v>25</v>
      </c>
      <c r="AH28" s="47">
        <f t="shared" si="2"/>
        <v>9.5</v>
      </c>
      <c r="AI28" s="48">
        <f t="shared" si="3"/>
        <v>9.5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10.3</v>
      </c>
      <c r="C29" s="45">
        <v>10.3</v>
      </c>
      <c r="D29" s="45">
        <v>10.3</v>
      </c>
      <c r="E29" s="45">
        <v>10.3</v>
      </c>
      <c r="F29" s="45">
        <v>10.3</v>
      </c>
      <c r="G29" s="45">
        <v>10.3</v>
      </c>
      <c r="H29" s="45">
        <v>10.3</v>
      </c>
      <c r="I29" s="45">
        <v>10.3</v>
      </c>
      <c r="J29" s="45">
        <v>10.3</v>
      </c>
      <c r="K29" s="45">
        <v>10.3</v>
      </c>
      <c r="L29" s="45">
        <v>10.3</v>
      </c>
      <c r="M29" s="45">
        <v>10.3</v>
      </c>
      <c r="N29" s="45">
        <v>10.3</v>
      </c>
      <c r="O29" s="45">
        <v>10.3</v>
      </c>
      <c r="P29" s="45">
        <v>10.3</v>
      </c>
      <c r="Q29" s="45">
        <v>10.3</v>
      </c>
      <c r="R29" s="45">
        <v>10.3</v>
      </c>
      <c r="S29" s="45">
        <v>10.3</v>
      </c>
      <c r="T29" s="45">
        <v>10.3</v>
      </c>
      <c r="U29" s="45">
        <v>10.3</v>
      </c>
      <c r="V29" s="45">
        <v>10.3</v>
      </c>
      <c r="W29" s="45">
        <v>10.3</v>
      </c>
      <c r="X29" s="45">
        <v>10.3</v>
      </c>
      <c r="Y29" s="45">
        <v>10.3</v>
      </c>
      <c r="Z29" s="45">
        <v>10.3</v>
      </c>
      <c r="AA29" s="45">
        <v>10.3</v>
      </c>
      <c r="AB29" s="45">
        <v>10.3</v>
      </c>
      <c r="AC29" s="45">
        <v>10.3</v>
      </c>
      <c r="AD29" s="45">
        <v>10.3</v>
      </c>
      <c r="AE29" s="45">
        <v>10.3</v>
      </c>
      <c r="AF29" s="45">
        <v>10.3</v>
      </c>
      <c r="AG29" s="49">
        <v>25</v>
      </c>
      <c r="AH29" s="47">
        <f t="shared" si="2"/>
        <v>10.3</v>
      </c>
      <c r="AI29" s="48">
        <f t="shared" si="3"/>
        <v>10.3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10.9</v>
      </c>
      <c r="C30" s="45">
        <v>10.9</v>
      </c>
      <c r="D30" s="45">
        <v>10.9</v>
      </c>
      <c r="E30" s="45">
        <v>10.9</v>
      </c>
      <c r="F30" s="45">
        <v>10.9</v>
      </c>
      <c r="G30" s="45">
        <v>10.9</v>
      </c>
      <c r="H30" s="45">
        <v>10.9</v>
      </c>
      <c r="I30" s="45">
        <v>10.9</v>
      </c>
      <c r="J30" s="45">
        <v>10.9</v>
      </c>
      <c r="K30" s="45">
        <v>10.9</v>
      </c>
      <c r="L30" s="45">
        <v>10.9</v>
      </c>
      <c r="M30" s="45">
        <v>10.4</v>
      </c>
      <c r="N30" s="45">
        <v>10.4</v>
      </c>
      <c r="O30" s="45">
        <v>10.4</v>
      </c>
      <c r="P30" s="45">
        <v>10.4</v>
      </c>
      <c r="Q30" s="45">
        <v>10.4</v>
      </c>
      <c r="R30" s="45">
        <v>10.4</v>
      </c>
      <c r="S30" s="45">
        <v>10.4</v>
      </c>
      <c r="T30" s="45">
        <v>10.4</v>
      </c>
      <c r="U30" s="45">
        <v>10.4</v>
      </c>
      <c r="V30" s="45">
        <v>10.4</v>
      </c>
      <c r="W30" s="45">
        <v>10.4</v>
      </c>
      <c r="X30" s="45">
        <v>10.4</v>
      </c>
      <c r="Y30" s="45">
        <v>10.4</v>
      </c>
      <c r="Z30" s="45">
        <v>10.4</v>
      </c>
      <c r="AA30" s="45">
        <v>10.4</v>
      </c>
      <c r="AB30" s="45">
        <v>10.4</v>
      </c>
      <c r="AC30" s="45">
        <v>10.4</v>
      </c>
      <c r="AD30" s="45">
        <v>10.4</v>
      </c>
      <c r="AE30" s="45">
        <v>10.4</v>
      </c>
      <c r="AF30" s="45">
        <v>10.4</v>
      </c>
      <c r="AG30" s="49">
        <v>23.5</v>
      </c>
      <c r="AH30" s="47">
        <f t="shared" si="2"/>
        <v>10.9</v>
      </c>
      <c r="AI30" s="48">
        <f t="shared" si="3"/>
        <v>10.4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49">
        <v>22.2</v>
      </c>
      <c r="AH31" s="47">
        <f t="shared" si="2"/>
        <v>6</v>
      </c>
      <c r="AI31" s="48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49">
        <v>22.1</v>
      </c>
      <c r="AH32" s="47">
        <f t="shared" si="2"/>
        <v>6</v>
      </c>
      <c r="AI32" s="48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6.26</v>
      </c>
      <c r="C33" s="45">
        <v>6.26</v>
      </c>
      <c r="D33" s="45">
        <v>6.26</v>
      </c>
      <c r="E33" s="45">
        <v>6.26</v>
      </c>
      <c r="F33" s="45">
        <v>6.26</v>
      </c>
      <c r="G33" s="45">
        <v>6.26</v>
      </c>
      <c r="H33" s="45">
        <v>6.26</v>
      </c>
      <c r="I33" s="45">
        <v>6.26</v>
      </c>
      <c r="J33" s="45">
        <v>6.26</v>
      </c>
      <c r="K33" s="45">
        <v>6.26</v>
      </c>
      <c r="L33" s="45">
        <v>6.26</v>
      </c>
      <c r="M33" s="45">
        <v>6.26</v>
      </c>
      <c r="N33" s="45">
        <v>6.26</v>
      </c>
      <c r="O33" s="45">
        <v>6.26</v>
      </c>
      <c r="P33" s="45">
        <v>6.26</v>
      </c>
      <c r="Q33" s="45">
        <v>6.26</v>
      </c>
      <c r="R33" s="45">
        <v>6.26</v>
      </c>
      <c r="S33" s="45">
        <v>6.26</v>
      </c>
      <c r="T33" s="45">
        <v>6.26</v>
      </c>
      <c r="U33" s="45">
        <v>6.26</v>
      </c>
      <c r="V33" s="45">
        <v>6.26</v>
      </c>
      <c r="W33" s="45">
        <v>6.26</v>
      </c>
      <c r="X33" s="45">
        <v>6.26</v>
      </c>
      <c r="Y33" s="45">
        <v>6.26</v>
      </c>
      <c r="Z33" s="45">
        <v>6.26</v>
      </c>
      <c r="AA33" s="45">
        <v>6.26</v>
      </c>
      <c r="AB33" s="45">
        <v>6.26</v>
      </c>
      <c r="AC33" s="45">
        <v>6.26</v>
      </c>
      <c r="AD33" s="45">
        <v>6.26</v>
      </c>
      <c r="AE33" s="45">
        <v>6.26</v>
      </c>
      <c r="AF33" s="45">
        <v>6.26</v>
      </c>
      <c r="AG33" s="49">
        <v>22</v>
      </c>
      <c r="AH33" s="47">
        <f t="shared" si="2"/>
        <v>6.26</v>
      </c>
      <c r="AI33" s="48">
        <f t="shared" si="3"/>
        <v>6.26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5</v>
      </c>
      <c r="C34" s="45">
        <v>10.4</v>
      </c>
      <c r="D34" s="45">
        <v>10.4</v>
      </c>
      <c r="E34" s="45">
        <v>10.4</v>
      </c>
      <c r="F34" s="45">
        <v>10.4</v>
      </c>
      <c r="G34" s="45">
        <v>10.4</v>
      </c>
      <c r="H34" s="45">
        <v>10.4</v>
      </c>
      <c r="I34" s="45">
        <v>10.4</v>
      </c>
      <c r="J34" s="45">
        <v>10.4</v>
      </c>
      <c r="K34" s="45">
        <v>10.4</v>
      </c>
      <c r="L34" s="45">
        <v>10.4</v>
      </c>
      <c r="M34" s="45">
        <v>8.1</v>
      </c>
      <c r="N34" s="45">
        <v>8.1</v>
      </c>
      <c r="O34" s="45">
        <v>8.1</v>
      </c>
      <c r="P34" s="45">
        <v>8.1</v>
      </c>
      <c r="Q34" s="45">
        <v>8.1</v>
      </c>
      <c r="R34" s="45">
        <v>8.1</v>
      </c>
      <c r="S34" s="45">
        <v>8.1</v>
      </c>
      <c r="T34" s="45">
        <v>8.1</v>
      </c>
      <c r="U34" s="45">
        <v>8.1</v>
      </c>
      <c r="V34" s="45">
        <v>8.1</v>
      </c>
      <c r="W34" s="45">
        <v>8.1</v>
      </c>
      <c r="X34" s="45">
        <v>8.1</v>
      </c>
      <c r="Y34" s="45">
        <v>8.1</v>
      </c>
      <c r="Z34" s="45">
        <v>8.1</v>
      </c>
      <c r="AA34" s="45">
        <v>8.1</v>
      </c>
      <c r="AB34" s="45">
        <v>8.1</v>
      </c>
      <c r="AC34" s="45">
        <v>8.1</v>
      </c>
      <c r="AD34" s="45">
        <v>8.1</v>
      </c>
      <c r="AE34" s="45">
        <v>8.1</v>
      </c>
      <c r="AF34" s="45">
        <v>8.1</v>
      </c>
      <c r="AG34" s="49">
        <v>22</v>
      </c>
      <c r="AH34" s="47">
        <f t="shared" si="2"/>
        <v>10.4</v>
      </c>
      <c r="AI34" s="48">
        <f t="shared" si="3"/>
        <v>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49">
        <v>20</v>
      </c>
      <c r="AH35" s="47">
        <f t="shared" si="2"/>
        <v>8.5</v>
      </c>
      <c r="AI35" s="48">
        <f t="shared" si="3"/>
        <v>8.5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49">
        <v>18</v>
      </c>
      <c r="AH37" s="47">
        <f t="shared" si="2"/>
        <v>6</v>
      </c>
      <c r="AI37" s="48">
        <f t="shared" si="3"/>
        <v>6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8</v>
      </c>
      <c r="T38" s="45">
        <v>8</v>
      </c>
      <c r="U38" s="45">
        <v>8</v>
      </c>
      <c r="V38" s="45">
        <v>8</v>
      </c>
      <c r="W38" s="45">
        <v>8</v>
      </c>
      <c r="X38" s="45">
        <v>8</v>
      </c>
      <c r="Y38" s="45">
        <v>8</v>
      </c>
      <c r="Z38" s="45">
        <v>8</v>
      </c>
      <c r="AA38" s="45">
        <v>8</v>
      </c>
      <c r="AB38" s="45">
        <v>8</v>
      </c>
      <c r="AC38" s="45">
        <v>8</v>
      </c>
      <c r="AD38" s="45">
        <v>8</v>
      </c>
      <c r="AE38" s="45">
        <v>8</v>
      </c>
      <c r="AF38" s="45">
        <v>8</v>
      </c>
      <c r="AG38" s="49">
        <v>14.9</v>
      </c>
      <c r="AH38" s="47">
        <f t="shared" si="2"/>
        <v>8</v>
      </c>
      <c r="AI38" s="48">
        <f t="shared" si="3"/>
        <v>8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4.5</v>
      </c>
      <c r="T41" s="45">
        <v>4.5</v>
      </c>
      <c r="U41" s="45">
        <v>4.5</v>
      </c>
      <c r="V41" s="45">
        <v>4.5</v>
      </c>
      <c r="W41" s="45">
        <v>4.5</v>
      </c>
      <c r="X41" s="45">
        <v>4.5</v>
      </c>
      <c r="Y41" s="45">
        <v>4.5</v>
      </c>
      <c r="Z41" s="45">
        <v>4.5</v>
      </c>
      <c r="AA41" s="45">
        <v>4.5</v>
      </c>
      <c r="AB41" s="45">
        <v>4.5</v>
      </c>
      <c r="AC41" s="45">
        <v>4.5</v>
      </c>
      <c r="AD41" s="45">
        <v>4.5</v>
      </c>
      <c r="AE41" s="45">
        <v>4.5</v>
      </c>
      <c r="AF41" s="45">
        <v>4.5</v>
      </c>
      <c r="AG41" s="49">
        <v>14.9</v>
      </c>
      <c r="AH41" s="47">
        <f t="shared" si="2"/>
        <v>4.5</v>
      </c>
      <c r="AI41" s="48">
        <f t="shared" si="3"/>
        <v>4.5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49">
        <v>12</v>
      </c>
      <c r="AH44" s="47">
        <f t="shared" si="2"/>
        <v>5</v>
      </c>
      <c r="AI44" s="48">
        <f t="shared" si="3"/>
        <v>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49">
        <v>12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5.5</v>
      </c>
      <c r="T48" s="45">
        <v>5.5</v>
      </c>
      <c r="U48" s="45">
        <v>5.5</v>
      </c>
      <c r="V48" s="45">
        <v>5.5</v>
      </c>
      <c r="W48" s="45">
        <v>5.5</v>
      </c>
      <c r="X48" s="45">
        <v>5.5</v>
      </c>
      <c r="Y48" s="45">
        <v>5.5</v>
      </c>
      <c r="Z48" s="45">
        <v>5.5</v>
      </c>
      <c r="AA48" s="45">
        <v>5.5</v>
      </c>
      <c r="AB48" s="45">
        <v>5.5</v>
      </c>
      <c r="AC48" s="45">
        <v>5.5</v>
      </c>
      <c r="AD48" s="45">
        <v>5.5</v>
      </c>
      <c r="AE48" s="45">
        <v>5.5</v>
      </c>
      <c r="AF48" s="45">
        <v>5.5</v>
      </c>
      <c r="AG48" s="52">
        <v>11.88</v>
      </c>
      <c r="AH48" s="47">
        <f t="shared" si="2"/>
        <v>5.5</v>
      </c>
      <c r="AI48" s="48">
        <f t="shared" si="3"/>
        <v>5.5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4</v>
      </c>
      <c r="T49" s="45">
        <v>4</v>
      </c>
      <c r="U49" s="45">
        <v>4</v>
      </c>
      <c r="V49" s="45">
        <v>4</v>
      </c>
      <c r="W49" s="45">
        <v>4</v>
      </c>
      <c r="X49" s="45">
        <v>4</v>
      </c>
      <c r="Y49" s="45">
        <v>4</v>
      </c>
      <c r="Z49" s="45">
        <v>4</v>
      </c>
      <c r="AA49" s="45">
        <v>4</v>
      </c>
      <c r="AB49" s="45">
        <v>4</v>
      </c>
      <c r="AC49" s="45">
        <v>4</v>
      </c>
      <c r="AD49" s="45">
        <v>4</v>
      </c>
      <c r="AE49" s="45">
        <v>4</v>
      </c>
      <c r="AF49" s="45">
        <v>4</v>
      </c>
      <c r="AG49" s="55">
        <v>11</v>
      </c>
      <c r="AH49" s="47">
        <f t="shared" si="2"/>
        <v>4</v>
      </c>
      <c r="AI49" s="48">
        <f t="shared" si="3"/>
        <v>4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3.44</v>
      </c>
      <c r="T50" s="45">
        <v>3.44</v>
      </c>
      <c r="U50" s="45">
        <v>3.44</v>
      </c>
      <c r="V50" s="45">
        <v>3.44</v>
      </c>
      <c r="W50" s="45">
        <v>3.44</v>
      </c>
      <c r="X50" s="45">
        <v>3.44</v>
      </c>
      <c r="Y50" s="45">
        <v>3.44</v>
      </c>
      <c r="Z50" s="45">
        <v>3.44</v>
      </c>
      <c r="AA50" s="45">
        <v>3.44</v>
      </c>
      <c r="AB50" s="45">
        <v>3.44</v>
      </c>
      <c r="AC50" s="45">
        <v>3.44</v>
      </c>
      <c r="AD50" s="45">
        <v>3.44</v>
      </c>
      <c r="AE50" s="45">
        <v>3.44</v>
      </c>
      <c r="AF50" s="45">
        <v>3.44</v>
      </c>
      <c r="AG50" s="55">
        <v>11</v>
      </c>
      <c r="AH50" s="47">
        <f t="shared" si="2"/>
        <v>3.44</v>
      </c>
      <c r="AI50" s="48">
        <f t="shared" si="3"/>
        <v>3.44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v>26.5</v>
      </c>
      <c r="C57" s="57">
        <v>26.5</v>
      </c>
      <c r="D57" s="57">
        <v>26.5</v>
      </c>
      <c r="E57" s="57">
        <v>31</v>
      </c>
      <c r="F57" s="57">
        <v>31.4</v>
      </c>
      <c r="G57" s="57">
        <v>31.3</v>
      </c>
      <c r="H57" s="57">
        <v>31.5</v>
      </c>
      <c r="I57" s="57">
        <v>30.2</v>
      </c>
      <c r="J57" s="57">
        <v>30.2</v>
      </c>
      <c r="K57" s="57">
        <v>28.9</v>
      </c>
      <c r="L57" s="57">
        <v>28.9</v>
      </c>
      <c r="M57" s="57">
        <f>7+22.2</f>
        <v>29.2</v>
      </c>
      <c r="N57" s="57">
        <f>7+22.2</f>
        <v>29.2</v>
      </c>
      <c r="O57" s="51">
        <v>28.1</v>
      </c>
      <c r="P57" s="51">
        <v>28.1</v>
      </c>
      <c r="Q57" s="51">
        <v>32.4</v>
      </c>
      <c r="R57" s="51">
        <v>32.4</v>
      </c>
      <c r="S57" s="51">
        <f>7.8+23</f>
        <v>30.8</v>
      </c>
      <c r="T57" s="51">
        <f>7.8+23</f>
        <v>30.8</v>
      </c>
      <c r="U57" s="51">
        <f>7.8+23</f>
        <v>30.8</v>
      </c>
      <c r="V57" s="51">
        <f>8.5+22.9</f>
        <v>31.4</v>
      </c>
      <c r="W57" s="51">
        <f>4.5+18.1</f>
        <v>22.6</v>
      </c>
      <c r="X57" s="57">
        <v>36.799999999999997</v>
      </c>
      <c r="Y57" s="57">
        <v>36.799999999999997</v>
      </c>
      <c r="Z57" s="57">
        <v>36.799999999999997</v>
      </c>
      <c r="AA57" s="57">
        <v>36.799999999999997</v>
      </c>
      <c r="AB57" s="57">
        <v>36.799999999999997</v>
      </c>
      <c r="AC57" s="57">
        <v>36.799999999999997</v>
      </c>
      <c r="AD57" s="57">
        <v>36.799999999999997</v>
      </c>
      <c r="AE57" s="57">
        <v>36.799999999999997</v>
      </c>
      <c r="AF57" s="57">
        <v>36.799999999999997</v>
      </c>
      <c r="AG57" s="55">
        <v>240</v>
      </c>
      <c r="AH57" s="47">
        <f t="shared" si="2"/>
        <v>36.799999999999997</v>
      </c>
      <c r="AI57" s="48">
        <f t="shared" si="3"/>
        <v>22.6</v>
      </c>
      <c r="AK57" s="50"/>
    </row>
    <row r="58" spans="1:88" ht="15.75" thickBot="1" x14ac:dyDescent="0.3">
      <c r="A58" s="59" t="s">
        <v>58</v>
      </c>
      <c r="B58" s="60">
        <v>4</v>
      </c>
      <c r="C58" s="60">
        <f t="shared" ref="C58:AF58" si="4">SUM(C11:C56)</f>
        <v>604.4</v>
      </c>
      <c r="D58" s="60">
        <f t="shared" si="4"/>
        <v>604.4</v>
      </c>
      <c r="E58" s="60">
        <f t="shared" si="4"/>
        <v>608</v>
      </c>
      <c r="F58" s="60">
        <f t="shared" si="4"/>
        <v>608</v>
      </c>
      <c r="G58" s="60">
        <f t="shared" si="4"/>
        <v>608</v>
      </c>
      <c r="H58" s="60">
        <f t="shared" si="4"/>
        <v>608</v>
      </c>
      <c r="I58" s="60">
        <f t="shared" si="4"/>
        <v>608</v>
      </c>
      <c r="J58" s="60">
        <f t="shared" si="4"/>
        <v>608</v>
      </c>
      <c r="K58" s="60">
        <f t="shared" si="4"/>
        <v>608</v>
      </c>
      <c r="L58" s="60">
        <f t="shared" si="4"/>
        <v>608</v>
      </c>
      <c r="M58" s="60">
        <f t="shared" ref="M58" si="5">SUM(M11:M56)</f>
        <v>602</v>
      </c>
      <c r="N58" s="60">
        <f t="shared" si="4"/>
        <v>602</v>
      </c>
      <c r="O58" s="60">
        <f t="shared" si="4"/>
        <v>602</v>
      </c>
      <c r="P58" s="60">
        <f t="shared" si="4"/>
        <v>602</v>
      </c>
      <c r="Q58" s="60">
        <f t="shared" si="4"/>
        <v>602</v>
      </c>
      <c r="R58" s="60">
        <f t="shared" si="4"/>
        <v>602</v>
      </c>
      <c r="S58" s="60">
        <f t="shared" si="4"/>
        <v>600.40000000000009</v>
      </c>
      <c r="T58" s="60">
        <f t="shared" si="4"/>
        <v>600.40000000000009</v>
      </c>
      <c r="U58" s="60">
        <f t="shared" ref="U58" si="6">SUM(U11:U56)</f>
        <v>600.40000000000009</v>
      </c>
      <c r="V58" s="60">
        <f t="shared" si="4"/>
        <v>600.40000000000009</v>
      </c>
      <c r="W58" s="60">
        <f t="shared" si="4"/>
        <v>600.40000000000009</v>
      </c>
      <c r="X58" s="60">
        <v>601.90000000000009</v>
      </c>
      <c r="Y58" s="60">
        <v>601.90000000000009</v>
      </c>
      <c r="Z58" s="60">
        <v>601.90000000000009</v>
      </c>
      <c r="AA58" s="60">
        <v>601.90000000000009</v>
      </c>
      <c r="AB58" s="60">
        <f t="shared" si="4"/>
        <v>601.90000000000009</v>
      </c>
      <c r="AC58" s="60">
        <f t="shared" si="4"/>
        <v>601.90000000000009</v>
      </c>
      <c r="AD58" s="60">
        <f t="shared" si="4"/>
        <v>601.90000000000009</v>
      </c>
      <c r="AE58" s="60">
        <f t="shared" si="4"/>
        <v>601.90000000000009</v>
      </c>
      <c r="AF58" s="60">
        <f t="shared" si="4"/>
        <v>601.90000000000009</v>
      </c>
      <c r="AG58" s="61">
        <f>SUM(AG14:AG56)</f>
        <v>1042.4000000000001</v>
      </c>
      <c r="AH58" s="47">
        <f t="shared" si="2"/>
        <v>608</v>
      </c>
      <c r="AI58" s="48">
        <f t="shared" si="3"/>
        <v>4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10</v>
      </c>
      <c r="L59" s="45">
        <v>310</v>
      </c>
      <c r="M59" s="45">
        <v>435</v>
      </c>
      <c r="N59" s="45">
        <v>416</v>
      </c>
      <c r="O59" s="45">
        <v>390</v>
      </c>
      <c r="P59" s="63">
        <v>80</v>
      </c>
      <c r="Q59" s="63">
        <v>0</v>
      </c>
      <c r="R59" s="63">
        <v>0</v>
      </c>
      <c r="S59" s="45">
        <v>0</v>
      </c>
      <c r="T59" s="45">
        <v>0</v>
      </c>
      <c r="U59" s="45">
        <v>0</v>
      </c>
      <c r="V59" s="45">
        <v>85</v>
      </c>
      <c r="W59" s="45">
        <v>260</v>
      </c>
      <c r="X59" s="45">
        <v>280</v>
      </c>
      <c r="Y59" s="45">
        <v>250</v>
      </c>
      <c r="Z59" s="45">
        <v>180</v>
      </c>
      <c r="AA59" s="45">
        <v>200</v>
      </c>
      <c r="AB59" s="45">
        <v>200</v>
      </c>
      <c r="AC59" s="45">
        <v>240</v>
      </c>
      <c r="AD59" s="45">
        <v>120</v>
      </c>
      <c r="AE59" s="45">
        <v>60</v>
      </c>
      <c r="AF59" s="45">
        <v>0</v>
      </c>
      <c r="AG59" s="52">
        <v>456</v>
      </c>
      <c r="AH59" s="47">
        <f t="shared" si="2"/>
        <v>435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37</v>
      </c>
      <c r="C60" s="65">
        <v>37</v>
      </c>
      <c r="D60" s="65">
        <v>37</v>
      </c>
      <c r="E60" s="65">
        <v>37</v>
      </c>
      <c r="F60" s="65">
        <v>37</v>
      </c>
      <c r="G60" s="65">
        <v>37</v>
      </c>
      <c r="H60" s="65">
        <v>37</v>
      </c>
      <c r="I60" s="65">
        <v>37</v>
      </c>
      <c r="J60" s="65">
        <v>37</v>
      </c>
      <c r="K60" s="65">
        <v>37</v>
      </c>
      <c r="L60" s="65">
        <v>37</v>
      </c>
      <c r="M60" s="65">
        <v>37</v>
      </c>
      <c r="N60" s="65">
        <v>37</v>
      </c>
      <c r="O60" s="65">
        <v>37</v>
      </c>
      <c r="P60" s="65">
        <v>37</v>
      </c>
      <c r="Q60" s="65">
        <v>37</v>
      </c>
      <c r="R60" s="65">
        <v>37</v>
      </c>
      <c r="S60" s="65">
        <v>37</v>
      </c>
      <c r="T60" s="65">
        <v>37</v>
      </c>
      <c r="U60" s="65">
        <v>37</v>
      </c>
      <c r="V60" s="65">
        <v>37</v>
      </c>
      <c r="W60" s="65">
        <v>37</v>
      </c>
      <c r="X60" s="65">
        <v>34.6</v>
      </c>
      <c r="Y60" s="65">
        <v>34.6</v>
      </c>
      <c r="Z60" s="65">
        <v>34.6</v>
      </c>
      <c r="AA60" s="65">
        <v>34.6</v>
      </c>
      <c r="AB60" s="65">
        <v>34.6</v>
      </c>
      <c r="AC60" s="65">
        <v>34.6</v>
      </c>
      <c r="AD60" s="65">
        <v>34.6</v>
      </c>
      <c r="AE60" s="65">
        <v>34.6</v>
      </c>
      <c r="AF60" s="65">
        <v>34.6</v>
      </c>
      <c r="AG60" s="55">
        <v>60</v>
      </c>
      <c r="AH60" s="47">
        <f t="shared" si="2"/>
        <v>37</v>
      </c>
      <c r="AI60" s="48">
        <f t="shared" si="3"/>
        <v>34.6</v>
      </c>
      <c r="AK60" s="50"/>
    </row>
    <row r="61" spans="1:88" ht="15.75" thickBot="1" x14ac:dyDescent="0.3">
      <c r="A61" s="66" t="s">
        <v>61</v>
      </c>
      <c r="B61" s="67">
        <v>12.7</v>
      </c>
      <c r="C61" s="67">
        <v>12.7</v>
      </c>
      <c r="D61" s="67">
        <v>12.7</v>
      </c>
      <c r="E61" s="67">
        <v>12.7</v>
      </c>
      <c r="F61" s="67">
        <v>12.7</v>
      </c>
      <c r="G61" s="67">
        <v>12.7</v>
      </c>
      <c r="H61" s="67">
        <v>12.7</v>
      </c>
      <c r="I61" s="67">
        <v>12.7</v>
      </c>
      <c r="J61" s="67">
        <v>14</v>
      </c>
      <c r="K61" s="67">
        <v>14</v>
      </c>
      <c r="L61" s="67">
        <v>14</v>
      </c>
      <c r="M61" s="67">
        <v>14.2</v>
      </c>
      <c r="N61" s="67">
        <v>14.2</v>
      </c>
      <c r="O61" s="67">
        <v>14.2</v>
      </c>
      <c r="P61" s="67">
        <v>14.2</v>
      </c>
      <c r="Q61" s="67">
        <v>14.2</v>
      </c>
      <c r="R61" s="67">
        <v>14.2</v>
      </c>
      <c r="S61" s="67">
        <v>11.7</v>
      </c>
      <c r="T61" s="67">
        <v>10.6</v>
      </c>
      <c r="U61" s="67">
        <v>10.6</v>
      </c>
      <c r="V61" s="67">
        <v>10.199999999999999</v>
      </c>
      <c r="W61" s="67">
        <v>10.199999999999999</v>
      </c>
      <c r="X61" s="67">
        <v>10</v>
      </c>
      <c r="Y61" s="67">
        <v>20</v>
      </c>
      <c r="Z61" s="67">
        <v>20</v>
      </c>
      <c r="AA61" s="67">
        <v>20</v>
      </c>
      <c r="AB61" s="67">
        <v>14</v>
      </c>
      <c r="AC61" s="67">
        <v>13.2</v>
      </c>
      <c r="AD61" s="67">
        <v>13.2</v>
      </c>
      <c r="AE61" s="67">
        <v>13.2</v>
      </c>
      <c r="AF61" s="67">
        <v>13.1</v>
      </c>
      <c r="AG61" s="68">
        <v>22.1</v>
      </c>
      <c r="AH61" s="47">
        <f t="shared" si="2"/>
        <v>20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v>4.5</v>
      </c>
      <c r="C62" s="60">
        <f t="shared" ref="C62:AG62" si="7">SUM(C59:C61)</f>
        <v>49.7</v>
      </c>
      <c r="D62" s="60">
        <f t="shared" si="7"/>
        <v>49.7</v>
      </c>
      <c r="E62" s="60">
        <f t="shared" si="7"/>
        <v>49.7</v>
      </c>
      <c r="F62" s="60">
        <f t="shared" si="7"/>
        <v>49.7</v>
      </c>
      <c r="G62" s="60">
        <f t="shared" si="7"/>
        <v>49.7</v>
      </c>
      <c r="H62" s="60">
        <f t="shared" si="7"/>
        <v>49.7</v>
      </c>
      <c r="I62" s="60">
        <f t="shared" si="7"/>
        <v>49.7</v>
      </c>
      <c r="J62" s="60">
        <f t="shared" si="7"/>
        <v>51</v>
      </c>
      <c r="K62" s="60">
        <f t="shared" si="7"/>
        <v>61</v>
      </c>
      <c r="L62" s="60">
        <f t="shared" si="7"/>
        <v>361</v>
      </c>
      <c r="M62" s="60">
        <f t="shared" ref="M62" si="8">SUM(M59:M61)</f>
        <v>486.2</v>
      </c>
      <c r="N62" s="60">
        <f t="shared" si="7"/>
        <v>467.2</v>
      </c>
      <c r="O62" s="60">
        <f t="shared" si="7"/>
        <v>441.2</v>
      </c>
      <c r="P62" s="60">
        <f t="shared" si="7"/>
        <v>131.19999999999999</v>
      </c>
      <c r="Q62" s="60">
        <f t="shared" si="7"/>
        <v>51.2</v>
      </c>
      <c r="R62" s="60">
        <f t="shared" si="7"/>
        <v>51.2</v>
      </c>
      <c r="S62" s="60">
        <f t="shared" si="7"/>
        <v>48.7</v>
      </c>
      <c r="T62" s="60">
        <f t="shared" si="7"/>
        <v>47.6</v>
      </c>
      <c r="U62" s="60">
        <f t="shared" ref="U62" si="9">SUM(U59:U61)</f>
        <v>47.6</v>
      </c>
      <c r="V62" s="60">
        <f t="shared" si="7"/>
        <v>132.19999999999999</v>
      </c>
      <c r="W62" s="60">
        <f t="shared" si="7"/>
        <v>307.2</v>
      </c>
      <c r="X62" s="60">
        <v>325.3</v>
      </c>
      <c r="Y62" s="60">
        <v>325.3</v>
      </c>
      <c r="Z62" s="60">
        <v>325.3</v>
      </c>
      <c r="AA62" s="60">
        <v>325.3</v>
      </c>
      <c r="AB62" s="60">
        <f t="shared" si="7"/>
        <v>248.6</v>
      </c>
      <c r="AC62" s="60">
        <f t="shared" si="7"/>
        <v>287.8</v>
      </c>
      <c r="AD62" s="60">
        <f t="shared" si="7"/>
        <v>167.79999999999998</v>
      </c>
      <c r="AE62" s="60">
        <f t="shared" si="7"/>
        <v>107.8</v>
      </c>
      <c r="AF62" s="60">
        <f t="shared" si="7"/>
        <v>47.7</v>
      </c>
      <c r="AG62" s="61">
        <f t="shared" si="7"/>
        <v>538.1</v>
      </c>
      <c r="AH62" s="47">
        <f t="shared" si="2"/>
        <v>486.2</v>
      </c>
      <c r="AI62" s="48">
        <f t="shared" si="3"/>
        <v>4.5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25.5</v>
      </c>
      <c r="J63" s="45">
        <v>75.3</v>
      </c>
      <c r="K63" s="45">
        <v>131.5</v>
      </c>
      <c r="L63" s="45">
        <v>145.6</v>
      </c>
      <c r="M63" s="45">
        <v>145.30000000000001</v>
      </c>
      <c r="N63" s="45">
        <v>145.30000000000001</v>
      </c>
      <c r="O63" s="45">
        <v>145.30000000000001</v>
      </c>
      <c r="P63" s="45">
        <v>145.30000000000001</v>
      </c>
      <c r="Q63" s="45">
        <v>124.3</v>
      </c>
      <c r="R63" s="45">
        <v>85.9</v>
      </c>
      <c r="S63" s="45">
        <v>81.2</v>
      </c>
      <c r="T63" s="45">
        <v>56.9</v>
      </c>
      <c r="U63" s="45">
        <v>57</v>
      </c>
      <c r="V63" s="45">
        <v>56.8</v>
      </c>
      <c r="W63" s="45">
        <v>91.7</v>
      </c>
      <c r="X63" s="45">
        <v>139</v>
      </c>
      <c r="Y63" s="45">
        <v>139</v>
      </c>
      <c r="Z63" s="45">
        <v>115</v>
      </c>
      <c r="AA63" s="45">
        <v>91.6</v>
      </c>
      <c r="AB63" s="45">
        <v>91.6</v>
      </c>
      <c r="AC63" s="45">
        <v>91.1</v>
      </c>
      <c r="AD63" s="45">
        <v>61.5</v>
      </c>
      <c r="AE63" s="45">
        <v>30</v>
      </c>
      <c r="AF63" s="45">
        <v>0</v>
      </c>
      <c r="AG63" s="52">
        <v>144</v>
      </c>
      <c r="AH63" s="47">
        <f t="shared" si="2"/>
        <v>145.6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22.7</v>
      </c>
      <c r="J64" s="65">
        <v>33.799999999999997</v>
      </c>
      <c r="K64" s="65">
        <v>51.9</v>
      </c>
      <c r="L64" s="65">
        <v>69.400000000000006</v>
      </c>
      <c r="M64" s="65">
        <v>69.5</v>
      </c>
      <c r="N64" s="65">
        <v>69.5</v>
      </c>
      <c r="O64" s="65">
        <v>69.5</v>
      </c>
      <c r="P64" s="65">
        <v>69.5</v>
      </c>
      <c r="Q64" s="65">
        <v>59.4</v>
      </c>
      <c r="R64" s="65">
        <v>65</v>
      </c>
      <c r="S64" s="45">
        <v>31.7</v>
      </c>
      <c r="T64" s="45">
        <v>29.8</v>
      </c>
      <c r="U64" s="45">
        <v>35</v>
      </c>
      <c r="V64" s="45">
        <v>51.6</v>
      </c>
      <c r="W64" s="45">
        <v>46.1</v>
      </c>
      <c r="X64" s="45">
        <v>67.900000000000006</v>
      </c>
      <c r="Y64" s="45">
        <v>67.900000000000006</v>
      </c>
      <c r="Z64" s="45">
        <v>67.900000000000006</v>
      </c>
      <c r="AA64" s="45">
        <v>50</v>
      </c>
      <c r="AB64" s="45">
        <v>35</v>
      </c>
      <c r="AC64" s="45">
        <v>33.5</v>
      </c>
      <c r="AD64" s="65">
        <v>25.7</v>
      </c>
      <c r="AE64" s="45">
        <v>0</v>
      </c>
      <c r="AF64" s="45">
        <v>0</v>
      </c>
      <c r="AG64" s="55">
        <v>70</v>
      </c>
      <c r="AH64" s="47">
        <f t="shared" si="2"/>
        <v>69.5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44</v>
      </c>
      <c r="G65" s="65">
        <v>36.200000000000003</v>
      </c>
      <c r="H65" s="65">
        <v>32</v>
      </c>
      <c r="I65" s="65">
        <v>41.2</v>
      </c>
      <c r="J65" s="65">
        <v>41.8</v>
      </c>
      <c r="K65" s="65">
        <v>64.8</v>
      </c>
      <c r="L65" s="65">
        <v>63.3</v>
      </c>
      <c r="M65" s="65">
        <v>63.9</v>
      </c>
      <c r="N65" s="65">
        <v>63.9</v>
      </c>
      <c r="O65" s="65">
        <v>63.9</v>
      </c>
      <c r="P65" s="65">
        <v>63.9</v>
      </c>
      <c r="Q65" s="65">
        <v>49.1</v>
      </c>
      <c r="R65" s="65">
        <v>33</v>
      </c>
      <c r="S65" s="45">
        <v>34.200000000000003</v>
      </c>
      <c r="T65" s="45">
        <v>43.8</v>
      </c>
      <c r="U65" s="45">
        <v>51</v>
      </c>
      <c r="V65" s="45">
        <v>68.3</v>
      </c>
      <c r="W65" s="45">
        <v>56.5</v>
      </c>
      <c r="X65" s="45">
        <v>68</v>
      </c>
      <c r="Y65" s="45">
        <v>68</v>
      </c>
      <c r="Z65" s="45">
        <v>68</v>
      </c>
      <c r="AA65" s="45">
        <v>68</v>
      </c>
      <c r="AB65" s="45">
        <v>68</v>
      </c>
      <c r="AC65" s="45">
        <v>66.900000000000006</v>
      </c>
      <c r="AD65" s="65">
        <v>66.400000000000006</v>
      </c>
      <c r="AE65" s="45">
        <v>20.2</v>
      </c>
      <c r="AF65" s="45">
        <v>17</v>
      </c>
      <c r="AG65" s="55">
        <v>69</v>
      </c>
      <c r="AH65" s="47">
        <f t="shared" si="2"/>
        <v>68.3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48.3</v>
      </c>
      <c r="C66" s="65">
        <v>48.3</v>
      </c>
      <c r="D66" s="65">
        <v>48.3</v>
      </c>
      <c r="E66" s="65">
        <v>48.3</v>
      </c>
      <c r="F66" s="65">
        <v>48.3</v>
      </c>
      <c r="G66" s="65">
        <v>48.3</v>
      </c>
      <c r="H66" s="65">
        <v>51.9</v>
      </c>
      <c r="I66" s="65">
        <v>50.41</v>
      </c>
      <c r="J66" s="65">
        <v>50.4</v>
      </c>
      <c r="K66" s="57">
        <v>50.4</v>
      </c>
      <c r="L66" s="57">
        <v>49.9</v>
      </c>
      <c r="M66" s="57">
        <v>48.3</v>
      </c>
      <c r="N66" s="57">
        <v>50.2</v>
      </c>
      <c r="O66" s="57">
        <v>50.2</v>
      </c>
      <c r="P66" s="57">
        <v>50.2</v>
      </c>
      <c r="Q66" s="57">
        <v>50.2</v>
      </c>
      <c r="R66" s="57">
        <v>47.8</v>
      </c>
      <c r="S66" s="57">
        <v>47.8</v>
      </c>
      <c r="T66" s="45">
        <v>46.1</v>
      </c>
      <c r="U66" s="45">
        <v>46.1</v>
      </c>
      <c r="V66" s="45">
        <v>46.4</v>
      </c>
      <c r="W66" s="45">
        <v>46.4</v>
      </c>
      <c r="X66" s="45">
        <v>46.1</v>
      </c>
      <c r="Y66" s="45">
        <v>46.1</v>
      </c>
      <c r="Z66" s="45">
        <v>46.1</v>
      </c>
      <c r="AA66" s="45">
        <v>46.1</v>
      </c>
      <c r="AB66" s="45">
        <v>48</v>
      </c>
      <c r="AC66" s="45">
        <v>48.3</v>
      </c>
      <c r="AD66" s="65">
        <v>54.2</v>
      </c>
      <c r="AE66" s="45">
        <v>54.2</v>
      </c>
      <c r="AF66" s="45">
        <v>54.2</v>
      </c>
      <c r="AG66" s="55">
        <v>60</v>
      </c>
      <c r="AH66" s="47">
        <f t="shared" si="2"/>
        <v>54.2</v>
      </c>
      <c r="AI66" s="48">
        <f t="shared" si="3"/>
        <v>46.1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10</v>
      </c>
      <c r="J67" s="65">
        <v>15</v>
      </c>
      <c r="K67" s="57">
        <v>15</v>
      </c>
      <c r="L67" s="57">
        <v>15</v>
      </c>
      <c r="M67" s="57">
        <v>29</v>
      </c>
      <c r="N67" s="57">
        <v>28.6</v>
      </c>
      <c r="O67" s="57">
        <v>28.6</v>
      </c>
      <c r="P67" s="57">
        <v>28.6</v>
      </c>
      <c r="Q67" s="57">
        <v>10</v>
      </c>
      <c r="R67" s="57">
        <v>0</v>
      </c>
      <c r="S67" s="57">
        <v>0</v>
      </c>
      <c r="T67" s="57">
        <v>0</v>
      </c>
      <c r="U67" s="57">
        <v>10</v>
      </c>
      <c r="V67" s="45">
        <v>10</v>
      </c>
      <c r="W67" s="45">
        <v>23</v>
      </c>
      <c r="X67" s="45">
        <v>28</v>
      </c>
      <c r="Y67" s="45">
        <v>28</v>
      </c>
      <c r="Z67" s="45">
        <v>25</v>
      </c>
      <c r="AA67" s="45">
        <v>25</v>
      </c>
      <c r="AB67" s="45">
        <v>14</v>
      </c>
      <c r="AC67" s="45">
        <v>14</v>
      </c>
      <c r="AD67" s="65">
        <v>10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1.3</v>
      </c>
      <c r="N68" s="45">
        <v>3</v>
      </c>
      <c r="O68" s="45">
        <v>9.4</v>
      </c>
      <c r="P68" s="45">
        <v>11</v>
      </c>
      <c r="Q68" s="45">
        <v>15.6</v>
      </c>
      <c r="R68" s="45">
        <v>14.7</v>
      </c>
      <c r="S68" s="45">
        <v>14.7</v>
      </c>
      <c r="T68" s="45">
        <v>14.7</v>
      </c>
      <c r="U68" s="45">
        <v>14.7</v>
      </c>
      <c r="V68" s="45">
        <v>14.7</v>
      </c>
      <c r="W68" s="45">
        <v>14.7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65">
        <v>0</v>
      </c>
      <c r="AE68" s="45">
        <v>0</v>
      </c>
      <c r="AF68" s="45">
        <v>0</v>
      </c>
      <c r="AG68" s="55">
        <v>25</v>
      </c>
      <c r="AH68" s="47">
        <f t="shared" si="2"/>
        <v>15.6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16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9.9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4.9000000000000004</v>
      </c>
      <c r="C72" s="65">
        <v>4.9000000000000004</v>
      </c>
      <c r="D72" s="65">
        <v>4.9000000000000004</v>
      </c>
      <c r="E72" s="65">
        <v>4.9000000000000004</v>
      </c>
      <c r="F72" s="65">
        <v>4.9000000000000004</v>
      </c>
      <c r="G72" s="65">
        <v>4.9000000000000004</v>
      </c>
      <c r="H72" s="65">
        <v>4.9000000000000004</v>
      </c>
      <c r="I72" s="65">
        <v>4.9000000000000004</v>
      </c>
      <c r="J72" s="65">
        <v>4.9000000000000004</v>
      </c>
      <c r="K72" s="65">
        <v>4.9000000000000004</v>
      </c>
      <c r="L72" s="65">
        <v>4.9000000000000004</v>
      </c>
      <c r="M72" s="65">
        <v>5</v>
      </c>
      <c r="N72" s="65">
        <v>3.8</v>
      </c>
      <c r="O72" s="65">
        <v>3.8</v>
      </c>
      <c r="P72" s="65">
        <v>3.8</v>
      </c>
      <c r="Q72" s="65">
        <v>3.8</v>
      </c>
      <c r="R72" s="65">
        <v>5.5</v>
      </c>
      <c r="S72" s="65">
        <v>5.5</v>
      </c>
      <c r="T72" s="65">
        <v>5.5</v>
      </c>
      <c r="U72" s="65">
        <v>5.5</v>
      </c>
      <c r="V72" s="65">
        <v>5.5</v>
      </c>
      <c r="W72" s="65">
        <v>5.5</v>
      </c>
      <c r="X72" s="65">
        <v>4.9000000000000004</v>
      </c>
      <c r="Y72" s="65">
        <v>4.9000000000000004</v>
      </c>
      <c r="Z72" s="65">
        <v>4.9000000000000004</v>
      </c>
      <c r="AA72" s="65">
        <v>4.9000000000000004</v>
      </c>
      <c r="AB72" s="65">
        <v>4.9000000000000004</v>
      </c>
      <c r="AC72" s="65">
        <v>4.9000000000000004</v>
      </c>
      <c r="AD72" s="65">
        <v>4.8</v>
      </c>
      <c r="AE72" s="65">
        <v>4.8</v>
      </c>
      <c r="AF72" s="65">
        <v>4.8</v>
      </c>
      <c r="AG72" s="55">
        <v>14</v>
      </c>
      <c r="AH72" s="47">
        <f t="shared" si="2"/>
        <v>5.5</v>
      </c>
      <c r="AI72" s="48">
        <f t="shared" si="3"/>
        <v>3.8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</v>
      </c>
      <c r="Y75" s="72">
        <v>3.5</v>
      </c>
      <c r="Z75" s="72">
        <v>3.5</v>
      </c>
      <c r="AA75" s="72">
        <v>3.5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AG76" si="10">SUM(B63:B75)</f>
        <v>95.140000000000015</v>
      </c>
      <c r="C76" s="60">
        <f t="shared" si="10"/>
        <v>95.140000000000015</v>
      </c>
      <c r="D76" s="60">
        <f t="shared" si="10"/>
        <v>95.140000000000015</v>
      </c>
      <c r="E76" s="60">
        <f t="shared" si="10"/>
        <v>95.140000000000015</v>
      </c>
      <c r="F76" s="60">
        <f t="shared" si="10"/>
        <v>139.14000000000001</v>
      </c>
      <c r="G76" s="60">
        <f t="shared" si="10"/>
        <v>141.34</v>
      </c>
      <c r="H76" s="60">
        <f t="shared" si="10"/>
        <v>140.74</v>
      </c>
      <c r="I76" s="60">
        <f t="shared" si="10"/>
        <v>196.65</v>
      </c>
      <c r="J76" s="60">
        <f t="shared" si="10"/>
        <v>263.14000000000004</v>
      </c>
      <c r="K76" s="60">
        <f t="shared" si="10"/>
        <v>360.43999999999994</v>
      </c>
      <c r="L76" s="60">
        <f t="shared" si="10"/>
        <v>390.03999999999996</v>
      </c>
      <c r="M76" s="60">
        <f t="shared" ref="M76" si="11">SUM(M63:M75)</f>
        <v>404.14000000000004</v>
      </c>
      <c r="N76" s="60">
        <f t="shared" si="10"/>
        <v>406.14000000000004</v>
      </c>
      <c r="O76" s="60">
        <f t="shared" si="10"/>
        <v>412.54</v>
      </c>
      <c r="P76" s="60">
        <f t="shared" si="10"/>
        <v>414.14000000000004</v>
      </c>
      <c r="Q76" s="60">
        <f t="shared" si="10"/>
        <v>354.24000000000007</v>
      </c>
      <c r="R76" s="60">
        <f t="shared" si="10"/>
        <v>293.74</v>
      </c>
      <c r="S76" s="60">
        <f t="shared" si="10"/>
        <v>256.94000000000005</v>
      </c>
      <c r="T76" s="60">
        <f t="shared" si="10"/>
        <v>238.64</v>
      </c>
      <c r="U76" s="60">
        <f t="shared" ref="U76" si="12">SUM(U63:U75)</f>
        <v>261.14000000000004</v>
      </c>
      <c r="V76" s="60">
        <f t="shared" si="10"/>
        <v>295.14</v>
      </c>
      <c r="W76" s="60">
        <f t="shared" si="10"/>
        <v>325.74000000000007</v>
      </c>
      <c r="X76" s="60">
        <v>395.79999999999995</v>
      </c>
      <c r="Y76" s="60">
        <v>395.79999999999995</v>
      </c>
      <c r="Z76" s="60">
        <v>395.79999999999995</v>
      </c>
      <c r="AA76" s="60">
        <v>395.79999999999995</v>
      </c>
      <c r="AB76" s="60">
        <f t="shared" si="10"/>
        <v>302.44</v>
      </c>
      <c r="AC76" s="60">
        <f t="shared" si="10"/>
        <v>299.64</v>
      </c>
      <c r="AD76" s="60">
        <f t="shared" si="10"/>
        <v>263.54000000000002</v>
      </c>
      <c r="AE76" s="60">
        <f t="shared" si="10"/>
        <v>150.14000000000001</v>
      </c>
      <c r="AF76" s="60">
        <f t="shared" si="10"/>
        <v>116.94000000000001</v>
      </c>
      <c r="AG76" s="61">
        <f t="shared" si="10"/>
        <v>489.91</v>
      </c>
      <c r="AH76" s="47">
        <f t="shared" si="2"/>
        <v>414.14000000000004</v>
      </c>
      <c r="AI76" s="48">
        <f t="shared" si="3"/>
        <v>95.140000000000015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>
        <v>14</v>
      </c>
      <c r="M77" s="45">
        <v>20.5</v>
      </c>
      <c r="N77" s="45">
        <v>0</v>
      </c>
      <c r="O77" s="45">
        <v>0</v>
      </c>
      <c r="P77" s="45">
        <v>29.5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43.5</v>
      </c>
      <c r="W77" s="45">
        <v>43.5</v>
      </c>
      <c r="X77" s="45">
        <v>59.5</v>
      </c>
      <c r="Y77" s="45">
        <v>59.5</v>
      </c>
      <c r="Z77" s="45">
        <v>59.5</v>
      </c>
      <c r="AA77" s="45">
        <v>49</v>
      </c>
      <c r="AB77" s="45">
        <v>33.4</v>
      </c>
      <c r="AC77" s="45">
        <v>24.1</v>
      </c>
      <c r="AD77" s="45">
        <v>13.3</v>
      </c>
      <c r="AE77" s="45">
        <v>0</v>
      </c>
      <c r="AF77" s="45">
        <v>0</v>
      </c>
      <c r="AG77" s="52">
        <v>60</v>
      </c>
      <c r="AH77" s="47">
        <f t="shared" si="2"/>
        <v>59.5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>
        <v>4.9000000000000004</v>
      </c>
      <c r="M78" s="65">
        <v>5.9</v>
      </c>
      <c r="N78" s="65">
        <v>0</v>
      </c>
      <c r="O78" s="65">
        <v>0</v>
      </c>
      <c r="P78" s="65">
        <v>13.6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18.899999999999999</v>
      </c>
      <c r="W78" s="65">
        <v>18.899999999999999</v>
      </c>
      <c r="X78" s="65">
        <v>27.3</v>
      </c>
      <c r="Y78" s="65">
        <v>27.3</v>
      </c>
      <c r="Z78" s="65">
        <v>27.3</v>
      </c>
      <c r="AA78" s="65">
        <v>22</v>
      </c>
      <c r="AB78" s="65">
        <v>21.7</v>
      </c>
      <c r="AC78" s="65">
        <v>12.7</v>
      </c>
      <c r="AD78" s="65">
        <v>4.8</v>
      </c>
      <c r="AE78" s="65">
        <v>0</v>
      </c>
      <c r="AF78" s="65">
        <v>0</v>
      </c>
      <c r="AG78" s="55">
        <v>32</v>
      </c>
      <c r="AH78" s="47">
        <f t="shared" si="2"/>
        <v>27.3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>
        <v>2</v>
      </c>
      <c r="M79" s="67">
        <v>2.2000000000000002</v>
      </c>
      <c r="N79" s="67">
        <v>0</v>
      </c>
      <c r="O79" s="67">
        <v>0</v>
      </c>
      <c r="P79" s="67">
        <v>5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6.9</v>
      </c>
      <c r="W79" s="67">
        <v>6.9</v>
      </c>
      <c r="X79" s="67">
        <v>10</v>
      </c>
      <c r="Y79" s="67">
        <v>10</v>
      </c>
      <c r="Z79" s="67">
        <v>10</v>
      </c>
      <c r="AA79" s="67">
        <v>8</v>
      </c>
      <c r="AB79" s="67">
        <v>7.9</v>
      </c>
      <c r="AC79" s="67">
        <v>4.5999999999999996</v>
      </c>
      <c r="AD79" s="67">
        <v>1.8</v>
      </c>
      <c r="AE79" s="67">
        <v>0</v>
      </c>
      <c r="AF79" s="67">
        <v>0</v>
      </c>
      <c r="AG79" s="68">
        <v>14</v>
      </c>
      <c r="AH79" s="47">
        <f t="shared" si="2"/>
        <v>10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13">B77+B78+B79</f>
        <v>0</v>
      </c>
      <c r="C80" s="60">
        <f t="shared" si="13"/>
        <v>0</v>
      </c>
      <c r="D80" s="60">
        <f t="shared" si="13"/>
        <v>0</v>
      </c>
      <c r="E80" s="60">
        <f t="shared" si="13"/>
        <v>0</v>
      </c>
      <c r="F80" s="60">
        <f t="shared" si="13"/>
        <v>0</v>
      </c>
      <c r="G80" s="60">
        <f t="shared" si="13"/>
        <v>0</v>
      </c>
      <c r="H80" s="60">
        <f t="shared" si="13"/>
        <v>0</v>
      </c>
      <c r="I80" s="60">
        <f t="shared" si="13"/>
        <v>0</v>
      </c>
      <c r="J80" s="60">
        <f t="shared" si="13"/>
        <v>0</v>
      </c>
      <c r="K80" s="60">
        <f t="shared" si="13"/>
        <v>0</v>
      </c>
      <c r="L80" s="60">
        <f t="shared" si="13"/>
        <v>20.9</v>
      </c>
      <c r="M80" s="60">
        <f t="shared" ref="M80" si="14">M77+M78+M79</f>
        <v>28.599999999999998</v>
      </c>
      <c r="N80" s="60">
        <f t="shared" si="13"/>
        <v>0</v>
      </c>
      <c r="O80" s="60">
        <f t="shared" si="13"/>
        <v>0</v>
      </c>
      <c r="P80" s="60">
        <f t="shared" si="13"/>
        <v>48.1</v>
      </c>
      <c r="Q80" s="60">
        <f t="shared" si="13"/>
        <v>0</v>
      </c>
      <c r="R80" s="60">
        <f t="shared" si="13"/>
        <v>0</v>
      </c>
      <c r="S80" s="60">
        <f t="shared" si="13"/>
        <v>0</v>
      </c>
      <c r="T80" s="60">
        <f t="shared" si="13"/>
        <v>0</v>
      </c>
      <c r="U80" s="60">
        <f t="shared" ref="U80" si="15">U77+U78+U79</f>
        <v>0</v>
      </c>
      <c r="V80" s="60">
        <f t="shared" si="13"/>
        <v>69.3</v>
      </c>
      <c r="W80" s="60">
        <f t="shared" si="13"/>
        <v>69.3</v>
      </c>
      <c r="X80" s="60">
        <v>96.8</v>
      </c>
      <c r="Y80" s="60">
        <v>96.8</v>
      </c>
      <c r="Z80" s="60">
        <v>96.8</v>
      </c>
      <c r="AA80" s="60">
        <v>96.8</v>
      </c>
      <c r="AB80" s="60">
        <f t="shared" si="13"/>
        <v>62.999999999999993</v>
      </c>
      <c r="AC80" s="60">
        <f t="shared" si="13"/>
        <v>41.4</v>
      </c>
      <c r="AD80" s="60">
        <f t="shared" si="13"/>
        <v>19.900000000000002</v>
      </c>
      <c r="AE80" s="60">
        <f t="shared" si="13"/>
        <v>0</v>
      </c>
      <c r="AF80" s="60">
        <f t="shared" si="13"/>
        <v>0</v>
      </c>
      <c r="AG80" s="61">
        <f>SUM(AG77:AG79)</f>
        <v>106</v>
      </c>
      <c r="AH80" s="47">
        <f t="shared" si="2"/>
        <v>96.8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36.799999999999997</v>
      </c>
      <c r="C81" s="45">
        <v>47</v>
      </c>
      <c r="D81" s="45">
        <v>47</v>
      </c>
      <c r="E81" s="45">
        <v>41</v>
      </c>
      <c r="F81" s="45">
        <v>32</v>
      </c>
      <c r="G81" s="45">
        <v>40.700000000000003</v>
      </c>
      <c r="H81" s="45">
        <v>49</v>
      </c>
      <c r="I81" s="45">
        <v>53</v>
      </c>
      <c r="J81" s="45">
        <v>68</v>
      </c>
      <c r="K81" s="45">
        <v>61.6</v>
      </c>
      <c r="L81" s="45">
        <v>65</v>
      </c>
      <c r="M81" s="45">
        <v>52.1</v>
      </c>
      <c r="N81" s="45">
        <v>45.8</v>
      </c>
      <c r="O81" s="45">
        <v>30</v>
      </c>
      <c r="P81" s="45">
        <v>41</v>
      </c>
      <c r="Q81" s="45">
        <v>50.5</v>
      </c>
      <c r="R81" s="45">
        <v>64</v>
      </c>
      <c r="S81" s="45">
        <v>57.4</v>
      </c>
      <c r="T81" s="45">
        <v>70.2</v>
      </c>
      <c r="U81" s="45">
        <v>67</v>
      </c>
      <c r="V81" s="45">
        <v>66.900000000000006</v>
      </c>
      <c r="W81" s="45">
        <v>43</v>
      </c>
      <c r="X81" s="45">
        <v>49</v>
      </c>
      <c r="Y81" s="45">
        <v>45</v>
      </c>
      <c r="Z81" s="45">
        <v>46</v>
      </c>
      <c r="AA81" s="45">
        <v>47</v>
      </c>
      <c r="AB81" s="45">
        <v>50.1</v>
      </c>
      <c r="AC81" s="45">
        <v>44.5</v>
      </c>
      <c r="AD81" s="45">
        <v>49.2</v>
      </c>
      <c r="AE81" s="45">
        <v>65</v>
      </c>
      <c r="AF81" s="45">
        <v>61.5</v>
      </c>
      <c r="AG81" s="52"/>
      <c r="AH81" s="47">
        <f t="shared" si="2"/>
        <v>70.2</v>
      </c>
      <c r="AI81" s="48">
        <f t="shared" si="3"/>
        <v>30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195</v>
      </c>
      <c r="C83" s="65">
        <v>208</v>
      </c>
      <c r="D83" s="65">
        <v>168</v>
      </c>
      <c r="E83" s="65">
        <v>157</v>
      </c>
      <c r="F83" s="65">
        <v>129.4</v>
      </c>
      <c r="G83" s="65">
        <v>200</v>
      </c>
      <c r="H83" s="65">
        <v>282</v>
      </c>
      <c r="I83" s="65">
        <v>352.5</v>
      </c>
      <c r="J83" s="65">
        <v>351</v>
      </c>
      <c r="K83" s="65">
        <v>400</v>
      </c>
      <c r="L83" s="65">
        <v>169.9</v>
      </c>
      <c r="M83" s="65">
        <v>48.9</v>
      </c>
      <c r="N83" s="65">
        <v>29.5</v>
      </c>
      <c r="O83" s="65">
        <v>39</v>
      </c>
      <c r="P83" s="65">
        <v>271</v>
      </c>
      <c r="Q83" s="65">
        <v>361</v>
      </c>
      <c r="R83" s="65">
        <v>379</v>
      </c>
      <c r="S83" s="65">
        <v>388.1</v>
      </c>
      <c r="T83" s="65">
        <v>406.8</v>
      </c>
      <c r="U83" s="65">
        <v>420</v>
      </c>
      <c r="V83" s="65">
        <v>301</v>
      </c>
      <c r="W83" s="65">
        <v>212</v>
      </c>
      <c r="X83" s="65">
        <v>165</v>
      </c>
      <c r="Y83" s="65">
        <v>230</v>
      </c>
      <c r="Z83" s="65">
        <v>246</v>
      </c>
      <c r="AA83" s="65">
        <v>280</v>
      </c>
      <c r="AB83" s="65">
        <v>262.3</v>
      </c>
      <c r="AC83" s="65">
        <v>205</v>
      </c>
      <c r="AD83" s="65">
        <v>234.6</v>
      </c>
      <c r="AE83" s="65">
        <v>244.8</v>
      </c>
      <c r="AF83" s="65">
        <v>199</v>
      </c>
      <c r="AG83" s="75"/>
      <c r="AH83" s="47">
        <f t="shared" si="2"/>
        <v>420</v>
      </c>
      <c r="AI83" s="48">
        <f t="shared" si="3"/>
        <v>29.5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16">MAX(B85:AF85)</f>
        <v>0</v>
      </c>
      <c r="AI85" s="48">
        <f t="shared" ref="AI85:AI130" si="17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16"/>
        <v>0</v>
      </c>
      <c r="AI86" s="48">
        <f t="shared" si="17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16"/>
        <v>0</v>
      </c>
      <c r="AI87" s="48">
        <f t="shared" si="1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16"/>
        <v>0</v>
      </c>
      <c r="AI88" s="48">
        <f t="shared" si="1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16"/>
        <v>0</v>
      </c>
      <c r="AI89" s="48">
        <f t="shared" si="1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16"/>
        <v>0</v>
      </c>
      <c r="AI90" s="48">
        <f t="shared" si="1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>
        <v>0</v>
      </c>
      <c r="AC91" s="77">
        <v>0</v>
      </c>
      <c r="AD91" s="77">
        <v>0</v>
      </c>
      <c r="AE91" s="77">
        <v>0</v>
      </c>
      <c r="AF91" s="77">
        <v>0</v>
      </c>
      <c r="AG91" s="85"/>
      <c r="AH91" s="47">
        <f t="shared" si="16"/>
        <v>0</v>
      </c>
      <c r="AI91" s="48">
        <f t="shared" si="17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18">SUMIF(B81:B91,"&gt;0")</f>
        <v>231.8</v>
      </c>
      <c r="C92" s="60">
        <f t="shared" si="18"/>
        <v>255</v>
      </c>
      <c r="D92" s="60">
        <f t="shared" si="18"/>
        <v>215</v>
      </c>
      <c r="E92" s="60">
        <f t="shared" si="18"/>
        <v>198</v>
      </c>
      <c r="F92" s="60">
        <f t="shared" si="18"/>
        <v>161.4</v>
      </c>
      <c r="G92" s="60">
        <f t="shared" si="18"/>
        <v>240.7</v>
      </c>
      <c r="H92" s="60">
        <f t="shared" si="18"/>
        <v>331</v>
      </c>
      <c r="I92" s="60">
        <f t="shared" si="18"/>
        <v>405.5</v>
      </c>
      <c r="J92" s="60">
        <f t="shared" si="18"/>
        <v>419</v>
      </c>
      <c r="K92" s="60">
        <f t="shared" si="18"/>
        <v>461.6</v>
      </c>
      <c r="L92" s="60">
        <f t="shared" si="18"/>
        <v>234.9</v>
      </c>
      <c r="M92" s="60">
        <f t="shared" ref="M92" si="19">SUMIF(M81:M91,"&gt;0")</f>
        <v>101</v>
      </c>
      <c r="N92" s="60">
        <f t="shared" si="18"/>
        <v>75.3</v>
      </c>
      <c r="O92" s="60">
        <f t="shared" si="18"/>
        <v>69</v>
      </c>
      <c r="P92" s="60">
        <f t="shared" si="18"/>
        <v>312</v>
      </c>
      <c r="Q92" s="60">
        <f t="shared" si="18"/>
        <v>411.5</v>
      </c>
      <c r="R92" s="60">
        <f t="shared" si="18"/>
        <v>443</v>
      </c>
      <c r="S92" s="60">
        <f t="shared" si="18"/>
        <v>445.5</v>
      </c>
      <c r="T92" s="60">
        <f t="shared" si="18"/>
        <v>477</v>
      </c>
      <c r="U92" s="60">
        <f t="shared" ref="U92" si="20">SUMIF(U81:U91,"&gt;0")</f>
        <v>487</v>
      </c>
      <c r="V92" s="60">
        <f t="shared" si="18"/>
        <v>367.9</v>
      </c>
      <c r="W92" s="60">
        <f t="shared" si="18"/>
        <v>255</v>
      </c>
      <c r="X92" s="60">
        <v>214</v>
      </c>
      <c r="Y92" s="60">
        <v>214</v>
      </c>
      <c r="Z92" s="60">
        <v>214</v>
      </c>
      <c r="AA92" s="60">
        <v>214</v>
      </c>
      <c r="AB92" s="60">
        <f t="shared" si="18"/>
        <v>312.40000000000003</v>
      </c>
      <c r="AC92" s="60">
        <f t="shared" si="18"/>
        <v>249.5</v>
      </c>
      <c r="AD92" s="60">
        <f t="shared" si="18"/>
        <v>283.8</v>
      </c>
      <c r="AE92" s="60">
        <f t="shared" si="18"/>
        <v>309.8</v>
      </c>
      <c r="AF92" s="60">
        <f t="shared" si="18"/>
        <v>260.5</v>
      </c>
      <c r="AG92" s="88">
        <f>SUM(AG81:AG91)</f>
        <v>0</v>
      </c>
      <c r="AH92" s="47">
        <f t="shared" si="16"/>
        <v>487</v>
      </c>
      <c r="AI92" s="48">
        <f t="shared" si="17"/>
        <v>69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16"/>
        <v>0</v>
      </c>
      <c r="AI93" s="48">
        <f t="shared" si="17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16"/>
        <v>0</v>
      </c>
      <c r="AI94" s="48">
        <f t="shared" si="17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16"/>
        <v>0</v>
      </c>
      <c r="AI95" s="48">
        <f t="shared" si="17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16"/>
        <v>0</v>
      </c>
      <c r="AI96" s="48">
        <f t="shared" si="17"/>
        <v>0</v>
      </c>
    </row>
    <row r="97" spans="1:37" ht="15.75" thickBot="1" x14ac:dyDescent="0.3">
      <c r="A97" s="74" t="s">
        <v>100</v>
      </c>
      <c r="B97" s="95">
        <f t="shared" ref="B97:AG97" si="21">B58+B62+B80+B76+B92+B96</f>
        <v>335.44000000000005</v>
      </c>
      <c r="C97" s="95">
        <f t="shared" si="21"/>
        <v>1004.24</v>
      </c>
      <c r="D97" s="95">
        <f t="shared" si="21"/>
        <v>964.24</v>
      </c>
      <c r="E97" s="95">
        <f t="shared" si="21"/>
        <v>950.84</v>
      </c>
      <c r="F97" s="95">
        <f t="shared" si="21"/>
        <v>958.24</v>
      </c>
      <c r="G97" s="95">
        <f t="shared" si="21"/>
        <v>1039.74</v>
      </c>
      <c r="H97" s="95">
        <f t="shared" si="21"/>
        <v>1129.44</v>
      </c>
      <c r="I97" s="95">
        <f t="shared" si="21"/>
        <v>1259.8499999999999</v>
      </c>
      <c r="J97" s="95">
        <f t="shared" si="21"/>
        <v>1341.14</v>
      </c>
      <c r="K97" s="95">
        <f t="shared" si="21"/>
        <v>1491.04</v>
      </c>
      <c r="L97" s="95">
        <f t="shared" si="21"/>
        <v>1614.8400000000001</v>
      </c>
      <c r="M97" s="95">
        <f t="shared" ref="M97" si="22">M58+M62+M80+M76+M92+M96</f>
        <v>1621.94</v>
      </c>
      <c r="N97" s="95">
        <f t="shared" si="21"/>
        <v>1550.64</v>
      </c>
      <c r="O97" s="95">
        <f t="shared" si="21"/>
        <v>1524.74</v>
      </c>
      <c r="P97" s="95">
        <f t="shared" si="21"/>
        <v>1507.44</v>
      </c>
      <c r="Q97" s="95">
        <f t="shared" si="21"/>
        <v>1418.94</v>
      </c>
      <c r="R97" s="95">
        <f t="shared" si="21"/>
        <v>1389.94</v>
      </c>
      <c r="S97" s="95">
        <f t="shared" si="21"/>
        <v>1351.5400000000002</v>
      </c>
      <c r="T97" s="95">
        <f t="shared" si="21"/>
        <v>1363.64</v>
      </c>
      <c r="U97" s="95">
        <f t="shared" ref="U97" si="23">U58+U62+U80+U76+U92+U96</f>
        <v>1396.14</v>
      </c>
      <c r="V97" s="95">
        <f t="shared" si="21"/>
        <v>1464.94</v>
      </c>
      <c r="W97" s="95">
        <f t="shared" si="21"/>
        <v>1557.64</v>
      </c>
      <c r="X97" s="95">
        <v>1633.8</v>
      </c>
      <c r="Y97" s="95">
        <v>1633.8</v>
      </c>
      <c r="Z97" s="95">
        <v>1633.8</v>
      </c>
      <c r="AA97" s="95">
        <v>1633.8</v>
      </c>
      <c r="AB97" s="95">
        <f t="shared" si="21"/>
        <v>1528.3400000000001</v>
      </c>
      <c r="AC97" s="95">
        <f t="shared" si="21"/>
        <v>1480.24</v>
      </c>
      <c r="AD97" s="95">
        <f t="shared" si="21"/>
        <v>1336.94</v>
      </c>
      <c r="AE97" s="95">
        <f t="shared" si="21"/>
        <v>1169.6400000000001</v>
      </c>
      <c r="AF97" s="95">
        <f t="shared" si="21"/>
        <v>1027.0400000000002</v>
      </c>
      <c r="AG97" s="61">
        <f t="shared" si="21"/>
        <v>2231.81</v>
      </c>
      <c r="AH97" s="47">
        <f t="shared" si="16"/>
        <v>1633.8</v>
      </c>
      <c r="AI97" s="48">
        <f t="shared" si="17"/>
        <v>335.44000000000005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80</v>
      </c>
      <c r="M98" s="97">
        <v>80</v>
      </c>
      <c r="N98" s="97">
        <v>80</v>
      </c>
      <c r="O98" s="97">
        <v>80</v>
      </c>
      <c r="P98" s="97"/>
      <c r="Q98" s="97"/>
      <c r="R98" s="97"/>
      <c r="S98" s="97"/>
      <c r="T98" s="97"/>
      <c r="U98" s="97"/>
      <c r="V98" s="97"/>
      <c r="W98" s="97">
        <v>80</v>
      </c>
      <c r="X98" s="97">
        <v>80</v>
      </c>
      <c r="Y98" s="97">
        <v>50</v>
      </c>
      <c r="Z98" s="97">
        <v>40</v>
      </c>
      <c r="AA98" s="97">
        <v>40</v>
      </c>
      <c r="AB98" s="97">
        <v>40</v>
      </c>
      <c r="AC98" s="97">
        <v>20</v>
      </c>
      <c r="AD98" s="97"/>
      <c r="AE98" s="97"/>
      <c r="AF98" s="97"/>
      <c r="AG98" s="88"/>
      <c r="AH98" s="47">
        <f t="shared" si="16"/>
        <v>80</v>
      </c>
      <c r="AI98" s="48">
        <f t="shared" si="17"/>
        <v>20</v>
      </c>
    </row>
    <row r="99" spans="1:37" ht="15.75" thickBot="1" x14ac:dyDescent="0.3">
      <c r="A99" s="74" t="s">
        <v>102</v>
      </c>
      <c r="B99" s="95">
        <f t="shared" ref="B99:AF99" si="24">B97+B98</f>
        <v>335.44000000000005</v>
      </c>
      <c r="C99" s="95">
        <f t="shared" si="24"/>
        <v>1004.24</v>
      </c>
      <c r="D99" s="95">
        <f t="shared" si="24"/>
        <v>964.24</v>
      </c>
      <c r="E99" s="95">
        <f t="shared" si="24"/>
        <v>950.84</v>
      </c>
      <c r="F99" s="95">
        <f t="shared" si="24"/>
        <v>958.24</v>
      </c>
      <c r="G99" s="95">
        <f t="shared" si="24"/>
        <v>1039.74</v>
      </c>
      <c r="H99" s="95">
        <f t="shared" si="24"/>
        <v>1129.44</v>
      </c>
      <c r="I99" s="95">
        <f t="shared" si="24"/>
        <v>1259.8499999999999</v>
      </c>
      <c r="J99" s="95">
        <f t="shared" si="24"/>
        <v>1341.14</v>
      </c>
      <c r="K99" s="95">
        <f t="shared" si="24"/>
        <v>1491.04</v>
      </c>
      <c r="L99" s="95">
        <f t="shared" si="24"/>
        <v>1694.8400000000001</v>
      </c>
      <c r="M99" s="95">
        <f t="shared" ref="M99" si="25">M97+M98</f>
        <v>1701.94</v>
      </c>
      <c r="N99" s="95">
        <f t="shared" si="24"/>
        <v>1630.64</v>
      </c>
      <c r="O99" s="95">
        <f t="shared" si="24"/>
        <v>1604.74</v>
      </c>
      <c r="P99" s="95">
        <f t="shared" si="24"/>
        <v>1507.44</v>
      </c>
      <c r="Q99" s="95">
        <f t="shared" si="24"/>
        <v>1418.94</v>
      </c>
      <c r="R99" s="95">
        <f t="shared" si="24"/>
        <v>1389.94</v>
      </c>
      <c r="S99" s="95">
        <f t="shared" si="24"/>
        <v>1351.5400000000002</v>
      </c>
      <c r="T99" s="95">
        <f t="shared" si="24"/>
        <v>1363.64</v>
      </c>
      <c r="U99" s="95">
        <f t="shared" ref="U99" si="26">U97+U98</f>
        <v>1396.14</v>
      </c>
      <c r="V99" s="95">
        <f t="shared" si="24"/>
        <v>1464.94</v>
      </c>
      <c r="W99" s="95">
        <f t="shared" si="24"/>
        <v>1637.64</v>
      </c>
      <c r="X99" s="95">
        <v>1714.8</v>
      </c>
      <c r="Y99" s="95">
        <v>1714.8</v>
      </c>
      <c r="Z99" s="95">
        <v>1714.8</v>
      </c>
      <c r="AA99" s="95">
        <v>1714.8</v>
      </c>
      <c r="AB99" s="95">
        <f t="shared" si="24"/>
        <v>1568.3400000000001</v>
      </c>
      <c r="AC99" s="95">
        <f t="shared" si="24"/>
        <v>1500.24</v>
      </c>
      <c r="AD99" s="95">
        <f t="shared" si="24"/>
        <v>1336.94</v>
      </c>
      <c r="AE99" s="95">
        <f t="shared" si="24"/>
        <v>1169.6400000000001</v>
      </c>
      <c r="AF99" s="95">
        <f t="shared" si="24"/>
        <v>1027.0400000000002</v>
      </c>
      <c r="AG99" s="88">
        <f>AG96+AG92+AG80+AG76+AG58+AG98</f>
        <v>1693.71</v>
      </c>
      <c r="AH99" s="47">
        <f t="shared" si="16"/>
        <v>1714.8</v>
      </c>
      <c r="AI99" s="48">
        <f t="shared" si="17"/>
        <v>335.44000000000005</v>
      </c>
    </row>
    <row r="100" spans="1:37" ht="15.75" thickBot="1" x14ac:dyDescent="0.3">
      <c r="A100" s="74" t="s">
        <v>103</v>
      </c>
      <c r="B100" s="95">
        <f t="shared" ref="B100:L100" si="27">B99-(B107)</f>
        <v>335.44000000000005</v>
      </c>
      <c r="C100" s="95">
        <f t="shared" si="27"/>
        <v>1004.24</v>
      </c>
      <c r="D100" s="95">
        <f t="shared" si="27"/>
        <v>964.24</v>
      </c>
      <c r="E100" s="95">
        <f t="shared" si="27"/>
        <v>950.84</v>
      </c>
      <c r="F100" s="95">
        <f t="shared" si="27"/>
        <v>958.24</v>
      </c>
      <c r="G100" s="95">
        <f t="shared" si="27"/>
        <v>1039.74</v>
      </c>
      <c r="H100" s="95">
        <f t="shared" si="27"/>
        <v>1129.44</v>
      </c>
      <c r="I100" s="95">
        <f t="shared" si="27"/>
        <v>1259.8499999999999</v>
      </c>
      <c r="J100" s="95">
        <f t="shared" si="27"/>
        <v>1341.14</v>
      </c>
      <c r="K100" s="95">
        <f t="shared" si="27"/>
        <v>1491.04</v>
      </c>
      <c r="L100" s="95">
        <f t="shared" si="27"/>
        <v>1694.8400000000001</v>
      </c>
      <c r="M100" s="95">
        <f t="shared" ref="M100" si="28">M99-(M107)</f>
        <v>1700.94</v>
      </c>
      <c r="N100" s="95">
        <f>N99-(N107)</f>
        <v>1630.64</v>
      </c>
      <c r="O100" s="95">
        <f t="shared" ref="O100:AF100" si="29">O99-(O107)</f>
        <v>1604.74</v>
      </c>
      <c r="P100" s="95">
        <f t="shared" si="29"/>
        <v>1507.44</v>
      </c>
      <c r="Q100" s="95">
        <f t="shared" si="29"/>
        <v>1418.94</v>
      </c>
      <c r="R100" s="95">
        <f t="shared" si="29"/>
        <v>1389.94</v>
      </c>
      <c r="S100" s="95">
        <f t="shared" si="29"/>
        <v>1351.5400000000002</v>
      </c>
      <c r="T100" s="95">
        <f t="shared" si="29"/>
        <v>1363.64</v>
      </c>
      <c r="U100" s="95">
        <f t="shared" ref="U100" si="30">U99-(U107)</f>
        <v>1395.14</v>
      </c>
      <c r="V100" s="95">
        <f t="shared" si="29"/>
        <v>1464.94</v>
      </c>
      <c r="W100" s="95">
        <f t="shared" si="29"/>
        <v>1637.64</v>
      </c>
      <c r="X100" s="95">
        <v>1713.8</v>
      </c>
      <c r="Y100" s="95">
        <v>1713.8</v>
      </c>
      <c r="Z100" s="95">
        <v>1713.8</v>
      </c>
      <c r="AA100" s="95">
        <v>1713.8</v>
      </c>
      <c r="AB100" s="95">
        <f t="shared" si="29"/>
        <v>1568.3400000000001</v>
      </c>
      <c r="AC100" s="95">
        <f t="shared" si="29"/>
        <v>1500.24</v>
      </c>
      <c r="AD100" s="95">
        <f t="shared" si="29"/>
        <v>1336.94</v>
      </c>
      <c r="AE100" s="95">
        <f t="shared" si="29"/>
        <v>1169.6400000000001</v>
      </c>
      <c r="AF100" s="95">
        <f t="shared" si="29"/>
        <v>1027.0400000000002</v>
      </c>
      <c r="AG100" s="88"/>
      <c r="AH100" s="47">
        <f t="shared" si="16"/>
        <v>1713.8</v>
      </c>
      <c r="AI100" s="48">
        <f t="shared" si="17"/>
        <v>335.44000000000005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31">IF(C84&lt;0,C84*-1,0)</f>
        <v>0</v>
      </c>
      <c r="D101" s="76">
        <f t="shared" si="31"/>
        <v>0</v>
      </c>
      <c r="E101" s="76">
        <f t="shared" si="31"/>
        <v>0</v>
      </c>
      <c r="F101" s="76">
        <f t="shared" si="31"/>
        <v>0</v>
      </c>
      <c r="G101" s="76">
        <f t="shared" si="31"/>
        <v>0</v>
      </c>
      <c r="H101" s="76">
        <f t="shared" si="31"/>
        <v>0</v>
      </c>
      <c r="I101" s="76">
        <f t="shared" si="31"/>
        <v>0</v>
      </c>
      <c r="J101" s="76">
        <f t="shared" si="31"/>
        <v>0</v>
      </c>
      <c r="K101" s="76">
        <f t="shared" si="31"/>
        <v>0</v>
      </c>
      <c r="L101" s="76">
        <f t="shared" si="31"/>
        <v>0</v>
      </c>
      <c r="M101" s="76">
        <f t="shared" ref="M101" si="32">IF(M84&lt;0,M84*-1,0)</f>
        <v>0</v>
      </c>
      <c r="N101" s="76">
        <f t="shared" si="31"/>
        <v>0</v>
      </c>
      <c r="O101" s="76">
        <f t="shared" si="31"/>
        <v>0</v>
      </c>
      <c r="P101" s="76">
        <f t="shared" si="31"/>
        <v>0</v>
      </c>
      <c r="Q101" s="76">
        <f t="shared" si="31"/>
        <v>0</v>
      </c>
      <c r="R101" s="76">
        <f t="shared" si="31"/>
        <v>0</v>
      </c>
      <c r="S101" s="76">
        <f t="shared" si="31"/>
        <v>0</v>
      </c>
      <c r="T101" s="76">
        <f t="shared" si="31"/>
        <v>0</v>
      </c>
      <c r="U101" s="76">
        <f t="shared" ref="U101" si="33">IF(U84&lt;0,U84*-1,0)</f>
        <v>0</v>
      </c>
      <c r="V101" s="76">
        <f t="shared" si="31"/>
        <v>0</v>
      </c>
      <c r="W101" s="76">
        <f t="shared" si="31"/>
        <v>0</v>
      </c>
      <c r="X101" s="76">
        <v>0</v>
      </c>
      <c r="Y101" s="76">
        <v>0</v>
      </c>
      <c r="Z101" s="76">
        <v>0</v>
      </c>
      <c r="AA101" s="76">
        <v>0</v>
      </c>
      <c r="AB101" s="76">
        <f t="shared" si="31"/>
        <v>0</v>
      </c>
      <c r="AC101" s="76">
        <f t="shared" si="31"/>
        <v>0</v>
      </c>
      <c r="AD101" s="76">
        <f t="shared" si="31"/>
        <v>0</v>
      </c>
      <c r="AE101" s="76">
        <f t="shared" si="31"/>
        <v>0</v>
      </c>
      <c r="AF101" s="76">
        <f t="shared" si="31"/>
        <v>0</v>
      </c>
      <c r="AG101" s="52"/>
      <c r="AH101" s="47">
        <f t="shared" si="16"/>
        <v>0</v>
      </c>
      <c r="AI101" s="48">
        <f t="shared" si="17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34">IF(C82&lt;0,C82*-1,0)</f>
        <v>0</v>
      </c>
      <c r="D102" s="76">
        <f t="shared" si="34"/>
        <v>0</v>
      </c>
      <c r="E102" s="76">
        <f t="shared" si="34"/>
        <v>0</v>
      </c>
      <c r="F102" s="76">
        <f t="shared" si="34"/>
        <v>0</v>
      </c>
      <c r="G102" s="76">
        <f t="shared" si="34"/>
        <v>0</v>
      </c>
      <c r="H102" s="76">
        <f t="shared" si="34"/>
        <v>0</v>
      </c>
      <c r="I102" s="76">
        <f t="shared" si="34"/>
        <v>0</v>
      </c>
      <c r="J102" s="76">
        <f t="shared" si="34"/>
        <v>0</v>
      </c>
      <c r="K102" s="76">
        <f t="shared" si="34"/>
        <v>0</v>
      </c>
      <c r="L102" s="76">
        <f t="shared" si="34"/>
        <v>0</v>
      </c>
      <c r="M102" s="76">
        <f t="shared" ref="M102" si="35">IF(M82&lt;0,M82*-1,0)</f>
        <v>0</v>
      </c>
      <c r="N102" s="76">
        <f t="shared" si="34"/>
        <v>0</v>
      </c>
      <c r="O102" s="76">
        <f t="shared" si="34"/>
        <v>0</v>
      </c>
      <c r="P102" s="76">
        <f t="shared" si="34"/>
        <v>0</v>
      </c>
      <c r="Q102" s="76">
        <f t="shared" si="34"/>
        <v>0</v>
      </c>
      <c r="R102" s="76">
        <f t="shared" si="34"/>
        <v>0</v>
      </c>
      <c r="S102" s="76">
        <f t="shared" si="34"/>
        <v>0</v>
      </c>
      <c r="T102" s="76">
        <f t="shared" si="34"/>
        <v>0</v>
      </c>
      <c r="U102" s="76">
        <f t="shared" ref="U102" si="36">IF(U82&lt;0,U82*-1,0)</f>
        <v>0</v>
      </c>
      <c r="V102" s="76">
        <f t="shared" si="34"/>
        <v>0</v>
      </c>
      <c r="W102" s="76">
        <f t="shared" si="34"/>
        <v>0</v>
      </c>
      <c r="X102" s="76">
        <v>0</v>
      </c>
      <c r="Y102" s="76">
        <v>0</v>
      </c>
      <c r="Z102" s="76">
        <v>0</v>
      </c>
      <c r="AA102" s="76">
        <v>0</v>
      </c>
      <c r="AB102" s="76">
        <f t="shared" si="34"/>
        <v>0</v>
      </c>
      <c r="AC102" s="76">
        <f t="shared" si="34"/>
        <v>0</v>
      </c>
      <c r="AD102" s="76">
        <f t="shared" si="34"/>
        <v>0</v>
      </c>
      <c r="AE102" s="76">
        <f t="shared" si="34"/>
        <v>0</v>
      </c>
      <c r="AF102" s="76">
        <f t="shared" si="34"/>
        <v>0</v>
      </c>
      <c r="AG102" s="55"/>
      <c r="AH102" s="47">
        <f t="shared" si="16"/>
        <v>0</v>
      </c>
      <c r="AI102" s="48">
        <f t="shared" si="17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37">IF(C85&lt;0,C85*-1,0)</f>
        <v>0</v>
      </c>
      <c r="D103" s="76">
        <f t="shared" si="37"/>
        <v>0</v>
      </c>
      <c r="E103" s="76">
        <f t="shared" si="37"/>
        <v>0</v>
      </c>
      <c r="F103" s="76">
        <f t="shared" si="37"/>
        <v>0</v>
      </c>
      <c r="G103" s="76">
        <f t="shared" si="37"/>
        <v>0</v>
      </c>
      <c r="H103" s="76">
        <f t="shared" si="37"/>
        <v>0</v>
      </c>
      <c r="I103" s="76">
        <f t="shared" si="37"/>
        <v>0</v>
      </c>
      <c r="J103" s="76">
        <f t="shared" si="37"/>
        <v>0</v>
      </c>
      <c r="K103" s="76">
        <f t="shared" si="37"/>
        <v>0</v>
      </c>
      <c r="L103" s="76">
        <f t="shared" si="37"/>
        <v>0</v>
      </c>
      <c r="M103" s="76">
        <f t="shared" ref="M103" si="38">IF(M85&lt;0,M85*-1,0)</f>
        <v>0</v>
      </c>
      <c r="N103" s="76">
        <f t="shared" si="37"/>
        <v>0</v>
      </c>
      <c r="O103" s="76">
        <f t="shared" si="37"/>
        <v>0</v>
      </c>
      <c r="P103" s="76">
        <f t="shared" si="37"/>
        <v>0</v>
      </c>
      <c r="Q103" s="76">
        <f t="shared" si="37"/>
        <v>0</v>
      </c>
      <c r="R103" s="76">
        <f t="shared" si="37"/>
        <v>0</v>
      </c>
      <c r="S103" s="76">
        <f t="shared" si="37"/>
        <v>0</v>
      </c>
      <c r="T103" s="76">
        <f t="shared" si="37"/>
        <v>0</v>
      </c>
      <c r="U103" s="76">
        <f t="shared" ref="U103" si="39">IF(U85&lt;0,U85*-1,0)</f>
        <v>0</v>
      </c>
      <c r="V103" s="76">
        <f t="shared" si="37"/>
        <v>0</v>
      </c>
      <c r="W103" s="76">
        <f t="shared" si="37"/>
        <v>0</v>
      </c>
      <c r="X103" s="76">
        <v>0</v>
      </c>
      <c r="Y103" s="76">
        <v>0</v>
      </c>
      <c r="Z103" s="76">
        <v>0</v>
      </c>
      <c r="AA103" s="76">
        <v>0</v>
      </c>
      <c r="AB103" s="76">
        <f t="shared" si="37"/>
        <v>0</v>
      </c>
      <c r="AC103" s="76">
        <f t="shared" si="37"/>
        <v>0</v>
      </c>
      <c r="AD103" s="76">
        <f t="shared" si="37"/>
        <v>0</v>
      </c>
      <c r="AE103" s="76">
        <f t="shared" si="37"/>
        <v>0</v>
      </c>
      <c r="AF103" s="76">
        <f t="shared" si="37"/>
        <v>0</v>
      </c>
      <c r="AG103" s="98"/>
      <c r="AH103" s="47">
        <f t="shared" si="16"/>
        <v>0</v>
      </c>
      <c r="AI103" s="48">
        <f t="shared" si="17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40">IF(C83&lt;0,C83*-1,0)</f>
        <v>0</v>
      </c>
      <c r="D104" s="76">
        <f t="shared" si="40"/>
        <v>0</v>
      </c>
      <c r="E104" s="76">
        <f t="shared" si="40"/>
        <v>0</v>
      </c>
      <c r="F104" s="76">
        <f t="shared" si="40"/>
        <v>0</v>
      </c>
      <c r="G104" s="76">
        <f t="shared" si="40"/>
        <v>0</v>
      </c>
      <c r="H104" s="76">
        <f t="shared" si="40"/>
        <v>0</v>
      </c>
      <c r="I104" s="76">
        <f t="shared" si="40"/>
        <v>0</v>
      </c>
      <c r="J104" s="76">
        <f t="shared" si="40"/>
        <v>0</v>
      </c>
      <c r="K104" s="76">
        <f t="shared" si="40"/>
        <v>0</v>
      </c>
      <c r="L104" s="76">
        <f t="shared" si="40"/>
        <v>0</v>
      </c>
      <c r="M104" s="76">
        <f t="shared" ref="M104" si="41">IF(M83&lt;0,M83*-1,0)</f>
        <v>0</v>
      </c>
      <c r="N104" s="76">
        <f t="shared" si="40"/>
        <v>0</v>
      </c>
      <c r="O104" s="76">
        <f t="shared" si="40"/>
        <v>0</v>
      </c>
      <c r="P104" s="76">
        <f t="shared" si="40"/>
        <v>0</v>
      </c>
      <c r="Q104" s="76">
        <f t="shared" si="40"/>
        <v>0</v>
      </c>
      <c r="R104" s="76">
        <f t="shared" si="40"/>
        <v>0</v>
      </c>
      <c r="S104" s="76">
        <f t="shared" si="40"/>
        <v>0</v>
      </c>
      <c r="T104" s="76">
        <f t="shared" si="40"/>
        <v>0</v>
      </c>
      <c r="U104" s="76">
        <f t="shared" ref="U104" si="42">IF(U83&lt;0,U83*-1,0)</f>
        <v>0</v>
      </c>
      <c r="V104" s="76">
        <f t="shared" si="40"/>
        <v>0</v>
      </c>
      <c r="W104" s="76">
        <f t="shared" si="40"/>
        <v>0</v>
      </c>
      <c r="X104" s="76">
        <v>0</v>
      </c>
      <c r="Y104" s="76">
        <v>0</v>
      </c>
      <c r="Z104" s="76">
        <v>0</v>
      </c>
      <c r="AA104" s="76">
        <v>0</v>
      </c>
      <c r="AB104" s="76">
        <f t="shared" si="40"/>
        <v>0</v>
      </c>
      <c r="AC104" s="76">
        <f t="shared" si="40"/>
        <v>0</v>
      </c>
      <c r="AD104" s="76">
        <f t="shared" si="40"/>
        <v>0</v>
      </c>
      <c r="AE104" s="76">
        <f t="shared" si="40"/>
        <v>0</v>
      </c>
      <c r="AF104" s="76">
        <f t="shared" si="40"/>
        <v>0</v>
      </c>
      <c r="AG104" s="98"/>
      <c r="AH104" s="47">
        <f t="shared" si="16"/>
        <v>0</v>
      </c>
      <c r="AI104" s="48">
        <f t="shared" si="17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43">IF(C81&lt;0,C81*-1,0)</f>
        <v>0</v>
      </c>
      <c r="D105" s="76">
        <f t="shared" si="43"/>
        <v>0</v>
      </c>
      <c r="E105" s="76">
        <f t="shared" si="43"/>
        <v>0</v>
      </c>
      <c r="F105" s="76">
        <f t="shared" si="43"/>
        <v>0</v>
      </c>
      <c r="G105" s="76">
        <f t="shared" si="43"/>
        <v>0</v>
      </c>
      <c r="H105" s="76">
        <f t="shared" si="43"/>
        <v>0</v>
      </c>
      <c r="I105" s="76">
        <f t="shared" si="43"/>
        <v>0</v>
      </c>
      <c r="J105" s="76">
        <f t="shared" si="43"/>
        <v>0</v>
      </c>
      <c r="K105" s="76">
        <f t="shared" si="43"/>
        <v>0</v>
      </c>
      <c r="L105" s="76">
        <f t="shared" si="43"/>
        <v>0</v>
      </c>
      <c r="M105" s="76">
        <f t="shared" ref="M105" si="44">IF(M81&lt;0,M81*-1,0)</f>
        <v>0</v>
      </c>
      <c r="N105" s="76">
        <f t="shared" si="43"/>
        <v>0</v>
      </c>
      <c r="O105" s="76">
        <f t="shared" si="43"/>
        <v>0</v>
      </c>
      <c r="P105" s="76">
        <f t="shared" si="43"/>
        <v>0</v>
      </c>
      <c r="Q105" s="76">
        <f t="shared" si="43"/>
        <v>0</v>
      </c>
      <c r="R105" s="76">
        <f t="shared" si="43"/>
        <v>0</v>
      </c>
      <c r="S105" s="76">
        <f t="shared" si="43"/>
        <v>0</v>
      </c>
      <c r="T105" s="76">
        <f t="shared" si="43"/>
        <v>0</v>
      </c>
      <c r="U105" s="76">
        <f t="shared" ref="U105" si="45">IF(U81&lt;0,U81*-1,0)</f>
        <v>0</v>
      </c>
      <c r="V105" s="76">
        <f t="shared" si="43"/>
        <v>0</v>
      </c>
      <c r="W105" s="76">
        <f t="shared" si="43"/>
        <v>0</v>
      </c>
      <c r="X105" s="76">
        <v>0</v>
      </c>
      <c r="Y105" s="76">
        <v>0</v>
      </c>
      <c r="Z105" s="76">
        <v>0</v>
      </c>
      <c r="AA105" s="76">
        <v>0</v>
      </c>
      <c r="AB105" s="76">
        <f t="shared" si="43"/>
        <v>0</v>
      </c>
      <c r="AC105" s="76">
        <f t="shared" si="43"/>
        <v>0</v>
      </c>
      <c r="AD105" s="76">
        <f t="shared" si="43"/>
        <v>0</v>
      </c>
      <c r="AE105" s="76">
        <f t="shared" si="43"/>
        <v>0</v>
      </c>
      <c r="AF105" s="76">
        <f t="shared" si="43"/>
        <v>0</v>
      </c>
      <c r="AG105" s="98"/>
      <c r="AH105" s="47">
        <f t="shared" si="16"/>
        <v>0</v>
      </c>
      <c r="AI105" s="48">
        <f t="shared" si="17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1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1</v>
      </c>
      <c r="V106" s="94">
        <v>0</v>
      </c>
      <c r="W106" s="94">
        <v>0</v>
      </c>
      <c r="X106" s="94">
        <v>1</v>
      </c>
      <c r="Y106" s="94">
        <v>1</v>
      </c>
      <c r="Z106" s="94">
        <v>1</v>
      </c>
      <c r="AA106" s="94">
        <v>1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16"/>
        <v>1</v>
      </c>
      <c r="AI106" s="48">
        <f t="shared" si="17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46">SUM(C101:C106)</f>
        <v>0</v>
      </c>
      <c r="D107" s="60">
        <f t="shared" si="46"/>
        <v>0</v>
      </c>
      <c r="E107" s="60">
        <f t="shared" si="46"/>
        <v>0</v>
      </c>
      <c r="F107" s="60">
        <f t="shared" si="46"/>
        <v>0</v>
      </c>
      <c r="G107" s="60">
        <f t="shared" si="46"/>
        <v>0</v>
      </c>
      <c r="H107" s="60">
        <f t="shared" si="46"/>
        <v>0</v>
      </c>
      <c r="I107" s="60">
        <f t="shared" si="46"/>
        <v>0</v>
      </c>
      <c r="J107" s="60">
        <f t="shared" si="46"/>
        <v>0</v>
      </c>
      <c r="K107" s="60">
        <f t="shared" si="46"/>
        <v>0</v>
      </c>
      <c r="L107" s="60">
        <f t="shared" si="46"/>
        <v>0</v>
      </c>
      <c r="M107" s="60">
        <f t="shared" ref="M107" si="47">SUM(M101:M106)</f>
        <v>1</v>
      </c>
      <c r="N107" s="60">
        <f t="shared" si="46"/>
        <v>0</v>
      </c>
      <c r="O107" s="60">
        <f t="shared" si="46"/>
        <v>0</v>
      </c>
      <c r="P107" s="60">
        <f t="shared" si="46"/>
        <v>0</v>
      </c>
      <c r="Q107" s="60">
        <f t="shared" si="46"/>
        <v>0</v>
      </c>
      <c r="R107" s="60">
        <f t="shared" si="46"/>
        <v>0</v>
      </c>
      <c r="S107" s="60">
        <f t="shared" si="46"/>
        <v>0</v>
      </c>
      <c r="T107" s="60">
        <f t="shared" si="46"/>
        <v>0</v>
      </c>
      <c r="U107" s="60">
        <f t="shared" ref="U107" si="48">SUM(U101:U106)</f>
        <v>1</v>
      </c>
      <c r="V107" s="60">
        <f t="shared" si="46"/>
        <v>0</v>
      </c>
      <c r="W107" s="60">
        <f t="shared" si="46"/>
        <v>0</v>
      </c>
      <c r="X107" s="60">
        <v>1</v>
      </c>
      <c r="Y107" s="60">
        <v>1</v>
      </c>
      <c r="Z107" s="60">
        <v>1</v>
      </c>
      <c r="AA107" s="60">
        <v>1</v>
      </c>
      <c r="AB107" s="60">
        <f t="shared" si="46"/>
        <v>0</v>
      </c>
      <c r="AC107" s="60">
        <f t="shared" si="46"/>
        <v>0</v>
      </c>
      <c r="AD107" s="60">
        <f t="shared" si="46"/>
        <v>0</v>
      </c>
      <c r="AE107" s="60">
        <f t="shared" si="46"/>
        <v>0</v>
      </c>
      <c r="AF107" s="60">
        <f t="shared" si="46"/>
        <v>0</v>
      </c>
      <c r="AG107" s="88"/>
      <c r="AH107" s="47">
        <f t="shared" si="16"/>
        <v>1</v>
      </c>
      <c r="AI107" s="48">
        <f t="shared" si="17"/>
        <v>0</v>
      </c>
      <c r="AK107" s="50"/>
    </row>
    <row r="108" spans="1:37" ht="15.75" thickBot="1" x14ac:dyDescent="0.3">
      <c r="A108" s="74" t="s">
        <v>108</v>
      </c>
      <c r="B108" s="60">
        <f t="shared" ref="B108:AF108" si="49">B92-B107</f>
        <v>231.8</v>
      </c>
      <c r="C108" s="60">
        <f t="shared" si="49"/>
        <v>255</v>
      </c>
      <c r="D108" s="60">
        <f t="shared" si="49"/>
        <v>215</v>
      </c>
      <c r="E108" s="60">
        <f t="shared" si="49"/>
        <v>198</v>
      </c>
      <c r="F108" s="60">
        <f t="shared" si="49"/>
        <v>161.4</v>
      </c>
      <c r="G108" s="60">
        <f t="shared" si="49"/>
        <v>240.7</v>
      </c>
      <c r="H108" s="60">
        <f t="shared" si="49"/>
        <v>331</v>
      </c>
      <c r="I108" s="60">
        <f t="shared" si="49"/>
        <v>405.5</v>
      </c>
      <c r="J108" s="60">
        <f t="shared" si="49"/>
        <v>419</v>
      </c>
      <c r="K108" s="60">
        <f t="shared" si="49"/>
        <v>461.6</v>
      </c>
      <c r="L108" s="60">
        <f t="shared" si="49"/>
        <v>234.9</v>
      </c>
      <c r="M108" s="60">
        <f t="shared" ref="M108" si="50">M92-M107</f>
        <v>100</v>
      </c>
      <c r="N108" s="60">
        <f t="shared" si="49"/>
        <v>75.3</v>
      </c>
      <c r="O108" s="60">
        <f t="shared" si="49"/>
        <v>69</v>
      </c>
      <c r="P108" s="60">
        <f t="shared" si="49"/>
        <v>312</v>
      </c>
      <c r="Q108" s="60">
        <f t="shared" si="49"/>
        <v>411.5</v>
      </c>
      <c r="R108" s="60">
        <f t="shared" si="49"/>
        <v>443</v>
      </c>
      <c r="S108" s="60">
        <f t="shared" si="49"/>
        <v>445.5</v>
      </c>
      <c r="T108" s="60">
        <f t="shared" si="49"/>
        <v>477</v>
      </c>
      <c r="U108" s="60">
        <f t="shared" ref="U108" si="51">U92-U107</f>
        <v>486</v>
      </c>
      <c r="V108" s="60">
        <f t="shared" si="49"/>
        <v>367.9</v>
      </c>
      <c r="W108" s="60">
        <f t="shared" si="49"/>
        <v>255</v>
      </c>
      <c r="X108" s="60">
        <v>213</v>
      </c>
      <c r="Y108" s="60">
        <v>213</v>
      </c>
      <c r="Z108" s="60">
        <v>213</v>
      </c>
      <c r="AA108" s="60">
        <v>213</v>
      </c>
      <c r="AB108" s="60">
        <f t="shared" si="49"/>
        <v>312.40000000000003</v>
      </c>
      <c r="AC108" s="60">
        <f t="shared" si="49"/>
        <v>249.5</v>
      </c>
      <c r="AD108" s="60">
        <f t="shared" si="49"/>
        <v>283.8</v>
      </c>
      <c r="AE108" s="60">
        <f t="shared" si="49"/>
        <v>309.8</v>
      </c>
      <c r="AF108" s="60">
        <f t="shared" si="49"/>
        <v>260.5</v>
      </c>
      <c r="AG108" s="88"/>
      <c r="AH108" s="47">
        <f t="shared" si="16"/>
        <v>486</v>
      </c>
      <c r="AI108" s="48">
        <f t="shared" si="17"/>
        <v>69</v>
      </c>
    </row>
    <row r="109" spans="1:37" x14ac:dyDescent="0.25">
      <c r="A109" s="100" t="s">
        <v>109</v>
      </c>
      <c r="B109" s="101">
        <v>50.017000000000003</v>
      </c>
      <c r="C109" s="101">
        <v>50.042999999999999</v>
      </c>
      <c r="D109" s="101">
        <v>49.9</v>
      </c>
      <c r="E109" s="101">
        <v>49.968000000000004</v>
      </c>
      <c r="F109" s="101">
        <v>50</v>
      </c>
      <c r="G109" s="101">
        <v>50.015000000000001</v>
      </c>
      <c r="H109" s="101">
        <v>49.998699999999999</v>
      </c>
      <c r="I109" s="101">
        <v>49.886000000000003</v>
      </c>
      <c r="J109" s="101">
        <v>49.98</v>
      </c>
      <c r="K109" s="101">
        <v>50.177</v>
      </c>
      <c r="L109" s="101">
        <v>49.973999999999997</v>
      </c>
      <c r="M109" s="101">
        <v>49.98</v>
      </c>
      <c r="N109" s="101">
        <v>49.936999999999998</v>
      </c>
      <c r="O109" s="101">
        <v>49.914000000000001</v>
      </c>
      <c r="P109" s="101">
        <v>50.097000000000001</v>
      </c>
      <c r="Q109" s="101">
        <v>50.076999999999998</v>
      </c>
      <c r="R109" s="101">
        <v>49.997999999999998</v>
      </c>
      <c r="S109" s="101">
        <v>49.822000000000003</v>
      </c>
      <c r="T109" s="101">
        <v>50.015999999999998</v>
      </c>
      <c r="U109" s="101">
        <v>49.99</v>
      </c>
      <c r="V109" s="101">
        <v>49.99</v>
      </c>
      <c r="W109" s="101">
        <v>50.091999999999999</v>
      </c>
      <c r="X109" s="101">
        <v>50</v>
      </c>
      <c r="Y109" s="101">
        <v>49.98</v>
      </c>
      <c r="Z109" s="101">
        <v>50.048000000000002</v>
      </c>
      <c r="AA109" s="101">
        <v>50.026000000000003</v>
      </c>
      <c r="AB109" s="101">
        <v>50.043999999999997</v>
      </c>
      <c r="AC109" s="101">
        <v>49.942</v>
      </c>
      <c r="AD109" s="101">
        <v>50.037999999999997</v>
      </c>
      <c r="AE109" s="101">
        <v>50.082999999999998</v>
      </c>
      <c r="AF109" s="101">
        <v>49.962000000000003</v>
      </c>
      <c r="AG109" s="102"/>
      <c r="AH109" s="47">
        <f t="shared" si="16"/>
        <v>50.177</v>
      </c>
      <c r="AI109" s="48">
        <f t="shared" si="17"/>
        <v>49.822000000000003</v>
      </c>
    </row>
    <row r="110" spans="1:37" x14ac:dyDescent="0.25">
      <c r="A110" s="103" t="s">
        <v>110</v>
      </c>
      <c r="B110" s="65">
        <v>133.1</v>
      </c>
      <c r="C110" s="65">
        <v>132.80000000000001</v>
      </c>
      <c r="D110" s="65">
        <v>132.80000000000001</v>
      </c>
      <c r="E110" s="65">
        <v>132.80000000000001</v>
      </c>
      <c r="F110" s="65">
        <v>132.80000000000001</v>
      </c>
      <c r="G110" s="65">
        <v>132</v>
      </c>
      <c r="H110" s="65">
        <v>130.9</v>
      </c>
      <c r="I110" s="65">
        <v>128.6</v>
      </c>
      <c r="J110" s="65">
        <v>128</v>
      </c>
      <c r="K110" s="65">
        <v>125.9</v>
      </c>
      <c r="L110" s="65">
        <v>125.9</v>
      </c>
      <c r="M110" s="65">
        <v>124.5</v>
      </c>
      <c r="N110" s="65">
        <v>123.3</v>
      </c>
      <c r="O110" s="65">
        <v>124</v>
      </c>
      <c r="P110" s="65">
        <v>127.5</v>
      </c>
      <c r="Q110" s="65">
        <v>125.9</v>
      </c>
      <c r="R110" s="65">
        <v>125.1</v>
      </c>
      <c r="S110" s="65">
        <v>125.3</v>
      </c>
      <c r="T110" s="65">
        <v>125</v>
      </c>
      <c r="U110" s="65">
        <v>125</v>
      </c>
      <c r="V110" s="65">
        <v>128.19999999999999</v>
      </c>
      <c r="W110" s="65">
        <v>127.9</v>
      </c>
      <c r="X110" s="65">
        <v>127</v>
      </c>
      <c r="Y110" s="65">
        <v>128</v>
      </c>
      <c r="Z110" s="65">
        <v>129</v>
      </c>
      <c r="AA110" s="65">
        <v>129</v>
      </c>
      <c r="AB110" s="65">
        <v>129.30000000000001</v>
      </c>
      <c r="AC110" s="65">
        <v>129</v>
      </c>
      <c r="AD110" s="65">
        <v>130</v>
      </c>
      <c r="AE110" s="65">
        <v>130.5</v>
      </c>
      <c r="AF110" s="65">
        <v>131.9</v>
      </c>
      <c r="AG110" s="104"/>
      <c r="AH110" s="47">
        <f t="shared" si="16"/>
        <v>133.1</v>
      </c>
      <c r="AI110" s="48">
        <f t="shared" si="17"/>
        <v>123.3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16"/>
        <v>0</v>
      </c>
      <c r="AI111" s="48">
        <f t="shared" si="17"/>
        <v>0</v>
      </c>
    </row>
    <row r="112" spans="1:37" x14ac:dyDescent="0.25">
      <c r="A112" s="103" t="s">
        <v>112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>
        <v>128</v>
      </c>
      <c r="Y112" s="65">
        <v>129</v>
      </c>
      <c r="Z112" s="65">
        <v>131</v>
      </c>
      <c r="AA112" s="65">
        <v>131</v>
      </c>
      <c r="AB112" s="65">
        <v>130.5</v>
      </c>
      <c r="AC112" s="65">
        <v>128.6</v>
      </c>
      <c r="AD112" s="65">
        <v>128.6</v>
      </c>
      <c r="AE112" s="65">
        <v>128.5</v>
      </c>
      <c r="AF112" s="65">
        <v>130.6</v>
      </c>
      <c r="AG112" s="104"/>
      <c r="AH112" s="47">
        <f t="shared" si="16"/>
        <v>131</v>
      </c>
      <c r="AI112" s="48">
        <f t="shared" si="17"/>
        <v>128</v>
      </c>
    </row>
    <row r="113" spans="1:35" x14ac:dyDescent="0.25">
      <c r="A113" s="105" t="s">
        <v>113</v>
      </c>
      <c r="B113" s="65">
        <v>132.9</v>
      </c>
      <c r="C113" s="65">
        <v>132.80000000000001</v>
      </c>
      <c r="D113" s="65">
        <v>134.30000000000001</v>
      </c>
      <c r="E113" s="65">
        <v>134.30000000000001</v>
      </c>
      <c r="F113" s="65">
        <v>134.30000000000001</v>
      </c>
      <c r="G113" s="65">
        <v>133</v>
      </c>
      <c r="H113" s="65">
        <v>130.6</v>
      </c>
      <c r="I113" s="65">
        <v>130.6</v>
      </c>
      <c r="J113" s="65">
        <v>127.9</v>
      </c>
      <c r="K113" s="65">
        <v>129</v>
      </c>
      <c r="L113" s="65">
        <v>125.7</v>
      </c>
      <c r="M113" s="65">
        <v>126.2</v>
      </c>
      <c r="N113" s="65">
        <v>129</v>
      </c>
      <c r="O113" s="65">
        <v>132.4</v>
      </c>
      <c r="P113" s="65">
        <v>130</v>
      </c>
      <c r="Q113" s="65">
        <v>132.4</v>
      </c>
      <c r="R113" s="65">
        <v>134.1</v>
      </c>
      <c r="S113" s="65">
        <v>129.5</v>
      </c>
      <c r="T113" s="65">
        <v>131.19999999999999</v>
      </c>
      <c r="U113" s="65">
        <v>131.19999999999999</v>
      </c>
      <c r="V113" s="65">
        <v>129.5</v>
      </c>
      <c r="W113" s="65">
        <v>127.5</v>
      </c>
      <c r="X113" s="65">
        <v>127.6</v>
      </c>
      <c r="Y113" s="65">
        <v>130</v>
      </c>
      <c r="Z113" s="65">
        <v>132</v>
      </c>
      <c r="AA113" s="65">
        <v>132</v>
      </c>
      <c r="AB113" s="65">
        <v>132.4</v>
      </c>
      <c r="AC113" s="65">
        <v>132.1</v>
      </c>
      <c r="AD113" s="65">
        <v>132.1</v>
      </c>
      <c r="AE113" s="65">
        <v>130.4</v>
      </c>
      <c r="AF113" s="65">
        <v>132.80000000000001</v>
      </c>
      <c r="AG113" s="104"/>
      <c r="AH113" s="47">
        <f t="shared" si="16"/>
        <v>134.30000000000001</v>
      </c>
      <c r="AI113" s="48">
        <f t="shared" si="17"/>
        <v>125.7</v>
      </c>
    </row>
    <row r="114" spans="1:35" x14ac:dyDescent="0.25">
      <c r="A114" s="105" t="s">
        <v>114</v>
      </c>
      <c r="B114" s="106">
        <v>136.5</v>
      </c>
      <c r="C114" s="106">
        <v>136.9</v>
      </c>
      <c r="D114" s="106">
        <v>137</v>
      </c>
      <c r="E114" s="106">
        <v>137</v>
      </c>
      <c r="F114" s="106">
        <v>137</v>
      </c>
      <c r="G114" s="106">
        <v>135</v>
      </c>
      <c r="H114" s="106">
        <v>134</v>
      </c>
      <c r="I114" s="106">
        <v>133.6</v>
      </c>
      <c r="J114" s="106">
        <v>134</v>
      </c>
      <c r="K114" s="106">
        <v>133</v>
      </c>
      <c r="L114" s="106">
        <v>133</v>
      </c>
      <c r="M114" s="106">
        <v>133.30000000000001</v>
      </c>
      <c r="N114" s="106">
        <v>131.4</v>
      </c>
      <c r="O114" s="106">
        <v>131.19999999999999</v>
      </c>
      <c r="P114" s="106">
        <v>134.5</v>
      </c>
      <c r="Q114" s="106">
        <v>134.5</v>
      </c>
      <c r="R114" s="106">
        <v>132.4</v>
      </c>
      <c r="S114" s="106">
        <v>131.9</v>
      </c>
      <c r="T114" s="106">
        <v>130.9</v>
      </c>
      <c r="U114" s="106">
        <v>130.9</v>
      </c>
      <c r="V114" s="106">
        <v>133.4</v>
      </c>
      <c r="W114" s="106">
        <v>136.19999999999999</v>
      </c>
      <c r="X114" s="106">
        <v>134</v>
      </c>
      <c r="Y114" s="106">
        <v>134.6</v>
      </c>
      <c r="Z114" s="106">
        <v>135</v>
      </c>
      <c r="AA114" s="106">
        <v>135</v>
      </c>
      <c r="AB114" s="106">
        <v>135.9</v>
      </c>
      <c r="AC114" s="106">
        <v>135.80000000000001</v>
      </c>
      <c r="AD114" s="106">
        <v>135.80000000000001</v>
      </c>
      <c r="AE114" s="106">
        <v>136.4</v>
      </c>
      <c r="AF114" s="106">
        <v>136.5</v>
      </c>
      <c r="AG114" s="107"/>
      <c r="AH114" s="47">
        <f t="shared" si="16"/>
        <v>137</v>
      </c>
      <c r="AI114" s="48">
        <f t="shared" si="17"/>
        <v>130.9</v>
      </c>
    </row>
    <row r="115" spans="1:35" x14ac:dyDescent="0.25">
      <c r="A115" s="103" t="s">
        <v>115</v>
      </c>
      <c r="B115" s="65">
        <v>135</v>
      </c>
      <c r="C115" s="65">
        <v>129.5</v>
      </c>
      <c r="D115" s="65">
        <v>128.5</v>
      </c>
      <c r="E115" s="65">
        <v>128.5</v>
      </c>
      <c r="F115" s="65">
        <v>128.5</v>
      </c>
      <c r="G115" s="65">
        <v>130</v>
      </c>
      <c r="H115" s="65">
        <v>127.5</v>
      </c>
      <c r="I115" s="65">
        <v>134</v>
      </c>
      <c r="J115" s="65">
        <v>128</v>
      </c>
      <c r="K115" s="65">
        <v>132</v>
      </c>
      <c r="L115" s="65">
        <v>126</v>
      </c>
      <c r="M115" s="65">
        <v>128.6</v>
      </c>
      <c r="N115" s="65">
        <v>129.19999999999999</v>
      </c>
      <c r="O115" s="65">
        <v>136</v>
      </c>
      <c r="P115" s="65">
        <v>130.6</v>
      </c>
      <c r="Q115" s="65">
        <v>130.1</v>
      </c>
      <c r="R115" s="65">
        <v>135</v>
      </c>
      <c r="S115" s="65">
        <v>130.80000000000001</v>
      </c>
      <c r="T115" s="65">
        <v>131</v>
      </c>
      <c r="U115" s="65">
        <v>131</v>
      </c>
      <c r="V115" s="65">
        <v>128.19999999999999</v>
      </c>
      <c r="W115" s="65">
        <v>125.6</v>
      </c>
      <c r="X115" s="65">
        <v>128</v>
      </c>
      <c r="Y115" s="65">
        <v>133.6</v>
      </c>
      <c r="Z115" s="65">
        <v>134</v>
      </c>
      <c r="AA115" s="65">
        <v>134</v>
      </c>
      <c r="AB115" s="65">
        <v>132.4</v>
      </c>
      <c r="AC115" s="65">
        <v>133.1</v>
      </c>
      <c r="AD115" s="65">
        <v>133.1</v>
      </c>
      <c r="AE115" s="65">
        <v>133.30000000000001</v>
      </c>
      <c r="AF115" s="65">
        <v>128.1</v>
      </c>
      <c r="AG115" s="104"/>
      <c r="AH115" s="47">
        <f t="shared" si="16"/>
        <v>136</v>
      </c>
      <c r="AI115" s="48">
        <f t="shared" si="17"/>
        <v>125.6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16"/>
        <v>0</v>
      </c>
      <c r="AI116" s="48">
        <f t="shared" si="1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6"/>
        <v>0</v>
      </c>
      <c r="AI117" s="48">
        <f t="shared" si="17"/>
        <v>0</v>
      </c>
    </row>
    <row r="118" spans="1:35" ht="15.75" thickBot="1" x14ac:dyDescent="0.3">
      <c r="A118" s="110" t="s">
        <v>118</v>
      </c>
      <c r="B118" s="111">
        <f t="shared" ref="B118:O118" si="52">SUM(B22,B28,B31:B32,B66,B68:B69,B71,B73,B119:B123,B155,B161,B167,B176,B178,B190,B197,B200:B201,B208,B210,B212,B216:B218,B220:B222,B227,B233:B234,B236:B238,B246,B251)</f>
        <v>66.540000000000006</v>
      </c>
      <c r="C118" s="111">
        <f t="shared" si="52"/>
        <v>59.740000000000009</v>
      </c>
      <c r="D118" s="111">
        <f t="shared" si="52"/>
        <v>57.44</v>
      </c>
      <c r="E118" s="111">
        <f t="shared" si="52"/>
        <v>60.94</v>
      </c>
      <c r="F118" s="111">
        <f t="shared" si="52"/>
        <v>63.539999999999992</v>
      </c>
      <c r="G118" s="111">
        <f t="shared" si="52"/>
        <v>66.140000000000015</v>
      </c>
      <c r="H118" s="111">
        <f t="shared" si="52"/>
        <v>77.540000000000006</v>
      </c>
      <c r="I118" s="111">
        <f t="shared" si="52"/>
        <v>91.25</v>
      </c>
      <c r="J118" s="111">
        <f t="shared" si="52"/>
        <v>119.94000000000001</v>
      </c>
      <c r="K118" s="111">
        <f t="shared" si="52"/>
        <v>138.94000000000003</v>
      </c>
      <c r="L118" s="111">
        <f t="shared" si="52"/>
        <v>297.33999999999997</v>
      </c>
      <c r="M118" s="111">
        <f t="shared" ref="M118" si="53">SUM(M22,M28,M31:M32,M66,M68:M69,M71,M73,M119:M123,M155,M161,M167,M176,M178,M190,M197,M200:M201,M208,M210,M212,M216:M218,M220:M222,M227,M233:M234,M236:M238,M246,M251)</f>
        <v>314.23999999999995</v>
      </c>
      <c r="N118" s="111">
        <f t="shared" si="52"/>
        <v>296.39499999999998</v>
      </c>
      <c r="O118" s="111">
        <f t="shared" si="52"/>
        <v>300.14</v>
      </c>
      <c r="P118" s="111">
        <v>42</v>
      </c>
      <c r="Q118" s="111">
        <f t="shared" ref="Q118:AF118" si="54">SUM(Q22,Q28,Q31:Q32,Q66,Q68:Q69,Q71,Q73,Q119:Q123,Q155,Q161,Q167,Q176,Q178,Q190,Q197,Q200:Q201,Q208,Q210,Q212,Q216:Q218,Q220:Q222,Q227,Q233:Q234,Q236:Q238,Q246,Q251)</f>
        <v>254.19</v>
      </c>
      <c r="R118" s="111">
        <f t="shared" si="54"/>
        <v>246.64</v>
      </c>
      <c r="S118" s="111">
        <f t="shared" si="54"/>
        <v>241.74</v>
      </c>
      <c r="T118" s="111">
        <f t="shared" si="54"/>
        <v>260.58999999999997</v>
      </c>
      <c r="U118" s="111">
        <f t="shared" ref="U118" si="55">SUM(U22,U28,U31:U32,U66,U68:U69,U71,U73,U119:U123,U155,U161,U167,U176,U178,U190,U197,U200:U201,U208,U210,U212,U216:U218,U220:U222,U227,U233:U234,U236:U238,U246,U251)</f>
        <v>215.04</v>
      </c>
      <c r="V118" s="111">
        <f t="shared" si="54"/>
        <v>265.83999999999997</v>
      </c>
      <c r="W118" s="111">
        <f t="shared" si="54"/>
        <v>312.67</v>
      </c>
      <c r="X118" s="111">
        <v>312.67</v>
      </c>
      <c r="Y118" s="111">
        <v>312.67</v>
      </c>
      <c r="Z118" s="111">
        <v>312.67</v>
      </c>
      <c r="AA118" s="111">
        <v>312.67</v>
      </c>
      <c r="AB118" s="111">
        <f t="shared" si="54"/>
        <v>296.08499999999998</v>
      </c>
      <c r="AC118" s="111">
        <f t="shared" si="54"/>
        <v>283.97899999999998</v>
      </c>
      <c r="AD118" s="111"/>
      <c r="AE118" s="111">
        <f t="shared" si="54"/>
        <v>195.99</v>
      </c>
      <c r="AF118" s="111">
        <f t="shared" si="54"/>
        <v>141.446</v>
      </c>
      <c r="AG118" s="112"/>
      <c r="AH118" s="47">
        <f t="shared" si="16"/>
        <v>314.23999999999995</v>
      </c>
      <c r="AI118" s="48">
        <f t="shared" si="17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16"/>
        <v>0</v>
      </c>
      <c r="AI119" s="48">
        <f t="shared" si="17"/>
        <v>0</v>
      </c>
    </row>
    <row r="120" spans="1:35" x14ac:dyDescent="0.25">
      <c r="A120" s="182" t="s">
        <v>120</v>
      </c>
      <c r="B120" s="115">
        <v>-8.8000000000000007</v>
      </c>
      <c r="C120" s="115">
        <v>-8.6</v>
      </c>
      <c r="D120" s="115">
        <v>-6.9</v>
      </c>
      <c r="E120" s="115">
        <v>5.0999999999999996</v>
      </c>
      <c r="F120" s="115">
        <v>18.5</v>
      </c>
      <c r="G120" s="115">
        <v>9.9</v>
      </c>
      <c r="H120" s="115">
        <v>-1.7</v>
      </c>
      <c r="I120" s="115">
        <v>6</v>
      </c>
      <c r="J120" s="115">
        <v>28</v>
      </c>
      <c r="K120" s="115">
        <v>31.8</v>
      </c>
      <c r="L120" s="115">
        <v>44.6</v>
      </c>
      <c r="M120" s="115">
        <v>49.7</v>
      </c>
      <c r="N120" s="115">
        <v>56.5</v>
      </c>
      <c r="O120" s="115">
        <v>55.1</v>
      </c>
      <c r="P120" s="115">
        <v>55.1</v>
      </c>
      <c r="Q120" s="115">
        <v>55.9</v>
      </c>
      <c r="R120" s="115">
        <v>45.9</v>
      </c>
      <c r="S120" s="115">
        <v>31.4</v>
      </c>
      <c r="T120" s="115">
        <v>32.1</v>
      </c>
      <c r="U120" s="115">
        <v>29</v>
      </c>
      <c r="V120" s="115">
        <v>40.5</v>
      </c>
      <c r="W120" s="115">
        <v>37.299999999999997</v>
      </c>
      <c r="X120" s="115">
        <v>48</v>
      </c>
      <c r="Y120" s="115">
        <v>42</v>
      </c>
      <c r="Z120" s="115">
        <v>42</v>
      </c>
      <c r="AA120" s="115">
        <v>40</v>
      </c>
      <c r="AB120" s="115">
        <v>41.3</v>
      </c>
      <c r="AC120" s="115">
        <v>41.9</v>
      </c>
      <c r="AD120" s="115">
        <v>41.2</v>
      </c>
      <c r="AE120" s="115">
        <v>6.6</v>
      </c>
      <c r="AF120" s="115">
        <v>12.8</v>
      </c>
      <c r="AG120" s="114">
        <v>240</v>
      </c>
      <c r="AH120" s="47">
        <f t="shared" si="16"/>
        <v>56.5</v>
      </c>
      <c r="AI120" s="48">
        <f t="shared" si="17"/>
        <v>-8.8000000000000007</v>
      </c>
    </row>
    <row r="121" spans="1:35" x14ac:dyDescent="0.25">
      <c r="A121" s="182" t="s">
        <v>121</v>
      </c>
      <c r="B121" s="115">
        <v>-38</v>
      </c>
      <c r="C121" s="115">
        <v>-45</v>
      </c>
      <c r="D121" s="115">
        <v>-49</v>
      </c>
      <c r="E121" s="115">
        <v>-56.8</v>
      </c>
      <c r="F121" s="115">
        <v>-67.599999999999994</v>
      </c>
      <c r="G121" s="115">
        <v>-56.4</v>
      </c>
      <c r="H121" s="115">
        <v>-37</v>
      </c>
      <c r="I121" s="115">
        <v>-29.5</v>
      </c>
      <c r="J121" s="115">
        <v>-22.8</v>
      </c>
      <c r="K121" s="115">
        <v>-7.6</v>
      </c>
      <c r="L121" s="115">
        <v>-3.5</v>
      </c>
      <c r="M121" s="115">
        <f>1.7</f>
        <v>1.7</v>
      </c>
      <c r="N121" s="115">
        <v>-14</v>
      </c>
      <c r="O121" s="115">
        <v>-17.399999999999999</v>
      </c>
      <c r="P121" s="115">
        <v>-17.399999999999999</v>
      </c>
      <c r="Q121" s="115">
        <v>-22.5</v>
      </c>
      <c r="R121" s="115">
        <v>-25</v>
      </c>
      <c r="S121" s="115">
        <f>-7.6-8.1</f>
        <v>-15.7</v>
      </c>
      <c r="T121" s="115">
        <f>-4.3-5.4</f>
        <v>-9.6999999999999993</v>
      </c>
      <c r="U121" s="115">
        <v>-14</v>
      </c>
      <c r="V121" s="115">
        <v>-2</v>
      </c>
      <c r="W121" s="115">
        <v>18</v>
      </c>
      <c r="X121" s="115">
        <v>-30</v>
      </c>
      <c r="Y121" s="115">
        <v>40</v>
      </c>
      <c r="Z121" s="115">
        <v>40</v>
      </c>
      <c r="AA121" s="115">
        <v>33</v>
      </c>
      <c r="AB121" s="115">
        <v>4</v>
      </c>
      <c r="AC121" s="115">
        <v>-6</v>
      </c>
      <c r="AD121" s="115">
        <v>-18.899999999999999</v>
      </c>
      <c r="AE121" s="115">
        <v>-20</v>
      </c>
      <c r="AF121" s="115">
        <v>-42</v>
      </c>
      <c r="AG121" s="114">
        <v>240</v>
      </c>
      <c r="AH121" s="47">
        <f t="shared" si="16"/>
        <v>40</v>
      </c>
      <c r="AI121" s="48">
        <f t="shared" si="17"/>
        <v>-67.599999999999994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16"/>
        <v>0</v>
      </c>
      <c r="AI122" s="48">
        <f t="shared" si="17"/>
        <v>0</v>
      </c>
    </row>
    <row r="123" spans="1:35" x14ac:dyDescent="0.25">
      <c r="A123" s="181" t="s">
        <v>267</v>
      </c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>
        <v>142</v>
      </c>
      <c r="M123" s="117">
        <v>149</v>
      </c>
      <c r="N123" s="117">
        <f>82.7*1.65</f>
        <v>136.45499999999998</v>
      </c>
      <c r="O123" s="117">
        <f>84*1.65</f>
        <v>138.6</v>
      </c>
      <c r="P123" s="117">
        <f t="shared" ref="P123" si="56">84*1.65</f>
        <v>138.6</v>
      </c>
      <c r="Q123" s="117">
        <f>55*1.65</f>
        <v>90.75</v>
      </c>
      <c r="R123" s="117">
        <f>60*1.65</f>
        <v>99</v>
      </c>
      <c r="S123" s="117">
        <f>66.2*1.5</f>
        <v>99.300000000000011</v>
      </c>
      <c r="T123" s="117">
        <f>73*1.55</f>
        <v>113.15</v>
      </c>
      <c r="U123" s="117">
        <v>75</v>
      </c>
      <c r="V123" s="117">
        <v>102</v>
      </c>
      <c r="W123" s="117">
        <f>1.63*81</f>
        <v>132.03</v>
      </c>
      <c r="X123" s="117">
        <v>145</v>
      </c>
      <c r="Y123" s="117">
        <v>135</v>
      </c>
      <c r="Z123" s="117">
        <v>110</v>
      </c>
      <c r="AA123" s="117">
        <v>110</v>
      </c>
      <c r="AB123" s="117">
        <f>83.5*1.67</f>
        <v>139.44499999999999</v>
      </c>
      <c r="AC123" s="117">
        <f>81.7*1.67</f>
        <v>136.43899999999999</v>
      </c>
      <c r="AD123" s="117">
        <f>64.6*1.67</f>
        <v>107.88199999999999</v>
      </c>
      <c r="AE123" s="117">
        <f>55*1.67</f>
        <v>91.85</v>
      </c>
      <c r="AF123" s="117">
        <f>31.8*1.67</f>
        <v>53.106000000000002</v>
      </c>
      <c r="AG123" s="118">
        <v>120</v>
      </c>
      <c r="AH123" s="47">
        <f t="shared" si="16"/>
        <v>149</v>
      </c>
      <c r="AI123" s="48">
        <f t="shared" si="17"/>
        <v>53.106000000000002</v>
      </c>
    </row>
    <row r="124" spans="1:35" x14ac:dyDescent="0.25">
      <c r="A124" s="182" t="s">
        <v>266</v>
      </c>
      <c r="B124" s="117">
        <v>56</v>
      </c>
      <c r="C124" s="117">
        <v>58</v>
      </c>
      <c r="D124" s="117">
        <v>54</v>
      </c>
      <c r="E124" s="117">
        <v>46.2</v>
      </c>
      <c r="F124" s="117">
        <v>42.7</v>
      </c>
      <c r="G124" s="117">
        <v>53.7</v>
      </c>
      <c r="H124" s="117">
        <v>67.8</v>
      </c>
      <c r="I124" s="117">
        <v>77.3</v>
      </c>
      <c r="J124" s="117">
        <v>74.900000000000006</v>
      </c>
      <c r="K124" s="117">
        <v>90.2</v>
      </c>
      <c r="L124" s="117">
        <v>98.9</v>
      </c>
      <c r="M124" s="117">
        <v>98.9</v>
      </c>
      <c r="N124" s="117">
        <v>95.3</v>
      </c>
      <c r="O124" s="117">
        <v>97</v>
      </c>
      <c r="P124" s="117">
        <v>97</v>
      </c>
      <c r="Q124" s="117">
        <v>75</v>
      </c>
      <c r="R124" s="117">
        <v>77</v>
      </c>
      <c r="S124" s="117">
        <v>83.3</v>
      </c>
      <c r="T124" s="117">
        <v>87.9</v>
      </c>
      <c r="U124" s="117">
        <v>84</v>
      </c>
      <c r="V124" s="117">
        <v>81.400000000000006</v>
      </c>
      <c r="W124" s="117">
        <v>97.4</v>
      </c>
      <c r="X124" s="117">
        <v>100</v>
      </c>
      <c r="Y124" s="117">
        <v>101</v>
      </c>
      <c r="Z124" s="117">
        <v>97</v>
      </c>
      <c r="AA124" s="117">
        <v>97</v>
      </c>
      <c r="AB124" s="117">
        <v>98.5</v>
      </c>
      <c r="AC124" s="117">
        <v>97.2</v>
      </c>
      <c r="AD124" s="117">
        <v>84.1</v>
      </c>
      <c r="AE124" s="117">
        <v>76.599999999999994</v>
      </c>
      <c r="AF124" s="117">
        <v>57.5</v>
      </c>
      <c r="AG124" s="118"/>
      <c r="AH124" s="47"/>
      <c r="AI124" s="48"/>
    </row>
    <row r="125" spans="1:35" x14ac:dyDescent="0.25">
      <c r="A125" s="182" t="s">
        <v>263</v>
      </c>
      <c r="B125" s="117">
        <v>-38</v>
      </c>
      <c r="C125" s="117">
        <v>-43</v>
      </c>
      <c r="D125" s="117">
        <v>-40</v>
      </c>
      <c r="E125" s="117">
        <v>29</v>
      </c>
      <c r="F125" s="117">
        <v>17.8</v>
      </c>
      <c r="G125" s="117">
        <v>25.3</v>
      </c>
      <c r="H125" s="117">
        <v>32.299999999999997</v>
      </c>
      <c r="I125" s="117">
        <v>24.9</v>
      </c>
      <c r="J125" s="117">
        <v>-0.5</v>
      </c>
      <c r="K125" s="117">
        <v>-12</v>
      </c>
      <c r="L125" s="117">
        <v>-25.3</v>
      </c>
      <c r="M125" s="117">
        <v>-23.9</v>
      </c>
      <c r="N125" s="117">
        <v>-20.100000000000001</v>
      </c>
      <c r="O125" s="117">
        <v>-11</v>
      </c>
      <c r="P125" s="117">
        <v>-11</v>
      </c>
      <c r="Q125" s="117">
        <v>-20</v>
      </c>
      <c r="R125" s="117">
        <v>-5</v>
      </c>
      <c r="S125" s="117">
        <v>7.3</v>
      </c>
      <c r="T125" s="117">
        <v>6.5</v>
      </c>
      <c r="U125" s="117">
        <v>6.5</v>
      </c>
      <c r="V125" s="117">
        <v>-22</v>
      </c>
      <c r="W125" s="117">
        <v>-18.5</v>
      </c>
      <c r="X125" s="117">
        <v>-47</v>
      </c>
      <c r="Y125" s="117">
        <v>-42</v>
      </c>
      <c r="Z125" s="117">
        <v>-44</v>
      </c>
      <c r="AA125" s="117">
        <v>-37</v>
      </c>
      <c r="AB125" s="117">
        <v>-30.3</v>
      </c>
      <c r="AC125" s="117">
        <v>-23.6</v>
      </c>
      <c r="AD125" s="117">
        <v>-17.7</v>
      </c>
      <c r="AE125" s="117">
        <v>18.2</v>
      </c>
      <c r="AF125" s="117">
        <v>18.3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51</v>
      </c>
      <c r="C126" s="117">
        <v>56</v>
      </c>
      <c r="D126" s="117">
        <v>51</v>
      </c>
      <c r="E126" s="117">
        <v>41.1</v>
      </c>
      <c r="F126" s="117">
        <v>35.6</v>
      </c>
      <c r="G126" s="117">
        <v>51.6</v>
      </c>
      <c r="H126" s="117">
        <v>68.7</v>
      </c>
      <c r="I126" s="117">
        <v>82</v>
      </c>
      <c r="J126" s="117">
        <v>75.5</v>
      </c>
      <c r="K126" s="117">
        <v>94.7</v>
      </c>
      <c r="L126" s="117">
        <v>88.1</v>
      </c>
      <c r="M126" s="117">
        <v>89.9</v>
      </c>
      <c r="N126" s="117">
        <v>81</v>
      </c>
      <c r="O126" s="117">
        <v>88</v>
      </c>
      <c r="P126" s="117">
        <v>88</v>
      </c>
      <c r="Q126" s="117">
        <v>78</v>
      </c>
      <c r="R126" s="117">
        <v>88</v>
      </c>
      <c r="S126" s="117">
        <v>95.3</v>
      </c>
      <c r="T126" s="117">
        <v>100.1</v>
      </c>
      <c r="U126" s="117">
        <v>100.1</v>
      </c>
      <c r="V126" s="117">
        <v>82</v>
      </c>
      <c r="W126" s="117">
        <v>88.5</v>
      </c>
      <c r="X126" s="117">
        <v>80</v>
      </c>
      <c r="Y126" s="117">
        <v>91</v>
      </c>
      <c r="Z126" s="117">
        <v>83</v>
      </c>
      <c r="AA126" s="117">
        <v>87</v>
      </c>
      <c r="AB126" s="117">
        <v>83.5</v>
      </c>
      <c r="AC126" s="117">
        <v>83.5</v>
      </c>
      <c r="AD126" s="117">
        <v>72.099999999999994</v>
      </c>
      <c r="AE126" s="117">
        <v>70.599999999999994</v>
      </c>
      <c r="AF126" s="117">
        <v>52.1</v>
      </c>
      <c r="AG126" s="114"/>
      <c r="AH126" s="47">
        <f t="shared" si="16"/>
        <v>100.1</v>
      </c>
      <c r="AI126" s="48">
        <f t="shared" si="17"/>
        <v>35.6</v>
      </c>
    </row>
    <row r="127" spans="1:35" x14ac:dyDescent="0.25">
      <c r="A127" s="181" t="s">
        <v>264</v>
      </c>
      <c r="B127" s="117">
        <v>14</v>
      </c>
      <c r="C127" s="117">
        <v>13</v>
      </c>
      <c r="D127" s="117">
        <v>9</v>
      </c>
      <c r="E127" s="117">
        <v>8.8000000000000007</v>
      </c>
      <c r="F127" s="117">
        <v>5</v>
      </c>
      <c r="G127" s="117">
        <v>8.6</v>
      </c>
      <c r="H127" s="117">
        <v>20</v>
      </c>
      <c r="I127" s="117">
        <v>17.600000000000001</v>
      </c>
      <c r="J127" s="117">
        <v>-2.1</v>
      </c>
      <c r="K127" s="117">
        <v>-2.5</v>
      </c>
      <c r="L127" s="117">
        <v>-7</v>
      </c>
      <c r="M127" s="117">
        <v>-16.399999999999999</v>
      </c>
      <c r="N127" s="117">
        <v>-19</v>
      </c>
      <c r="O127" s="117">
        <v>-12</v>
      </c>
      <c r="P127" s="117">
        <v>-12</v>
      </c>
      <c r="Q127" s="117">
        <v>-18</v>
      </c>
      <c r="R127" s="117">
        <v>-13</v>
      </c>
      <c r="S127" s="117">
        <v>-3.4</v>
      </c>
      <c r="T127" s="117">
        <v>1.2</v>
      </c>
      <c r="U127" s="117">
        <v>1.2</v>
      </c>
      <c r="V127" s="117">
        <v>5.3</v>
      </c>
      <c r="W127" s="117">
        <v>5.4</v>
      </c>
      <c r="X127" s="117">
        <v>0</v>
      </c>
      <c r="Y127" s="117">
        <v>8</v>
      </c>
      <c r="Z127" s="117">
        <v>9</v>
      </c>
      <c r="AA127" s="117">
        <v>8</v>
      </c>
      <c r="AB127" s="117">
        <v>4.7</v>
      </c>
      <c r="AC127" s="117">
        <v>1.3</v>
      </c>
      <c r="AD127" s="117">
        <v>0</v>
      </c>
      <c r="AE127" s="117">
        <v>14.8</v>
      </c>
      <c r="AF127" s="106">
        <v>4.7</v>
      </c>
      <c r="AG127" s="114"/>
      <c r="AH127" s="47">
        <f t="shared" si="16"/>
        <v>20</v>
      </c>
      <c r="AI127" s="48">
        <f t="shared" si="17"/>
        <v>-19</v>
      </c>
    </row>
    <row r="128" spans="1:35" x14ac:dyDescent="0.25">
      <c r="A128" s="182" t="s">
        <v>126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>
        <v>-42.7</v>
      </c>
      <c r="X128" s="106">
        <v>49</v>
      </c>
      <c r="Y128" s="106">
        <v>-39</v>
      </c>
      <c r="Z128" s="106">
        <v>-35</v>
      </c>
      <c r="AA128" s="106">
        <v>-27</v>
      </c>
      <c r="AB128" s="106">
        <v>-24.5</v>
      </c>
      <c r="AC128" s="106">
        <v>-20.8</v>
      </c>
      <c r="AD128" s="106">
        <v>-9.9</v>
      </c>
      <c r="AE128" s="106">
        <v>-2.5</v>
      </c>
      <c r="AF128" s="106">
        <v>0.4</v>
      </c>
      <c r="AG128" s="114"/>
      <c r="AH128" s="47">
        <f t="shared" si="16"/>
        <v>49</v>
      </c>
      <c r="AI128" s="48">
        <f t="shared" si="17"/>
        <v>-42.7</v>
      </c>
    </row>
    <row r="129" spans="1:37" x14ac:dyDescent="0.25">
      <c r="A129" s="182" t="s">
        <v>268</v>
      </c>
      <c r="B129" s="106">
        <v>8</v>
      </c>
      <c r="C129" s="106">
        <v>13.2</v>
      </c>
      <c r="D129" s="106">
        <v>17</v>
      </c>
      <c r="E129" s="106">
        <v>21.9</v>
      </c>
      <c r="F129" s="106">
        <v>28.8</v>
      </c>
      <c r="G129" s="106">
        <v>19.399999999999999</v>
      </c>
      <c r="H129" s="106">
        <v>3.4</v>
      </c>
      <c r="I129" s="106">
        <v>-1</v>
      </c>
      <c r="J129" s="106">
        <v>3.9</v>
      </c>
      <c r="K129" s="106">
        <v>-2.7</v>
      </c>
      <c r="L129" s="106">
        <v>-2</v>
      </c>
      <c r="M129" s="106">
        <v>0</v>
      </c>
      <c r="N129" s="106">
        <v>12</v>
      </c>
      <c r="O129" s="106">
        <v>5.0999999999999996</v>
      </c>
      <c r="P129" s="106">
        <v>5.0999999999999996</v>
      </c>
      <c r="Q129" s="106">
        <v>20</v>
      </c>
      <c r="R129" s="106">
        <v>17</v>
      </c>
      <c r="S129" s="106">
        <v>7.5</v>
      </c>
      <c r="T129" s="106">
        <v>0.7</v>
      </c>
      <c r="U129" s="106">
        <v>0.7</v>
      </c>
      <c r="V129" s="106">
        <v>18.7</v>
      </c>
      <c r="W129" s="106">
        <v>0</v>
      </c>
      <c r="X129" s="106">
        <v>5</v>
      </c>
      <c r="Y129" s="106">
        <v>-8</v>
      </c>
      <c r="Z129" s="106">
        <v>-4.5</v>
      </c>
      <c r="AA129" s="106">
        <v>-8</v>
      </c>
      <c r="AB129" s="106">
        <v>-10.6</v>
      </c>
      <c r="AC129" s="106">
        <v>1.4</v>
      </c>
      <c r="AD129" s="106">
        <v>8.6999999999999993</v>
      </c>
      <c r="AE129" s="106">
        <v>4.3</v>
      </c>
      <c r="AF129" s="106">
        <v>20.7</v>
      </c>
      <c r="AG129" s="114"/>
      <c r="AH129" s="47">
        <f t="shared" si="16"/>
        <v>28.8</v>
      </c>
      <c r="AI129" s="48">
        <f t="shared" si="17"/>
        <v>-10.6</v>
      </c>
    </row>
    <row r="130" spans="1:37" ht="15.75" thickBot="1" x14ac:dyDescent="0.3">
      <c r="A130" s="182" t="s">
        <v>265</v>
      </c>
      <c r="B130" s="106">
        <v>70</v>
      </c>
      <c r="C130" s="106">
        <v>71</v>
      </c>
      <c r="D130" s="106">
        <v>62.3</v>
      </c>
      <c r="E130" s="106">
        <v>67.400000000000006</v>
      </c>
      <c r="F130" s="106">
        <v>51.4</v>
      </c>
      <c r="G130" s="106">
        <v>70.5</v>
      </c>
      <c r="H130" s="106">
        <v>78</v>
      </c>
      <c r="I130" s="106">
        <v>84.1</v>
      </c>
      <c r="J130" s="106">
        <v>92.7</v>
      </c>
      <c r="K130" s="106">
        <v>96.8</v>
      </c>
      <c r="L130" s="106">
        <v>106</v>
      </c>
      <c r="M130" s="106">
        <v>108.8</v>
      </c>
      <c r="N130" s="106">
        <v>91.2</v>
      </c>
      <c r="O130" s="106">
        <v>86.4</v>
      </c>
      <c r="P130" s="106">
        <v>86.4</v>
      </c>
      <c r="Q130" s="106">
        <v>95</v>
      </c>
      <c r="R130" s="106">
        <v>90</v>
      </c>
      <c r="S130" s="106">
        <v>94.1</v>
      </c>
      <c r="T130" s="106">
        <v>93.7</v>
      </c>
      <c r="U130" s="106">
        <v>93.7</v>
      </c>
      <c r="V130" s="106">
        <v>97.6</v>
      </c>
      <c r="W130" s="106">
        <v>115.7</v>
      </c>
      <c r="X130" s="106">
        <v>114</v>
      </c>
      <c r="Y130" s="106">
        <v>114.5</v>
      </c>
      <c r="Z130" s="106">
        <v>111</v>
      </c>
      <c r="AA130" s="106">
        <v>112</v>
      </c>
      <c r="AB130" s="106">
        <v>112.3</v>
      </c>
      <c r="AC130" s="106">
        <v>108.6</v>
      </c>
      <c r="AD130" s="106">
        <v>97</v>
      </c>
      <c r="AE130" s="106">
        <v>75.8</v>
      </c>
      <c r="AF130" s="106">
        <v>64.599999999999994</v>
      </c>
      <c r="AG130" s="114"/>
      <c r="AH130" s="47">
        <f t="shared" si="16"/>
        <v>115.7</v>
      </c>
      <c r="AI130" s="48">
        <f t="shared" si="17"/>
        <v>51.4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376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243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244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x14ac:dyDescent="0.25">
      <c r="A135" s="199" t="s">
        <v>245</v>
      </c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6"/>
      <c r="AG135" s="153"/>
      <c r="AH135" s="47"/>
      <c r="AI135" s="48"/>
    </row>
    <row r="136" spans="1:37" x14ac:dyDescent="0.25">
      <c r="A136" s="199" t="s">
        <v>415</v>
      </c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6"/>
      <c r="AG136" s="153"/>
      <c r="AH136" s="47"/>
      <c r="AI136" s="48"/>
    </row>
    <row r="137" spans="1:37" ht="15.75" thickBot="1" x14ac:dyDescent="0.3">
      <c r="A137" s="199" t="s">
        <v>246</v>
      </c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9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57">SUM(B139:B243)</f>
        <v>0</v>
      </c>
      <c r="C244" s="137">
        <f t="shared" si="57"/>
        <v>0</v>
      </c>
      <c r="D244" s="137">
        <f t="shared" si="57"/>
        <v>0</v>
      </c>
      <c r="E244" s="137">
        <f t="shared" si="57"/>
        <v>0</v>
      </c>
      <c r="F244" s="137">
        <f t="shared" si="57"/>
        <v>0</v>
      </c>
      <c r="G244" s="137">
        <f t="shared" si="57"/>
        <v>0</v>
      </c>
      <c r="H244" s="137">
        <f t="shared" si="57"/>
        <v>0</v>
      </c>
      <c r="I244" s="137">
        <f t="shared" si="57"/>
        <v>0</v>
      </c>
      <c r="J244" s="137">
        <f t="shared" si="57"/>
        <v>0</v>
      </c>
      <c r="K244" s="137">
        <f t="shared" si="57"/>
        <v>0</v>
      </c>
      <c r="L244" s="137">
        <f t="shared" si="57"/>
        <v>0</v>
      </c>
      <c r="M244" s="137">
        <f t="shared" si="57"/>
        <v>0</v>
      </c>
      <c r="N244" s="137">
        <f t="shared" si="57"/>
        <v>0</v>
      </c>
      <c r="O244" s="137">
        <f t="shared" si="57"/>
        <v>0</v>
      </c>
      <c r="P244" s="137">
        <f t="shared" si="57"/>
        <v>0</v>
      </c>
      <c r="Q244" s="137">
        <f t="shared" si="57"/>
        <v>0</v>
      </c>
      <c r="R244" s="137">
        <f t="shared" si="57"/>
        <v>0</v>
      </c>
      <c r="S244" s="137">
        <f t="shared" si="57"/>
        <v>0</v>
      </c>
      <c r="T244" s="137">
        <f t="shared" si="57"/>
        <v>0</v>
      </c>
      <c r="U244" s="137">
        <f t="shared" si="57"/>
        <v>0</v>
      </c>
      <c r="V244" s="137">
        <f t="shared" si="57"/>
        <v>0</v>
      </c>
      <c r="W244" s="137">
        <f t="shared" si="57"/>
        <v>0</v>
      </c>
      <c r="X244" s="137">
        <f t="shared" si="57"/>
        <v>0</v>
      </c>
      <c r="Y244" s="137">
        <f t="shared" si="57"/>
        <v>0</v>
      </c>
      <c r="Z244" s="137">
        <f t="shared" si="57"/>
        <v>0</v>
      </c>
      <c r="AA244" s="137">
        <f t="shared" si="57"/>
        <v>0</v>
      </c>
      <c r="AB244" s="137">
        <f t="shared" si="57"/>
        <v>0</v>
      </c>
      <c r="AC244" s="137">
        <f t="shared" si="57"/>
        <v>0</v>
      </c>
      <c r="AD244" s="137">
        <f t="shared" si="57"/>
        <v>0</v>
      </c>
      <c r="AE244" s="137">
        <f t="shared" si="57"/>
        <v>0</v>
      </c>
      <c r="AF244" s="138">
        <f t="shared" si="57"/>
        <v>0</v>
      </c>
      <c r="AG244" s="139">
        <f t="shared" si="5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58">AF246</f>
        <v>0.3</v>
      </c>
      <c r="C246" s="141">
        <v>0.3</v>
      </c>
      <c r="D246" s="141">
        <f t="shared" ref="D246:S251" si="59">C246</f>
        <v>0.3</v>
      </c>
      <c r="E246" s="141">
        <f t="shared" si="59"/>
        <v>0.3</v>
      </c>
      <c r="F246" s="141">
        <f t="shared" si="59"/>
        <v>0.3</v>
      </c>
      <c r="G246" s="141">
        <f t="shared" si="59"/>
        <v>0.3</v>
      </c>
      <c r="H246" s="141">
        <f t="shared" si="59"/>
        <v>0.3</v>
      </c>
      <c r="I246" s="141">
        <f t="shared" si="59"/>
        <v>0.3</v>
      </c>
      <c r="J246" s="141">
        <f t="shared" si="59"/>
        <v>0.3</v>
      </c>
      <c r="K246" s="141">
        <f t="shared" si="59"/>
        <v>0.3</v>
      </c>
      <c r="L246" s="141">
        <f t="shared" si="59"/>
        <v>0.3</v>
      </c>
      <c r="M246" s="141">
        <f t="shared" si="59"/>
        <v>0.3</v>
      </c>
      <c r="N246" s="141">
        <f t="shared" si="59"/>
        <v>0.3</v>
      </c>
      <c r="O246" s="141">
        <f t="shared" si="59"/>
        <v>0.3</v>
      </c>
      <c r="P246" s="141">
        <f t="shared" si="59"/>
        <v>0.3</v>
      </c>
      <c r="Q246" s="141">
        <f t="shared" si="59"/>
        <v>0.3</v>
      </c>
      <c r="R246" s="141">
        <f t="shared" si="59"/>
        <v>0.3</v>
      </c>
      <c r="S246" s="141">
        <f t="shared" si="59"/>
        <v>0.3</v>
      </c>
      <c r="T246" s="141">
        <f t="shared" ref="T246:AF251" si="60">S246</f>
        <v>0.3</v>
      </c>
      <c r="U246" s="141">
        <f t="shared" si="60"/>
        <v>0.3</v>
      </c>
      <c r="V246" s="141">
        <f t="shared" si="60"/>
        <v>0.3</v>
      </c>
      <c r="W246" s="141">
        <f t="shared" si="60"/>
        <v>0.3</v>
      </c>
      <c r="X246" s="141">
        <f t="shared" si="60"/>
        <v>0.3</v>
      </c>
      <c r="Y246" s="141">
        <f t="shared" si="60"/>
        <v>0.3</v>
      </c>
      <c r="Z246" s="141">
        <f t="shared" si="60"/>
        <v>0.3</v>
      </c>
      <c r="AA246" s="141">
        <f t="shared" si="60"/>
        <v>0.3</v>
      </c>
      <c r="AB246" s="141">
        <f t="shared" si="60"/>
        <v>0.3</v>
      </c>
      <c r="AC246" s="141">
        <f t="shared" si="60"/>
        <v>0.3</v>
      </c>
      <c r="AD246" s="141">
        <f t="shared" si="60"/>
        <v>0.3</v>
      </c>
      <c r="AE246" s="141">
        <f t="shared" si="60"/>
        <v>0.3</v>
      </c>
      <c r="AF246" s="141">
        <f t="shared" si="60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58"/>
        <v>0.4</v>
      </c>
      <c r="C247" s="129">
        <v>0.4</v>
      </c>
      <c r="D247" s="129">
        <f t="shared" si="59"/>
        <v>0.4</v>
      </c>
      <c r="E247" s="129">
        <f t="shared" si="59"/>
        <v>0.4</v>
      </c>
      <c r="F247" s="129">
        <f t="shared" si="59"/>
        <v>0.4</v>
      </c>
      <c r="G247" s="129">
        <f t="shared" si="59"/>
        <v>0.4</v>
      </c>
      <c r="H247" s="129">
        <f t="shared" si="59"/>
        <v>0.4</v>
      </c>
      <c r="I247" s="129">
        <f t="shared" si="59"/>
        <v>0.4</v>
      </c>
      <c r="J247" s="129">
        <f t="shared" si="59"/>
        <v>0.4</v>
      </c>
      <c r="K247" s="129">
        <f t="shared" si="59"/>
        <v>0.4</v>
      </c>
      <c r="L247" s="129">
        <f t="shared" si="59"/>
        <v>0.4</v>
      </c>
      <c r="M247" s="129">
        <f t="shared" si="59"/>
        <v>0.4</v>
      </c>
      <c r="N247" s="129">
        <f t="shared" si="59"/>
        <v>0.4</v>
      </c>
      <c r="O247" s="129">
        <f t="shared" si="59"/>
        <v>0.4</v>
      </c>
      <c r="P247" s="129">
        <f t="shared" si="59"/>
        <v>0.4</v>
      </c>
      <c r="Q247" s="129">
        <f t="shared" si="59"/>
        <v>0.4</v>
      </c>
      <c r="R247" s="129">
        <f t="shared" si="59"/>
        <v>0.4</v>
      </c>
      <c r="S247" s="129">
        <f t="shared" si="59"/>
        <v>0.4</v>
      </c>
      <c r="T247" s="129">
        <f t="shared" si="60"/>
        <v>0.4</v>
      </c>
      <c r="U247" s="129">
        <f t="shared" si="60"/>
        <v>0.4</v>
      </c>
      <c r="V247" s="129">
        <f t="shared" si="60"/>
        <v>0.4</v>
      </c>
      <c r="W247" s="129">
        <f t="shared" si="60"/>
        <v>0.4</v>
      </c>
      <c r="X247" s="129">
        <f t="shared" si="60"/>
        <v>0.4</v>
      </c>
      <c r="Y247" s="129">
        <f t="shared" si="60"/>
        <v>0.4</v>
      </c>
      <c r="Z247" s="129">
        <f t="shared" si="60"/>
        <v>0.4</v>
      </c>
      <c r="AA247" s="129">
        <f t="shared" si="60"/>
        <v>0.4</v>
      </c>
      <c r="AB247" s="129">
        <f t="shared" si="60"/>
        <v>0.4</v>
      </c>
      <c r="AC247" s="129">
        <f t="shared" si="60"/>
        <v>0.4</v>
      </c>
      <c r="AD247" s="129">
        <f t="shared" si="60"/>
        <v>0.4</v>
      </c>
      <c r="AE247" s="129">
        <f t="shared" si="60"/>
        <v>0.4</v>
      </c>
      <c r="AF247" s="129">
        <f t="shared" si="60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58"/>
        <v>1.5</v>
      </c>
      <c r="C248" s="129">
        <v>1.5</v>
      </c>
      <c r="D248" s="129">
        <f t="shared" si="59"/>
        <v>1.5</v>
      </c>
      <c r="E248" s="129">
        <f t="shared" si="59"/>
        <v>1.5</v>
      </c>
      <c r="F248" s="129">
        <f t="shared" si="59"/>
        <v>1.5</v>
      </c>
      <c r="G248" s="129">
        <f t="shared" si="59"/>
        <v>1.5</v>
      </c>
      <c r="H248" s="129">
        <f t="shared" si="59"/>
        <v>1.5</v>
      </c>
      <c r="I248" s="129">
        <f t="shared" si="59"/>
        <v>1.5</v>
      </c>
      <c r="J248" s="129">
        <f t="shared" si="59"/>
        <v>1.5</v>
      </c>
      <c r="K248" s="129">
        <f t="shared" si="59"/>
        <v>1.5</v>
      </c>
      <c r="L248" s="129">
        <f t="shared" si="59"/>
        <v>1.5</v>
      </c>
      <c r="M248" s="129">
        <f t="shared" si="59"/>
        <v>1.5</v>
      </c>
      <c r="N248" s="129">
        <f t="shared" si="59"/>
        <v>1.5</v>
      </c>
      <c r="O248" s="129">
        <f t="shared" si="59"/>
        <v>1.5</v>
      </c>
      <c r="P248" s="129">
        <f t="shared" si="59"/>
        <v>1.5</v>
      </c>
      <c r="Q248" s="129">
        <f t="shared" si="59"/>
        <v>1.5</v>
      </c>
      <c r="R248" s="129">
        <f t="shared" si="59"/>
        <v>1.5</v>
      </c>
      <c r="S248" s="129">
        <f t="shared" si="59"/>
        <v>1.5</v>
      </c>
      <c r="T248" s="129">
        <f t="shared" si="60"/>
        <v>1.5</v>
      </c>
      <c r="U248" s="129">
        <f t="shared" si="60"/>
        <v>1.5</v>
      </c>
      <c r="V248" s="129">
        <f t="shared" si="60"/>
        <v>1.5</v>
      </c>
      <c r="W248" s="129">
        <f t="shared" si="60"/>
        <v>1.5</v>
      </c>
      <c r="X248" s="129">
        <f t="shared" si="60"/>
        <v>1.5</v>
      </c>
      <c r="Y248" s="129">
        <f t="shared" si="60"/>
        <v>1.5</v>
      </c>
      <c r="Z248" s="129">
        <f t="shared" si="60"/>
        <v>1.5</v>
      </c>
      <c r="AA248" s="129">
        <f t="shared" si="60"/>
        <v>1.5</v>
      </c>
      <c r="AB248" s="129">
        <f t="shared" si="60"/>
        <v>1.5</v>
      </c>
      <c r="AC248" s="129">
        <f t="shared" si="60"/>
        <v>1.5</v>
      </c>
      <c r="AD248" s="129">
        <f t="shared" si="60"/>
        <v>1.5</v>
      </c>
      <c r="AE248" s="129">
        <f t="shared" si="60"/>
        <v>1.5</v>
      </c>
      <c r="AF248" s="129">
        <f t="shared" si="60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58"/>
        <v>0.3</v>
      </c>
      <c r="C249" s="129">
        <v>0.3</v>
      </c>
      <c r="D249" s="129">
        <f t="shared" si="59"/>
        <v>0.3</v>
      </c>
      <c r="E249" s="129">
        <f t="shared" si="59"/>
        <v>0.3</v>
      </c>
      <c r="F249" s="129">
        <f t="shared" si="59"/>
        <v>0.3</v>
      </c>
      <c r="G249" s="129">
        <f t="shared" si="59"/>
        <v>0.3</v>
      </c>
      <c r="H249" s="129">
        <f t="shared" si="59"/>
        <v>0.3</v>
      </c>
      <c r="I249" s="129">
        <f t="shared" si="59"/>
        <v>0.3</v>
      </c>
      <c r="J249" s="129">
        <f t="shared" si="59"/>
        <v>0.3</v>
      </c>
      <c r="K249" s="129">
        <f t="shared" si="59"/>
        <v>0.3</v>
      </c>
      <c r="L249" s="129">
        <f t="shared" si="59"/>
        <v>0.3</v>
      </c>
      <c r="M249" s="129">
        <f t="shared" si="59"/>
        <v>0.3</v>
      </c>
      <c r="N249" s="129">
        <f t="shared" si="59"/>
        <v>0.3</v>
      </c>
      <c r="O249" s="129">
        <f t="shared" si="59"/>
        <v>0.3</v>
      </c>
      <c r="P249" s="129">
        <f t="shared" si="59"/>
        <v>0.3</v>
      </c>
      <c r="Q249" s="129">
        <f t="shared" si="59"/>
        <v>0.3</v>
      </c>
      <c r="R249" s="129">
        <f t="shared" si="59"/>
        <v>0.3</v>
      </c>
      <c r="S249" s="129">
        <f t="shared" si="59"/>
        <v>0.3</v>
      </c>
      <c r="T249" s="129">
        <f t="shared" si="60"/>
        <v>0.3</v>
      </c>
      <c r="U249" s="129">
        <f t="shared" si="60"/>
        <v>0.3</v>
      </c>
      <c r="V249" s="129">
        <f t="shared" si="60"/>
        <v>0.3</v>
      </c>
      <c r="W249" s="129">
        <f t="shared" si="60"/>
        <v>0.3</v>
      </c>
      <c r="X249" s="129">
        <f t="shared" si="60"/>
        <v>0.3</v>
      </c>
      <c r="Y249" s="129">
        <f t="shared" si="60"/>
        <v>0.3</v>
      </c>
      <c r="Z249" s="129">
        <f t="shared" si="60"/>
        <v>0.3</v>
      </c>
      <c r="AA249" s="129">
        <f t="shared" si="60"/>
        <v>0.3</v>
      </c>
      <c r="AB249" s="129">
        <f t="shared" si="60"/>
        <v>0.3</v>
      </c>
      <c r="AC249" s="129">
        <f t="shared" si="60"/>
        <v>0.3</v>
      </c>
      <c r="AD249" s="129">
        <f t="shared" si="60"/>
        <v>0.3</v>
      </c>
      <c r="AE249" s="129">
        <f t="shared" si="60"/>
        <v>0.3</v>
      </c>
      <c r="AF249" s="129">
        <f t="shared" si="60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58"/>
        <v>0.4</v>
      </c>
      <c r="C250" s="129">
        <v>0.4</v>
      </c>
      <c r="D250" s="129">
        <f t="shared" si="59"/>
        <v>0.4</v>
      </c>
      <c r="E250" s="129">
        <f t="shared" si="59"/>
        <v>0.4</v>
      </c>
      <c r="F250" s="129">
        <f t="shared" si="59"/>
        <v>0.4</v>
      </c>
      <c r="G250" s="129">
        <f t="shared" si="59"/>
        <v>0.4</v>
      </c>
      <c r="H250" s="129">
        <f t="shared" si="59"/>
        <v>0.4</v>
      </c>
      <c r="I250" s="129">
        <f t="shared" si="59"/>
        <v>0.4</v>
      </c>
      <c r="J250" s="129">
        <f t="shared" si="59"/>
        <v>0.4</v>
      </c>
      <c r="K250" s="129">
        <f t="shared" si="59"/>
        <v>0.4</v>
      </c>
      <c r="L250" s="129">
        <f t="shared" si="59"/>
        <v>0.4</v>
      </c>
      <c r="M250" s="129">
        <f t="shared" si="59"/>
        <v>0.4</v>
      </c>
      <c r="N250" s="129">
        <f t="shared" si="59"/>
        <v>0.4</v>
      </c>
      <c r="O250" s="129">
        <f t="shared" si="59"/>
        <v>0.4</v>
      </c>
      <c r="P250" s="129">
        <f t="shared" si="59"/>
        <v>0.4</v>
      </c>
      <c r="Q250" s="129">
        <f t="shared" si="59"/>
        <v>0.4</v>
      </c>
      <c r="R250" s="129">
        <f t="shared" si="59"/>
        <v>0.4</v>
      </c>
      <c r="S250" s="129">
        <f t="shared" si="59"/>
        <v>0.4</v>
      </c>
      <c r="T250" s="129">
        <f t="shared" si="60"/>
        <v>0.4</v>
      </c>
      <c r="U250" s="129">
        <f t="shared" si="60"/>
        <v>0.4</v>
      </c>
      <c r="V250" s="129">
        <f t="shared" si="60"/>
        <v>0.4</v>
      </c>
      <c r="W250" s="129">
        <f t="shared" si="60"/>
        <v>0.4</v>
      </c>
      <c r="X250" s="129">
        <f t="shared" si="60"/>
        <v>0.4</v>
      </c>
      <c r="Y250" s="129">
        <f t="shared" si="60"/>
        <v>0.4</v>
      </c>
      <c r="Z250" s="129">
        <f t="shared" si="60"/>
        <v>0.4</v>
      </c>
      <c r="AA250" s="129">
        <f t="shared" si="60"/>
        <v>0.4</v>
      </c>
      <c r="AB250" s="129">
        <f t="shared" si="60"/>
        <v>0.4</v>
      </c>
      <c r="AC250" s="129">
        <f t="shared" si="60"/>
        <v>0.4</v>
      </c>
      <c r="AD250" s="129">
        <f t="shared" si="60"/>
        <v>0.4</v>
      </c>
      <c r="AE250" s="129">
        <f t="shared" si="60"/>
        <v>0.4</v>
      </c>
      <c r="AF250" s="129">
        <f t="shared" si="60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58"/>
        <v>0.64</v>
      </c>
      <c r="C251" s="133">
        <v>0.64</v>
      </c>
      <c r="D251" s="133">
        <f t="shared" si="59"/>
        <v>0.64</v>
      </c>
      <c r="E251" s="133">
        <f t="shared" si="59"/>
        <v>0.64</v>
      </c>
      <c r="F251" s="133">
        <f t="shared" si="59"/>
        <v>0.64</v>
      </c>
      <c r="G251" s="133">
        <f t="shared" si="59"/>
        <v>0.64</v>
      </c>
      <c r="H251" s="133">
        <f t="shared" si="59"/>
        <v>0.64</v>
      </c>
      <c r="I251" s="133">
        <f t="shared" si="59"/>
        <v>0.64</v>
      </c>
      <c r="J251" s="133">
        <f t="shared" si="59"/>
        <v>0.64</v>
      </c>
      <c r="K251" s="133">
        <f t="shared" si="59"/>
        <v>0.64</v>
      </c>
      <c r="L251" s="133">
        <f t="shared" si="59"/>
        <v>0.64</v>
      </c>
      <c r="M251" s="133">
        <f t="shared" si="59"/>
        <v>0.64</v>
      </c>
      <c r="N251" s="133">
        <f t="shared" si="59"/>
        <v>0.64</v>
      </c>
      <c r="O251" s="133">
        <f t="shared" si="59"/>
        <v>0.64</v>
      </c>
      <c r="P251" s="133">
        <f t="shared" si="59"/>
        <v>0.64</v>
      </c>
      <c r="Q251" s="133">
        <f t="shared" si="59"/>
        <v>0.64</v>
      </c>
      <c r="R251" s="133">
        <f t="shared" si="59"/>
        <v>0.64</v>
      </c>
      <c r="S251" s="133">
        <f t="shared" si="59"/>
        <v>0.64</v>
      </c>
      <c r="T251" s="133">
        <f t="shared" si="60"/>
        <v>0.64</v>
      </c>
      <c r="U251" s="133">
        <f t="shared" si="60"/>
        <v>0.64</v>
      </c>
      <c r="V251" s="133">
        <f t="shared" si="60"/>
        <v>0.64</v>
      </c>
      <c r="W251" s="133">
        <f t="shared" si="60"/>
        <v>0.64</v>
      </c>
      <c r="X251" s="133">
        <f t="shared" si="60"/>
        <v>0.64</v>
      </c>
      <c r="Y251" s="133">
        <f t="shared" si="60"/>
        <v>0.64</v>
      </c>
      <c r="Z251" s="133">
        <f t="shared" si="60"/>
        <v>0.64</v>
      </c>
      <c r="AA251" s="133">
        <f t="shared" si="60"/>
        <v>0.64</v>
      </c>
      <c r="AB251" s="133">
        <f t="shared" si="60"/>
        <v>0.64</v>
      </c>
      <c r="AC251" s="133">
        <f t="shared" si="60"/>
        <v>0.64</v>
      </c>
      <c r="AD251" s="133">
        <f t="shared" si="60"/>
        <v>0.64</v>
      </c>
      <c r="AE251" s="133">
        <f t="shared" si="60"/>
        <v>0.64</v>
      </c>
      <c r="AF251" s="133">
        <f t="shared" si="60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61">SUM(B246:B251)</f>
        <v>3.54</v>
      </c>
      <c r="C252" s="137">
        <f t="shared" si="61"/>
        <v>3.54</v>
      </c>
      <c r="D252" s="137">
        <f t="shared" si="61"/>
        <v>3.54</v>
      </c>
      <c r="E252" s="137">
        <f t="shared" si="61"/>
        <v>3.54</v>
      </c>
      <c r="F252" s="137">
        <f t="shared" si="61"/>
        <v>3.54</v>
      </c>
      <c r="G252" s="137">
        <f t="shared" si="61"/>
        <v>3.54</v>
      </c>
      <c r="H252" s="137">
        <f t="shared" si="61"/>
        <v>3.54</v>
      </c>
      <c r="I252" s="137">
        <f t="shared" si="61"/>
        <v>3.54</v>
      </c>
      <c r="J252" s="137">
        <f t="shared" si="61"/>
        <v>3.54</v>
      </c>
      <c r="K252" s="137">
        <f t="shared" si="61"/>
        <v>3.54</v>
      </c>
      <c r="L252" s="137">
        <f t="shared" si="61"/>
        <v>3.54</v>
      </c>
      <c r="M252" s="137">
        <f t="shared" si="61"/>
        <v>3.54</v>
      </c>
      <c r="N252" s="137">
        <f t="shared" si="61"/>
        <v>3.54</v>
      </c>
      <c r="O252" s="137">
        <f t="shared" si="61"/>
        <v>3.54</v>
      </c>
      <c r="P252" s="137">
        <f t="shared" si="61"/>
        <v>3.54</v>
      </c>
      <c r="Q252" s="137">
        <f t="shared" si="61"/>
        <v>3.54</v>
      </c>
      <c r="R252" s="137">
        <f t="shared" si="61"/>
        <v>3.54</v>
      </c>
      <c r="S252" s="137">
        <f t="shared" si="61"/>
        <v>3.54</v>
      </c>
      <c r="T252" s="137">
        <f t="shared" si="61"/>
        <v>3.54</v>
      </c>
      <c r="U252" s="137">
        <f t="shared" si="61"/>
        <v>3.54</v>
      </c>
      <c r="V252" s="137">
        <f t="shared" si="61"/>
        <v>3.54</v>
      </c>
      <c r="W252" s="137">
        <f t="shared" si="61"/>
        <v>3.54</v>
      </c>
      <c r="X252" s="137">
        <f t="shared" si="61"/>
        <v>3.54</v>
      </c>
      <c r="Y252" s="137">
        <f t="shared" si="61"/>
        <v>3.54</v>
      </c>
      <c r="Z252" s="137">
        <f t="shared" si="61"/>
        <v>3.54</v>
      </c>
      <c r="AA252" s="137">
        <f t="shared" si="61"/>
        <v>3.54</v>
      </c>
      <c r="AB252" s="137">
        <f t="shared" si="61"/>
        <v>3.54</v>
      </c>
      <c r="AC252" s="137">
        <f t="shared" si="61"/>
        <v>3.54</v>
      </c>
      <c r="AD252" s="137">
        <f t="shared" si="61"/>
        <v>3.54</v>
      </c>
      <c r="AE252" s="137">
        <f t="shared" si="61"/>
        <v>3.54</v>
      </c>
      <c r="AF252" s="137">
        <f t="shared" si="61"/>
        <v>3.54</v>
      </c>
      <c r="AG252" s="146">
        <f t="shared" si="6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1701.94</v>
      </c>
      <c r="C256" s="162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23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str">
        <f ca="1">"Pie Chart of Daily Peak Demand(Inclusive of Export) of Nepal ("&amp;A4&amp;" "&amp;B4&amp;")"</f>
        <v>Pie Chart of Daily Peak Demand(Inclusive of Export) of Nepal (Nepali Date: 2080/09/23)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str">
        <f ca="1">"Daily Load Curve(Excluding of Export) of Nepal ("&amp;A4&amp;" "&amp;B4&amp;")"</f>
        <v>Daily Load Curve(Excluding of Export) of Nepal (Nepali Date: 2080/09/23)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62">B99</f>
        <v>335.44000000000005</v>
      </c>
      <c r="U261" s="171">
        <f t="shared" si="62"/>
        <v>1004.24</v>
      </c>
      <c r="V261" s="171">
        <f t="shared" si="62"/>
        <v>964.24</v>
      </c>
      <c r="W261" s="171">
        <f t="shared" si="62"/>
        <v>950.84</v>
      </c>
      <c r="X261" s="171">
        <f t="shared" si="62"/>
        <v>958.24</v>
      </c>
      <c r="Y261" s="171">
        <f t="shared" si="62"/>
        <v>1039.74</v>
      </c>
      <c r="Z261" s="171">
        <f t="shared" si="62"/>
        <v>1129.44</v>
      </c>
      <c r="AA261" s="171">
        <f t="shared" si="62"/>
        <v>1259.8499999999999</v>
      </c>
      <c r="AB261" s="171">
        <f t="shared" si="62"/>
        <v>1341.14</v>
      </c>
      <c r="AC261" s="171">
        <f t="shared" si="62"/>
        <v>1491.04</v>
      </c>
      <c r="AD261" s="171">
        <f t="shared" si="62"/>
        <v>1694.8400000000001</v>
      </c>
      <c r="AE261" s="171">
        <f t="shared" si="62"/>
        <v>1701.94</v>
      </c>
      <c r="AF261" s="171">
        <f t="shared" si="62"/>
        <v>1630.64</v>
      </c>
      <c r="AG261" s="171">
        <f t="shared" si="62"/>
        <v>1604.74</v>
      </c>
      <c r="AH261" s="171">
        <f t="shared" si="62"/>
        <v>1507.44</v>
      </c>
      <c r="AI261" s="171">
        <f t="shared" si="62"/>
        <v>1418.94</v>
      </c>
      <c r="AJ261" s="171">
        <f t="shared" si="62"/>
        <v>1389.94</v>
      </c>
      <c r="AK261" s="171">
        <f t="shared" si="62"/>
        <v>1351.5400000000002</v>
      </c>
      <c r="AL261" s="171">
        <f t="shared" si="62"/>
        <v>1363.64</v>
      </c>
      <c r="AM261" s="171">
        <f t="shared" si="62"/>
        <v>1396.14</v>
      </c>
      <c r="AN261" s="171">
        <f t="shared" si="62"/>
        <v>1464.94</v>
      </c>
      <c r="AO261" s="171">
        <f t="shared" si="62"/>
        <v>1637.64</v>
      </c>
      <c r="AP261" s="171">
        <f t="shared" si="62"/>
        <v>1714.8</v>
      </c>
      <c r="AQ261" s="171">
        <f t="shared" si="62"/>
        <v>1714.8</v>
      </c>
      <c r="AR261" s="171">
        <f t="shared" si="62"/>
        <v>1714.8</v>
      </c>
      <c r="AS261" s="171">
        <f t="shared" si="62"/>
        <v>1714.8</v>
      </c>
      <c r="AT261" s="171">
        <f t="shared" si="62"/>
        <v>1568.3400000000001</v>
      </c>
      <c r="AU261" s="171">
        <f t="shared" si="62"/>
        <v>1500.24</v>
      </c>
      <c r="AV261" s="171">
        <f t="shared" si="62"/>
        <v>1336.94</v>
      </c>
      <c r="AW261" s="171">
        <f t="shared" si="62"/>
        <v>1169.6400000000001</v>
      </c>
      <c r="AX261" s="171">
        <f t="shared" si="62"/>
        <v>1027.0400000000002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63">C251</f>
        <v>0.64</v>
      </c>
      <c r="C282" s="174">
        <f t="shared" si="63"/>
        <v>0.64</v>
      </c>
      <c r="D282" s="174">
        <f t="shared" si="63"/>
        <v>0.64</v>
      </c>
      <c r="E282" s="174">
        <f t="shared" si="63"/>
        <v>0.64</v>
      </c>
      <c r="F282" s="174">
        <f t="shared" si="63"/>
        <v>0.64</v>
      </c>
      <c r="G282" s="174">
        <f t="shared" si="63"/>
        <v>0.64</v>
      </c>
      <c r="H282" s="174">
        <f t="shared" si="63"/>
        <v>0.64</v>
      </c>
      <c r="I282" s="174">
        <f t="shared" si="63"/>
        <v>0.64</v>
      </c>
      <c r="J282" s="174">
        <f t="shared" si="63"/>
        <v>0.64</v>
      </c>
      <c r="K282" s="174">
        <f t="shared" si="63"/>
        <v>0.64</v>
      </c>
      <c r="L282" s="174">
        <f t="shared" si="63"/>
        <v>0.64</v>
      </c>
      <c r="M282" s="174">
        <f t="shared" si="63"/>
        <v>0.64</v>
      </c>
      <c r="N282" s="174">
        <f t="shared" si="63"/>
        <v>0.64</v>
      </c>
      <c r="O282" s="174">
        <f t="shared" si="63"/>
        <v>0.64</v>
      </c>
      <c r="P282" s="174">
        <f t="shared" si="63"/>
        <v>0.64</v>
      </c>
      <c r="Q282" s="174">
        <f t="shared" si="63"/>
        <v>0.64</v>
      </c>
      <c r="R282" s="174">
        <f t="shared" si="63"/>
        <v>0.64</v>
      </c>
      <c r="S282" s="174">
        <f t="shared" si="63"/>
        <v>0.64</v>
      </c>
      <c r="T282" s="174">
        <f t="shared" si="63"/>
        <v>0.64</v>
      </c>
      <c r="U282" s="174">
        <f t="shared" si="63"/>
        <v>0.64</v>
      </c>
      <c r="V282" s="174">
        <f t="shared" si="63"/>
        <v>0.64</v>
      </c>
      <c r="W282" s="174">
        <f t="shared" si="63"/>
        <v>0.64</v>
      </c>
      <c r="X282" s="174">
        <f t="shared" si="63"/>
        <v>0.64</v>
      </c>
      <c r="Y282" s="174">
        <f t="shared" si="63"/>
        <v>0.64</v>
      </c>
      <c r="Z282" s="174">
        <f t="shared" si="63"/>
        <v>0.64</v>
      </c>
      <c r="AA282" s="174">
        <f t="shared" si="63"/>
        <v>0.64</v>
      </c>
      <c r="AB282" s="174">
        <f t="shared" si="63"/>
        <v>0.64</v>
      </c>
      <c r="AC282" s="174">
        <f t="shared" si="63"/>
        <v>0.64</v>
      </c>
      <c r="AD282" s="174">
        <f t="shared" si="63"/>
        <v>0.64</v>
      </c>
      <c r="AE282" s="174">
        <f t="shared" si="63"/>
        <v>0.64</v>
      </c>
      <c r="AF282" s="174">
        <f>B251</f>
        <v>0.64</v>
      </c>
      <c r="AG282" s="43"/>
      <c r="AH282" s="43"/>
    </row>
    <row r="283" spans="1:34" x14ac:dyDescent="0.25">
      <c r="A283" s="175" t="str">
        <f>A132</f>
        <v>UTK</v>
      </c>
      <c r="B283" s="175" t="str">
        <f t="shared" ref="B283:AF283" si="64">IF(B132&lt;100,"",B132-520)</f>
        <v/>
      </c>
      <c r="C283" s="175" t="str">
        <f t="shared" si="64"/>
        <v/>
      </c>
      <c r="D283" s="175" t="str">
        <f t="shared" si="64"/>
        <v/>
      </c>
      <c r="E283" s="175" t="str">
        <f t="shared" si="64"/>
        <v/>
      </c>
      <c r="F283" s="175" t="str">
        <f t="shared" si="64"/>
        <v/>
      </c>
      <c r="G283" s="175" t="str">
        <f t="shared" si="64"/>
        <v/>
      </c>
      <c r="H283" s="175" t="str">
        <f t="shared" si="64"/>
        <v/>
      </c>
      <c r="I283" s="175" t="str">
        <f t="shared" si="64"/>
        <v/>
      </c>
      <c r="J283" s="175" t="str">
        <f t="shared" si="64"/>
        <v/>
      </c>
      <c r="K283" s="175" t="str">
        <f t="shared" si="64"/>
        <v/>
      </c>
      <c r="L283" s="175" t="str">
        <f t="shared" si="64"/>
        <v/>
      </c>
      <c r="M283" s="175" t="str">
        <f t="shared" si="64"/>
        <v/>
      </c>
      <c r="N283" s="175" t="str">
        <f t="shared" si="64"/>
        <v/>
      </c>
      <c r="O283" s="175" t="str">
        <f t="shared" si="64"/>
        <v/>
      </c>
      <c r="P283" s="175" t="str">
        <f t="shared" si="64"/>
        <v/>
      </c>
      <c r="Q283" s="175" t="str">
        <f t="shared" si="64"/>
        <v/>
      </c>
      <c r="R283" s="175" t="str">
        <f t="shared" si="64"/>
        <v/>
      </c>
      <c r="S283" s="175" t="str">
        <f t="shared" si="64"/>
        <v/>
      </c>
      <c r="T283" s="175" t="str">
        <f t="shared" si="64"/>
        <v/>
      </c>
      <c r="U283" s="175" t="str">
        <f t="shared" si="64"/>
        <v/>
      </c>
      <c r="V283" s="175" t="str">
        <f t="shared" si="64"/>
        <v/>
      </c>
      <c r="W283" s="175" t="str">
        <f t="shared" si="64"/>
        <v/>
      </c>
      <c r="X283" s="175" t="str">
        <f t="shared" si="64"/>
        <v/>
      </c>
      <c r="Y283" s="175" t="str">
        <f t="shared" si="64"/>
        <v/>
      </c>
      <c r="Z283" s="175" t="str">
        <f t="shared" si="64"/>
        <v/>
      </c>
      <c r="AA283" s="175" t="str">
        <f t="shared" si="64"/>
        <v/>
      </c>
      <c r="AB283" s="175" t="str">
        <f t="shared" si="64"/>
        <v/>
      </c>
      <c r="AC283" s="175" t="str">
        <f t="shared" si="64"/>
        <v/>
      </c>
      <c r="AD283" s="175" t="str">
        <f t="shared" si="64"/>
        <v/>
      </c>
      <c r="AE283" s="175" t="str">
        <f t="shared" si="64"/>
        <v/>
      </c>
      <c r="AF283" s="175" t="str">
        <f t="shared" si="64"/>
        <v/>
      </c>
      <c r="AG283" s="43"/>
      <c r="AH283" s="43"/>
    </row>
    <row r="284" spans="1:34" x14ac:dyDescent="0.25">
      <c r="A284" s="175" t="str">
        <f>A135</f>
        <v>MRS</v>
      </c>
      <c r="B284" s="175" t="str">
        <f t="shared" ref="B284:AF284" si="65">IF(B135&lt;100,"",B135-620)</f>
        <v/>
      </c>
      <c r="C284" s="175" t="str">
        <f t="shared" si="65"/>
        <v/>
      </c>
      <c r="D284" s="175" t="str">
        <f t="shared" si="65"/>
        <v/>
      </c>
      <c r="E284" s="175" t="str">
        <f t="shared" si="65"/>
        <v/>
      </c>
      <c r="F284" s="175" t="str">
        <f t="shared" si="65"/>
        <v/>
      </c>
      <c r="G284" s="175" t="str">
        <f t="shared" si="65"/>
        <v/>
      </c>
      <c r="H284" s="175" t="str">
        <f t="shared" si="65"/>
        <v/>
      </c>
      <c r="I284" s="175" t="str">
        <f t="shared" si="65"/>
        <v/>
      </c>
      <c r="J284" s="175" t="str">
        <f t="shared" si="65"/>
        <v/>
      </c>
      <c r="K284" s="175" t="str">
        <f t="shared" si="65"/>
        <v/>
      </c>
      <c r="L284" s="175" t="str">
        <f t="shared" si="65"/>
        <v/>
      </c>
      <c r="M284" s="175" t="str">
        <f t="shared" si="65"/>
        <v/>
      </c>
      <c r="N284" s="175" t="str">
        <f t="shared" si="65"/>
        <v/>
      </c>
      <c r="O284" s="175" t="str">
        <f t="shared" si="65"/>
        <v/>
      </c>
      <c r="P284" s="175" t="str">
        <f t="shared" si="65"/>
        <v/>
      </c>
      <c r="Q284" s="175" t="str">
        <f t="shared" si="65"/>
        <v/>
      </c>
      <c r="R284" s="175" t="str">
        <f t="shared" si="65"/>
        <v/>
      </c>
      <c r="S284" s="175" t="str">
        <f t="shared" si="65"/>
        <v/>
      </c>
      <c r="T284" s="175" t="str">
        <f t="shared" si="65"/>
        <v/>
      </c>
      <c r="U284" s="175" t="str">
        <f t="shared" si="65"/>
        <v/>
      </c>
      <c r="V284" s="175" t="str">
        <f t="shared" si="65"/>
        <v/>
      </c>
      <c r="W284" s="175" t="str">
        <f t="shared" si="65"/>
        <v/>
      </c>
      <c r="X284" s="175" t="str">
        <f t="shared" si="65"/>
        <v/>
      </c>
      <c r="Y284" s="175" t="str">
        <f t="shared" si="65"/>
        <v/>
      </c>
      <c r="Z284" s="175" t="str">
        <f t="shared" si="65"/>
        <v/>
      </c>
      <c r="AA284" s="175" t="str">
        <f t="shared" si="65"/>
        <v/>
      </c>
      <c r="AB284" s="175" t="str">
        <f t="shared" si="65"/>
        <v/>
      </c>
      <c r="AC284" s="175" t="str">
        <f t="shared" si="65"/>
        <v/>
      </c>
      <c r="AD284" s="175" t="str">
        <f t="shared" si="65"/>
        <v/>
      </c>
      <c r="AE284" s="175" t="str">
        <f t="shared" si="65"/>
        <v/>
      </c>
      <c r="AF284" s="175" t="str">
        <f t="shared" si="65"/>
        <v/>
      </c>
      <c r="AG284" s="43"/>
      <c r="AH284" s="43"/>
    </row>
    <row r="285" spans="1:34" x14ac:dyDescent="0.25">
      <c r="A285" s="175" t="str">
        <f>A136</f>
        <v>CHM</v>
      </c>
      <c r="B285" s="175" t="str">
        <f t="shared" ref="B285:AF285" si="66">IF(B136&lt;100,"",B136-330)</f>
        <v/>
      </c>
      <c r="C285" s="175" t="str">
        <f t="shared" si="66"/>
        <v/>
      </c>
      <c r="D285" s="175" t="str">
        <f t="shared" si="66"/>
        <v/>
      </c>
      <c r="E285" s="175" t="str">
        <f t="shared" si="66"/>
        <v/>
      </c>
      <c r="F285" s="175" t="str">
        <f t="shared" si="66"/>
        <v/>
      </c>
      <c r="G285" s="175" t="str">
        <f t="shared" si="66"/>
        <v/>
      </c>
      <c r="H285" s="175" t="str">
        <f t="shared" si="66"/>
        <v/>
      </c>
      <c r="I285" s="175" t="str">
        <f t="shared" si="66"/>
        <v/>
      </c>
      <c r="J285" s="175" t="str">
        <f t="shared" si="66"/>
        <v/>
      </c>
      <c r="K285" s="175" t="str">
        <f t="shared" si="66"/>
        <v/>
      </c>
      <c r="L285" s="175" t="str">
        <f t="shared" si="66"/>
        <v/>
      </c>
      <c r="M285" s="175" t="str">
        <f t="shared" si="66"/>
        <v/>
      </c>
      <c r="N285" s="175" t="str">
        <f t="shared" si="66"/>
        <v/>
      </c>
      <c r="O285" s="175" t="str">
        <f t="shared" si="66"/>
        <v/>
      </c>
      <c r="P285" s="175" t="str">
        <f t="shared" si="66"/>
        <v/>
      </c>
      <c r="Q285" s="175" t="str">
        <f t="shared" si="66"/>
        <v/>
      </c>
      <c r="R285" s="175" t="str">
        <f t="shared" si="66"/>
        <v/>
      </c>
      <c r="S285" s="175" t="str">
        <f t="shared" si="66"/>
        <v/>
      </c>
      <c r="T285" s="175" t="str">
        <f t="shared" si="66"/>
        <v/>
      </c>
      <c r="U285" s="175" t="str">
        <f t="shared" si="66"/>
        <v/>
      </c>
      <c r="V285" s="175" t="str">
        <f t="shared" si="66"/>
        <v/>
      </c>
      <c r="W285" s="175" t="str">
        <f t="shared" si="66"/>
        <v/>
      </c>
      <c r="X285" s="175" t="str">
        <f t="shared" si="66"/>
        <v/>
      </c>
      <c r="Y285" s="175" t="str">
        <f t="shared" si="66"/>
        <v/>
      </c>
      <c r="Z285" s="175" t="str">
        <f t="shared" si="66"/>
        <v/>
      </c>
      <c r="AA285" s="175" t="str">
        <f t="shared" si="66"/>
        <v/>
      </c>
      <c r="AB285" s="175" t="str">
        <f t="shared" si="66"/>
        <v/>
      </c>
      <c r="AC285" s="175" t="str">
        <f t="shared" si="66"/>
        <v/>
      </c>
      <c r="AD285" s="175" t="str">
        <f t="shared" si="66"/>
        <v/>
      </c>
      <c r="AE285" s="175" t="str">
        <f t="shared" si="66"/>
        <v/>
      </c>
      <c r="AF285" s="175" t="str">
        <f t="shared" si="66"/>
        <v/>
      </c>
      <c r="AG285" s="43"/>
      <c r="AH285" s="43"/>
    </row>
    <row r="286" spans="1:34" x14ac:dyDescent="0.25">
      <c r="A286" s="175" t="str">
        <f>A137</f>
        <v>KL 1</v>
      </c>
      <c r="B286" s="175" t="str">
        <f t="shared" ref="B286:AF286" si="67">IF(B137&lt;100,"",B137-1500)</f>
        <v/>
      </c>
      <c r="C286" s="175" t="str">
        <f t="shared" si="67"/>
        <v/>
      </c>
      <c r="D286" s="175" t="str">
        <f t="shared" si="67"/>
        <v/>
      </c>
      <c r="E286" s="175" t="str">
        <f t="shared" si="67"/>
        <v/>
      </c>
      <c r="F286" s="175" t="str">
        <f t="shared" si="67"/>
        <v/>
      </c>
      <c r="G286" s="175" t="str">
        <f t="shared" si="67"/>
        <v/>
      </c>
      <c r="H286" s="175" t="str">
        <f t="shared" si="67"/>
        <v/>
      </c>
      <c r="I286" s="175" t="str">
        <f t="shared" si="67"/>
        <v/>
      </c>
      <c r="J286" s="175" t="str">
        <f t="shared" si="67"/>
        <v/>
      </c>
      <c r="K286" s="175" t="str">
        <f t="shared" si="67"/>
        <v/>
      </c>
      <c r="L286" s="175" t="str">
        <f t="shared" si="67"/>
        <v/>
      </c>
      <c r="M286" s="175" t="str">
        <f t="shared" si="67"/>
        <v/>
      </c>
      <c r="N286" s="175" t="str">
        <f t="shared" si="67"/>
        <v/>
      </c>
      <c r="O286" s="175" t="str">
        <f t="shared" si="67"/>
        <v/>
      </c>
      <c r="P286" s="175" t="str">
        <f t="shared" si="67"/>
        <v/>
      </c>
      <c r="Q286" s="175" t="str">
        <f t="shared" si="67"/>
        <v/>
      </c>
      <c r="R286" s="175" t="str">
        <f t="shared" si="67"/>
        <v/>
      </c>
      <c r="S286" s="175" t="str">
        <f t="shared" si="67"/>
        <v/>
      </c>
      <c r="T286" s="175" t="str">
        <f t="shared" si="67"/>
        <v/>
      </c>
      <c r="U286" s="175" t="str">
        <f t="shared" si="67"/>
        <v/>
      </c>
      <c r="V286" s="175" t="str">
        <f t="shared" si="67"/>
        <v/>
      </c>
      <c r="W286" s="175" t="str">
        <f t="shared" si="67"/>
        <v/>
      </c>
      <c r="X286" s="175" t="str">
        <f t="shared" si="67"/>
        <v/>
      </c>
      <c r="Y286" s="175" t="str">
        <f t="shared" si="67"/>
        <v/>
      </c>
      <c r="Z286" s="175" t="str">
        <f t="shared" si="67"/>
        <v/>
      </c>
      <c r="AA286" s="175" t="str">
        <f t="shared" si="67"/>
        <v/>
      </c>
      <c r="AB286" s="175" t="str">
        <f t="shared" si="67"/>
        <v/>
      </c>
      <c r="AC286" s="175" t="str">
        <f t="shared" si="67"/>
        <v/>
      </c>
      <c r="AD286" s="175" t="str">
        <f t="shared" si="67"/>
        <v/>
      </c>
      <c r="AE286" s="175" t="str">
        <f t="shared" si="67"/>
        <v/>
      </c>
      <c r="AF286" s="175" t="str">
        <f t="shared" si="67"/>
        <v/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 A132:A253">
    <cfRule type="expression" dxfId="1104" priority="53">
      <formula>$AH11=0</formula>
    </cfRule>
  </conditionalFormatting>
  <conditionalFormatting sqref="B8 M8 S8 AB8">
    <cfRule type="expression" dxfId="1103" priority="113">
      <formula>AND(C$9&gt;=14/24,C$9&lt;20/24)</formula>
    </cfRule>
    <cfRule type="expression" dxfId="1102" priority="115">
      <formula>C$9&lt;8/24</formula>
    </cfRule>
    <cfRule type="expression" dxfId="1101" priority="114">
      <formula>AND(C$9&gt;=8/24,C$9&lt;14/24)</formula>
    </cfRule>
  </conditionalFormatting>
  <conditionalFormatting sqref="B63:I74 J64:J74 G68:W74">
    <cfRule type="expression" dxfId="1100" priority="17">
      <formula>AND(B$9&gt;=8/24,B$9&lt;14/24)</formula>
    </cfRule>
    <cfRule type="expression" dxfId="1099" priority="16">
      <formula>AND(B$9&gt;=14/24,B$9&lt;20/24)</formula>
    </cfRule>
    <cfRule type="expression" dxfId="1098" priority="15">
      <formula>B$9&gt;=20/24</formula>
    </cfRule>
    <cfRule type="expression" dxfId="1097" priority="18">
      <formula>B$9&lt;8/24</formula>
    </cfRule>
  </conditionalFormatting>
  <conditionalFormatting sqref="B11:W54">
    <cfRule type="expression" dxfId="1096" priority="9">
      <formula>B11&gt;$AG11</formula>
    </cfRule>
  </conditionalFormatting>
  <conditionalFormatting sqref="B53:W54">
    <cfRule type="expression" dxfId="1095" priority="8">
      <formula>B$9&lt;8/24</formula>
    </cfRule>
  </conditionalFormatting>
  <conditionalFormatting sqref="B55:W55">
    <cfRule type="expression" dxfId="1094" priority="33">
      <formula>B55&gt;$AG55</formula>
    </cfRule>
  </conditionalFormatting>
  <conditionalFormatting sqref="B9:AF52">
    <cfRule type="expression" dxfId="1093" priority="24">
      <formula>B$9&gt;=20/24</formula>
    </cfRule>
    <cfRule type="expression" dxfId="1092" priority="26">
      <formula>AND(B$9&gt;=8/24,B$9&lt;14/24)</formula>
    </cfRule>
    <cfRule type="expression" dxfId="1091" priority="27">
      <formula>B$9&lt;8/24</formula>
    </cfRule>
    <cfRule type="expression" dxfId="1090" priority="25">
      <formula>AND(B$9&gt;=14/24,B$9&lt;20/24)</formula>
    </cfRule>
  </conditionalFormatting>
  <conditionalFormatting sqref="B53:AF54">
    <cfRule type="expression" dxfId="1089" priority="7">
      <formula>AND(B$9&gt;=8/24,B$9&lt;14/24)</formula>
    </cfRule>
    <cfRule type="expression" dxfId="1088" priority="5">
      <formula>B$9&gt;=20/24</formula>
    </cfRule>
    <cfRule type="expression" dxfId="1087" priority="6">
      <formula>AND(B$9&gt;=14/24,B$9&lt;20/24)</formula>
    </cfRule>
  </conditionalFormatting>
  <conditionalFormatting sqref="B55:AF57">
    <cfRule type="expression" dxfId="1086" priority="29">
      <formula>B$9&gt;=20/24</formula>
    </cfRule>
    <cfRule type="expression" dxfId="1085" priority="30">
      <formula>AND(B$9&gt;=14/24,B$9&lt;20/24)</formula>
    </cfRule>
    <cfRule type="expression" dxfId="1084" priority="31">
      <formula>AND(B$9&gt;=8/24,B$9&lt;14/24)</formula>
    </cfRule>
  </conditionalFormatting>
  <conditionalFormatting sqref="B56:AF61">
    <cfRule type="expression" dxfId="1083" priority="28">
      <formula>B56&gt;$AG56</formula>
    </cfRule>
  </conditionalFormatting>
  <conditionalFormatting sqref="B59:AF61">
    <cfRule type="expression" dxfId="1082" priority="42">
      <formula>B$9&lt;8/24</formula>
    </cfRule>
    <cfRule type="expression" dxfId="1081" priority="41">
      <formula>AND(B$9&gt;=8/24,B$9&lt;14/24)</formula>
    </cfRule>
    <cfRule type="expression" dxfId="1080" priority="40">
      <formula>AND(B$9&gt;=14/24,B$9&lt;20/24)</formula>
    </cfRule>
    <cfRule type="expression" dxfId="1079" priority="39">
      <formula>B$9&gt;=20/24</formula>
    </cfRule>
  </conditionalFormatting>
  <conditionalFormatting sqref="B63:AF74">
    <cfRule type="expression" dxfId="1078" priority="14">
      <formula>B63&gt;$AG63</formula>
    </cfRule>
  </conditionalFormatting>
  <conditionalFormatting sqref="B77:AF79">
    <cfRule type="expression" dxfId="1077" priority="47">
      <formula>B$9&lt;8/24</formula>
    </cfRule>
    <cfRule type="expression" dxfId="1076" priority="44">
      <formula>B$9&gt;=20/24</formula>
    </cfRule>
    <cfRule type="expression" dxfId="1075" priority="43">
      <formula>B77&gt;$AG77</formula>
    </cfRule>
    <cfRule type="expression" dxfId="1074" priority="45">
      <formula>AND(B$9&gt;=14/24,B$9&lt;20/24)</formula>
    </cfRule>
    <cfRule type="expression" dxfId="1073" priority="46">
      <formula>AND(B$9&gt;=8/24,B$9&lt;14/24)</formula>
    </cfRule>
  </conditionalFormatting>
  <conditionalFormatting sqref="B81:AF99">
    <cfRule type="expression" dxfId="1072" priority="10">
      <formula>B$9&gt;=20/24</formula>
    </cfRule>
    <cfRule type="expression" dxfId="1071" priority="11">
      <formula>AND(B$9&gt;=14/24,B$9&lt;20/24)</formula>
    </cfRule>
    <cfRule type="expression" dxfId="1070" priority="12">
      <formula>AND(B$9&gt;=8/24,B$9&lt;14/24)</formula>
    </cfRule>
    <cfRule type="expression" dxfId="1069" priority="13">
      <formula>B$9&lt;8/24</formula>
    </cfRule>
  </conditionalFormatting>
  <conditionalFormatting sqref="B101:AF117">
    <cfRule type="expression" dxfId="1068" priority="3">
      <formula>AND(B$9&gt;=8/24,B$9&lt;14/24)</formula>
    </cfRule>
    <cfRule type="expression" dxfId="1067" priority="4">
      <formula>B$9&lt;8/24</formula>
    </cfRule>
    <cfRule type="expression" dxfId="1066" priority="2">
      <formula>AND(B$9&gt;=14/24,B$9&lt;20/24)</formula>
    </cfRule>
    <cfRule type="expression" dxfId="1065" priority="1">
      <formula>B$9&gt;=20/24</formula>
    </cfRule>
  </conditionalFormatting>
  <conditionalFormatting sqref="B119:AF137">
    <cfRule type="expression" dxfId="1064" priority="19">
      <formula>B$9&gt;=20/24</formula>
    </cfRule>
    <cfRule type="expression" dxfId="1063" priority="20">
      <formula>AND(B$9&gt;=14/24,B$9&lt;20/24)</formula>
    </cfRule>
    <cfRule type="expression" dxfId="1062" priority="21">
      <formula>AND(B$9&gt;=8/24,B$9&lt;14/24)</formula>
    </cfRule>
    <cfRule type="expression" dxfId="1061" priority="22">
      <formula>B$9&lt;8/24</formula>
    </cfRule>
  </conditionalFormatting>
  <conditionalFormatting sqref="B244:AF244 B246:B252 D246:AF252 U260:AF260">
    <cfRule type="expression" dxfId="1060" priority="108">
      <formula>AND(B$9&gt;=8/24,B$9&lt;14/24)</formula>
    </cfRule>
    <cfRule type="expression" dxfId="1059" priority="109">
      <formula>B$9&lt;8/24</formula>
    </cfRule>
    <cfRule type="expression" dxfId="1058" priority="107">
      <formula>AND(B$9&gt;=14/24,B$9&lt;20/24)</formula>
    </cfRule>
    <cfRule type="expression" dxfId="1057" priority="106">
      <formula>B$9&gt;=20/24</formula>
    </cfRule>
  </conditionalFormatting>
  <conditionalFormatting sqref="B62:AG62">
    <cfRule type="expression" dxfId="1056" priority="49">
      <formula>B$9&gt;=20/24</formula>
    </cfRule>
    <cfRule type="expression" dxfId="1055" priority="50">
      <formula>AND(B$9&gt;=14/24,B$9&lt;20/24)</formula>
    </cfRule>
    <cfRule type="expression" dxfId="1054" priority="51">
      <formula>AND(B$9&gt;=8/24,B$9&lt;14/24)</formula>
    </cfRule>
    <cfRule type="expression" dxfId="1053" priority="48">
      <formula>B62&gt;$AG62</formula>
    </cfRule>
    <cfRule type="expression" dxfId="1052" priority="52">
      <formula>B$9&lt;8/24</formula>
    </cfRule>
  </conditionalFormatting>
  <conditionalFormatting sqref="B75:AG76 B80:AG80">
    <cfRule type="expression" dxfId="1051" priority="34">
      <formula>B75&gt;$AG75</formula>
    </cfRule>
  </conditionalFormatting>
  <conditionalFormatting sqref="B80:AG80">
    <cfRule type="expression" dxfId="1050" priority="37">
      <formula>AND(B$9&gt;=8/24,B$9&lt;14/24)</formula>
    </cfRule>
    <cfRule type="expression" dxfId="1049" priority="36">
      <formula>AND(B$9&gt;=14/24,B$9&lt;20/24)</formula>
    </cfRule>
    <cfRule type="expression" dxfId="1048" priority="38">
      <formula>B$9&lt;8/24</formula>
    </cfRule>
    <cfRule type="expression" dxfId="1047" priority="35">
      <formula>B$9&gt;=20/24</formula>
    </cfRule>
  </conditionalFormatting>
  <conditionalFormatting sqref="F63:R65">
    <cfRule type="expression" dxfId="1046" priority="87">
      <formula>F$9&gt;=20/24</formula>
    </cfRule>
    <cfRule type="expression" dxfId="1045" priority="90">
      <formula>F$9&lt;8/24</formula>
    </cfRule>
    <cfRule type="expression" dxfId="1044" priority="89">
      <formula>AND(F$9&gt;=8/24,F$9&lt;14/24)</formula>
    </cfRule>
    <cfRule type="expression" dxfId="1043" priority="88">
      <formula>AND(F$9&gt;=14/24,F$9&lt;20/24)</formula>
    </cfRule>
  </conditionalFormatting>
  <conditionalFormatting sqref="F68:W68">
    <cfRule type="expression" dxfId="1042" priority="67">
      <formula>F$9&lt;8/24</formula>
    </cfRule>
    <cfRule type="expression" dxfId="1041" priority="64">
      <formula>F$9&gt;=20/24</formula>
    </cfRule>
    <cfRule type="expression" dxfId="1040" priority="65">
      <formula>AND(F$9&gt;=14/24,F$9&lt;20/24)</formula>
    </cfRule>
    <cfRule type="expression" dxfId="1039" priority="66">
      <formula>AND(F$9&gt;=8/24,F$9&lt;14/24)</formula>
    </cfRule>
  </conditionalFormatting>
  <conditionalFormatting sqref="F69:AF74">
    <cfRule type="expression" dxfId="1038" priority="54">
      <formula>F$9&gt;=20/24</formula>
    </cfRule>
    <cfRule type="expression" dxfId="1037" priority="55">
      <formula>AND(F$9&gt;=14/24,F$9&lt;20/24)</formula>
    </cfRule>
    <cfRule type="expression" dxfId="1036" priority="56">
      <formula>AND(F$9&gt;=8/24,F$9&lt;14/24)</formula>
    </cfRule>
    <cfRule type="expression" dxfId="1035" priority="57">
      <formula>F$9&lt;8/24</formula>
    </cfRule>
  </conditionalFormatting>
  <conditionalFormatting sqref="N63:R67 S66:S67 T67:U67">
    <cfRule type="expression" dxfId="1034" priority="92">
      <formula>AND(N$9&gt;=14/24,N$9&lt;20/24)</formula>
    </cfRule>
    <cfRule type="expression" dxfId="1033" priority="91">
      <formula>N$9&gt;=20/24</formula>
    </cfRule>
    <cfRule type="expression" dxfId="1032" priority="93">
      <formula>AND(N$9&gt;=8/24,N$9&lt;14/24)</formula>
    </cfRule>
    <cfRule type="expression" dxfId="1031" priority="94">
      <formula>N$9&lt;8/24</formula>
    </cfRule>
  </conditionalFormatting>
  <conditionalFormatting sqref="O3:P3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O55:W56 B55:N57">
    <cfRule type="expression" dxfId="1030" priority="32">
      <formula>B$9&lt;8/24</formula>
    </cfRule>
  </conditionalFormatting>
  <conditionalFormatting sqref="S8 AB8 B8 M8">
    <cfRule type="expression" dxfId="1029" priority="112">
      <formula>C$9&gt;=20/24</formula>
    </cfRule>
  </conditionalFormatting>
  <conditionalFormatting sqref="S8">
    <cfRule type="expression" dxfId="1028" priority="100">
      <formula>AND(U$9&gt;=14/24,U$9&lt;20/24)</formula>
    </cfRule>
    <cfRule type="expression" dxfId="1027" priority="102">
      <formula>U$9&lt;8/24</formula>
    </cfRule>
    <cfRule type="expression" dxfId="1026" priority="101">
      <formula>AND(U$9&gt;=8/24,U$9&lt;14/24)</formula>
    </cfRule>
    <cfRule type="expression" dxfId="1025" priority="99">
      <formula>U$9&gt;=20/24</formula>
    </cfRule>
  </conditionalFormatting>
  <conditionalFormatting sqref="S63:AF68">
    <cfRule type="expression" dxfId="1024" priority="58">
      <formula>S$9&gt;=20/24</formula>
    </cfRule>
    <cfRule type="expression" dxfId="1023" priority="59">
      <formula>AND(S$9&gt;=14/24,S$9&lt;20/24)</formula>
    </cfRule>
    <cfRule type="expression" dxfId="1022" priority="61">
      <formula>S$9&lt;8/24</formula>
    </cfRule>
    <cfRule type="expression" dxfId="1021" priority="60">
      <formula>AND(S$9&gt;=8/24,S$9&lt;14/24)</formula>
    </cfRule>
  </conditionalFormatting>
  <conditionalFormatting sqref="T260">
    <cfRule type="expression" dxfId="1020" priority="125">
      <formula>AND(AX$9&gt;=14/24,AX$9&lt;20/24)</formula>
    </cfRule>
    <cfRule type="expression" dxfId="1019" priority="124">
      <formula>AX$9&gt;=20/24</formula>
    </cfRule>
    <cfRule type="expression" dxfId="1018" priority="126">
      <formula>AND(AX$9&gt;=8/24,AX$9&lt;14/24)</formula>
    </cfRule>
    <cfRule type="expression" dxfId="1017" priority="127">
      <formula>AX$9&lt;8/24</formula>
    </cfRule>
  </conditionalFormatting>
  <conditionalFormatting sqref="V3 AB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X53:X56 Y53:AF57 O57:X57">
    <cfRule type="expression" dxfId="1016" priority="62">
      <formula>O$9&lt;8/24</formula>
    </cfRule>
  </conditionalFormatting>
  <conditionalFormatting sqref="X11:AF52">
    <cfRule type="expression" dxfId="1015" priority="23">
      <formula>X11&gt;$AG11</formula>
    </cfRule>
  </conditionalFormatting>
  <conditionalFormatting sqref="X53:AF55">
    <cfRule type="expression" dxfId="1014" priority="63">
      <formula>X53&gt;$AG53</formula>
    </cfRule>
  </conditionalFormatting>
  <conditionalFormatting sqref="AB8">
    <cfRule type="expression" dxfId="1013" priority="97">
      <formula>AND(AD$9&gt;=8/24,AD$9&lt;14/24)</formula>
    </cfRule>
    <cfRule type="expression" dxfId="1012" priority="98">
      <formula>AD$9&lt;8/24</formula>
    </cfRule>
    <cfRule type="expression" dxfId="1011" priority="95">
      <formula>AD$9&gt;=20/24</formula>
    </cfRule>
    <cfRule type="expression" dxfId="1010" priority="96">
      <formula>AND(AD$9&gt;=14/24,AD$9&lt;20/24)</formula>
    </cfRule>
  </conditionalFormatting>
  <conditionalFormatting sqref="AG58">
    <cfRule type="expression" dxfId="1009" priority="82">
      <formula>AG58&gt;$AG58</formula>
    </cfRule>
  </conditionalFormatting>
  <conditionalFormatting sqref="AG97">
    <cfRule type="expression" dxfId="1008" priority="86">
      <formula>AG$9&lt;8/24</formula>
    </cfRule>
    <cfRule type="expression" dxfId="1007" priority="83">
      <formula>AG$9&gt;=20/24</formula>
    </cfRule>
    <cfRule type="expression" dxfId="1006" priority="84">
      <formula>AND(AG$9&gt;=14/24,AG$9&lt;20/24)</formula>
    </cfRule>
    <cfRule type="expression" dxfId="1005" priority="85">
      <formula>AND(AG$9&gt;=8/24,AG$9&lt;14/24)</formula>
    </cfRule>
  </conditionalFormatting>
  <conditionalFormatting sqref="AG260">
    <cfRule type="expression" dxfId="1004" priority="117">
      <formula>AND(B$9&gt;=14/24,B$9&lt;20/24)</formula>
    </cfRule>
    <cfRule type="expression" dxfId="1003" priority="118">
      <formula>AND(B$9&gt;=8/24,B$9&lt;14/24)</formula>
    </cfRule>
    <cfRule type="expression" dxfId="1002" priority="119">
      <formula>B$9&lt;8/24</formula>
    </cfRule>
    <cfRule type="expression" dxfId="1001" priority="116">
      <formula>B$9&gt;=20/24</formula>
    </cfRule>
  </conditionalFormatting>
  <conditionalFormatting sqref="AH260:AX260">
    <cfRule type="expression" dxfId="1000" priority="120">
      <formula>AG$9&gt;=20/24</formula>
    </cfRule>
    <cfRule type="expression" dxfId="999" priority="121">
      <formula>AND(AG$9&gt;=14/24,AG$9&lt;20/24)</formula>
    </cfRule>
    <cfRule type="expression" dxfId="998" priority="122">
      <formula>AND(AG$9&gt;=8/24,AG$9&lt;14/24)</formula>
    </cfRule>
    <cfRule type="expression" dxfId="997" priority="123">
      <formula>AG$9&lt;8/24</formula>
    </cfRule>
  </conditionalFormatting>
  <conditionalFormatting sqref="AL4:AL6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996" priority="129">
      <formula>AJ$9&gt;=20/24</formula>
    </cfRule>
    <cfRule type="expression" dxfId="995" priority="130">
      <formula>AND(AJ$9&gt;=14/24,AJ$9&lt;20/24)</formula>
    </cfRule>
    <cfRule type="expression" dxfId="994" priority="131">
      <formula>AND(AJ$9&gt;=8/24,AJ$9&lt;14/24)</formula>
    </cfRule>
    <cfRule type="expression" dxfId="993" priority="132">
      <formula>AJ$9&lt;8/24</formula>
    </cfRule>
  </conditionalFormatting>
  <conditionalFormatting sqref="AL88:AN88 AL94:AN94">
    <cfRule type="expression" dxfId="992" priority="78">
      <formula>AL$9&lt;8/24</formula>
    </cfRule>
    <cfRule type="expression" dxfId="991" priority="77">
      <formula>AND(AL$9&gt;=8/24,AL$9&lt;14/24)</formula>
    </cfRule>
    <cfRule type="expression" dxfId="990" priority="76">
      <formula>AND(AL$9&gt;=14/24,AL$9&lt;20/24)</formula>
    </cfRule>
    <cfRule type="expression" dxfId="989" priority="75">
      <formula>AL$9&gt;=20/24</formula>
    </cfRule>
  </conditionalFormatting>
  <conditionalFormatting sqref="AN89:AN92">
    <cfRule type="expression" dxfId="988" priority="74">
      <formula>AN$9&lt;8/24</formula>
    </cfRule>
    <cfRule type="expression" dxfId="987" priority="73">
      <formula>AND(AN$9&gt;=8/24,AN$9&lt;14/24)</formula>
    </cfRule>
    <cfRule type="expression" dxfId="986" priority="72">
      <formula>AND(AN$9&gt;=14/24,AN$9&lt;20/24)</formula>
    </cfRule>
    <cfRule type="expression" dxfId="985" priority="7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E208-CF9E-4D23-9672-70708E45203E}">
  <sheetPr codeName="Sheet25"/>
  <dimension ref="A1:CJ293"/>
  <sheetViews>
    <sheetView zoomScale="106" workbookViewId="0">
      <pane xSplit="1" ySplit="10" topLeftCell="B100" activePane="bottomRight" state="frozen"/>
      <selection activeCell="P118" sqref="P118"/>
      <selection pane="topRight" activeCell="P118" sqref="P118"/>
      <selection pane="bottomLeft" activeCell="P118" sqref="P118"/>
      <selection pane="bottomRight" activeCell="L83" sqref="L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2080/09/24</v>
      </c>
      <c r="C4" s="246"/>
      <c r="D4" s="246"/>
      <c r="E4" s="247" t="str">
        <f ca="1">"2080/"&amp;"09/"&amp;INT(MID(CELL("filename",G6),FIND("]",CELL("filename",G6))+1,200))</f>
        <v>2080/09/24</v>
      </c>
      <c r="F4" s="247"/>
      <c r="G4" s="247"/>
      <c r="H4" s="247" t="str">
        <f ca="1">TEXT(E4,"dddd")</f>
        <v>Tuesday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224.6</v>
      </c>
      <c r="C5" s="30">
        <f t="shared" si="0"/>
        <v>229</v>
      </c>
      <c r="D5" s="30">
        <f t="shared" si="0"/>
        <v>223</v>
      </c>
      <c r="E5" s="30">
        <f t="shared" si="0"/>
        <v>247.3</v>
      </c>
      <c r="F5" s="30">
        <f t="shared" si="0"/>
        <v>253</v>
      </c>
      <c r="G5" s="30">
        <f t="shared" si="0"/>
        <v>364</v>
      </c>
      <c r="H5" s="30">
        <f t="shared" si="0"/>
        <v>419.3</v>
      </c>
      <c r="I5" s="30">
        <f t="shared" si="0"/>
        <v>454</v>
      </c>
      <c r="J5" s="30">
        <f t="shared" si="0"/>
        <v>457.2</v>
      </c>
      <c r="K5" s="30">
        <f t="shared" si="0"/>
        <v>315</v>
      </c>
      <c r="L5" s="30">
        <f t="shared" si="0"/>
        <v>206.6</v>
      </c>
      <c r="M5" s="30">
        <f t="shared" si="0"/>
        <v>103.9</v>
      </c>
      <c r="N5" s="30">
        <f t="shared" si="0"/>
        <v>113.69999999999999</v>
      </c>
      <c r="O5" s="30">
        <f t="shared" si="0"/>
        <v>236.9</v>
      </c>
      <c r="P5" s="30">
        <f t="shared" si="0"/>
        <v>435.3</v>
      </c>
      <c r="Q5" s="30">
        <f t="shared" si="0"/>
        <v>470.1</v>
      </c>
      <c r="R5" s="30">
        <f t="shared" si="0"/>
        <v>459</v>
      </c>
      <c r="S5" s="30">
        <f t="shared" si="0"/>
        <v>476.29999999999995</v>
      </c>
      <c r="T5" s="30">
        <f t="shared" si="0"/>
        <v>469.59999999999997</v>
      </c>
      <c r="U5" s="30">
        <f t="shared" si="0"/>
        <v>312</v>
      </c>
      <c r="V5" s="30">
        <f t="shared" si="0"/>
        <v>268.09999999999997</v>
      </c>
      <c r="W5" s="30">
        <f t="shared" si="0"/>
        <v>311.39999999999998</v>
      </c>
      <c r="X5" s="30">
        <f t="shared" si="0"/>
        <v>289</v>
      </c>
      <c r="Y5" s="30">
        <f t="shared" si="0"/>
        <v>253.89999999999998</v>
      </c>
      <c r="Z5" s="30">
        <f t="shared" si="0"/>
        <v>283.7</v>
      </c>
      <c r="AA5" s="30">
        <f t="shared" si="0"/>
        <v>300.89999999999998</v>
      </c>
      <c r="AB5" s="30">
        <f t="shared" si="0"/>
        <v>275.2</v>
      </c>
      <c r="AC5" s="30">
        <f t="shared" si="0"/>
        <v>335.7</v>
      </c>
      <c r="AD5" s="30">
        <f t="shared" si="0"/>
        <v>323.5</v>
      </c>
      <c r="AE5" s="30">
        <f t="shared" si="0"/>
        <v>267.8</v>
      </c>
      <c r="AF5" s="30">
        <f>B92</f>
        <v>239.1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Load=972</v>
      </c>
      <c r="B7" s="35">
        <f>B100</f>
        <v>1006.7400000000001</v>
      </c>
      <c r="C7" s="35">
        <f t="shared" ref="C7:AF7" si="1">C100</f>
        <v>994.04000000000008</v>
      </c>
      <c r="D7" s="35">
        <f t="shared" si="1"/>
        <v>998.44</v>
      </c>
      <c r="E7" s="35">
        <f t="shared" si="1"/>
        <v>971.74</v>
      </c>
      <c r="F7" s="35">
        <f t="shared" si="1"/>
        <v>993.33999999999992</v>
      </c>
      <c r="G7" s="35">
        <f t="shared" si="1"/>
        <v>1008.2400000000001</v>
      </c>
      <c r="H7" s="35">
        <f t="shared" si="1"/>
        <v>1148.2400000000002</v>
      </c>
      <c r="I7" s="35">
        <f t="shared" si="1"/>
        <v>1237.3400000000001</v>
      </c>
      <c r="J7" s="35">
        <f t="shared" si="1"/>
        <v>1430.14</v>
      </c>
      <c r="K7" s="35">
        <f t="shared" si="1"/>
        <v>1541.5700000000002</v>
      </c>
      <c r="L7" s="35">
        <f t="shared" si="1"/>
        <v>1725.54</v>
      </c>
      <c r="M7" s="35">
        <f t="shared" si="1"/>
        <v>1719.54</v>
      </c>
      <c r="N7" s="35">
        <f t="shared" si="1"/>
        <v>1588.0400000000002</v>
      </c>
      <c r="O7" s="35">
        <f t="shared" si="1"/>
        <v>1602.64</v>
      </c>
      <c r="P7" s="35">
        <f t="shared" si="1"/>
        <v>1473.5400000000002</v>
      </c>
      <c r="Q7" s="35">
        <f t="shared" si="1"/>
        <v>1433.54</v>
      </c>
      <c r="R7" s="35">
        <f t="shared" si="1"/>
        <v>1382.44</v>
      </c>
      <c r="S7" s="35">
        <f t="shared" si="1"/>
        <v>1336.3400000000001</v>
      </c>
      <c r="T7" s="35">
        <f t="shared" si="1"/>
        <v>1349.24</v>
      </c>
      <c r="U7" s="35">
        <f t="shared" si="1"/>
        <v>1380.54</v>
      </c>
      <c r="V7" s="35">
        <f t="shared" si="1"/>
        <v>1416.34</v>
      </c>
      <c r="W7" s="35">
        <f t="shared" si="1"/>
        <v>1489.9399999999998</v>
      </c>
      <c r="X7" s="35">
        <f t="shared" si="1"/>
        <v>1716.2400000000002</v>
      </c>
      <c r="Y7" s="35">
        <f t="shared" si="1"/>
        <v>1724.7400000000002</v>
      </c>
      <c r="Z7" s="35">
        <f t="shared" si="1"/>
        <v>1693.1399999999999</v>
      </c>
      <c r="AA7" s="35">
        <f t="shared" si="1"/>
        <v>1658.14</v>
      </c>
      <c r="AB7" s="35">
        <f t="shared" si="1"/>
        <v>1498.7400000000002</v>
      </c>
      <c r="AC7" s="35">
        <f t="shared" si="1"/>
        <v>1474.36</v>
      </c>
      <c r="AD7" s="35">
        <f t="shared" si="1"/>
        <v>1406.4400000000003</v>
      </c>
      <c r="AE7" s="35">
        <f t="shared" si="1"/>
        <v>1182.44</v>
      </c>
      <c r="AF7" s="35">
        <f t="shared" si="1"/>
        <v>1053.6400000000001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36.1</v>
      </c>
      <c r="C11" s="45">
        <v>36.1</v>
      </c>
      <c r="D11" s="45">
        <v>36.1</v>
      </c>
      <c r="E11" s="45">
        <v>37.5</v>
      </c>
      <c r="F11" s="45">
        <v>34.799999999999997</v>
      </c>
      <c r="G11" s="45">
        <v>33.200000000000003</v>
      </c>
      <c r="H11" s="45">
        <v>33.200000000000003</v>
      </c>
      <c r="I11" s="45">
        <v>33.200000000000003</v>
      </c>
      <c r="J11" s="45">
        <v>33.200000000000003</v>
      </c>
      <c r="K11" s="45">
        <v>33.200000000000003</v>
      </c>
      <c r="L11" s="45">
        <v>33.200000000000003</v>
      </c>
      <c r="M11" s="45">
        <v>35.1</v>
      </c>
      <c r="N11" s="45">
        <v>35.1</v>
      </c>
      <c r="O11" s="45">
        <v>32</v>
      </c>
      <c r="P11" s="45">
        <v>36.799999999999997</v>
      </c>
      <c r="Q11" s="45">
        <v>32</v>
      </c>
      <c r="R11" s="45">
        <v>32</v>
      </c>
      <c r="S11" s="45">
        <v>32</v>
      </c>
      <c r="T11" s="45">
        <v>32</v>
      </c>
      <c r="U11" s="45">
        <v>32</v>
      </c>
      <c r="V11" s="45">
        <v>32</v>
      </c>
      <c r="W11" s="45">
        <v>32</v>
      </c>
      <c r="X11" s="45">
        <v>32</v>
      </c>
      <c r="Y11" s="45">
        <v>32.9</v>
      </c>
      <c r="Z11" s="45">
        <v>32.9</v>
      </c>
      <c r="AA11" s="45">
        <v>36.799999999999997</v>
      </c>
      <c r="AB11" s="45">
        <v>36.799999999999997</v>
      </c>
      <c r="AC11" s="45">
        <v>36.799999999999997</v>
      </c>
      <c r="AD11" s="45">
        <v>32.5</v>
      </c>
      <c r="AE11" s="45">
        <v>36.1</v>
      </c>
      <c r="AF11" s="45">
        <v>36.799999999999997</v>
      </c>
      <c r="AG11" s="46">
        <v>86</v>
      </c>
      <c r="AH11" s="47">
        <f t="shared" ref="AH11:AH84" si="2">MAX(B11:AF11)</f>
        <v>37.5</v>
      </c>
      <c r="AI11" s="48">
        <f t="shared" ref="AI11:AI84" si="3">MIN(B11:AF11)</f>
        <v>32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11</v>
      </c>
      <c r="C12" s="45">
        <v>11</v>
      </c>
      <c r="D12" s="45">
        <v>11</v>
      </c>
      <c r="E12" s="45">
        <v>11</v>
      </c>
      <c r="F12" s="45">
        <v>11</v>
      </c>
      <c r="G12" s="45">
        <v>11</v>
      </c>
      <c r="H12" s="45">
        <v>11</v>
      </c>
      <c r="I12" s="45">
        <v>11</v>
      </c>
      <c r="J12" s="45">
        <v>11</v>
      </c>
      <c r="K12" s="45">
        <v>11</v>
      </c>
      <c r="L12" s="45">
        <v>11</v>
      </c>
      <c r="M12" s="45">
        <v>11</v>
      </c>
      <c r="N12" s="45">
        <v>11</v>
      </c>
      <c r="O12" s="45">
        <v>11</v>
      </c>
      <c r="P12" s="45">
        <v>11</v>
      </c>
      <c r="Q12" s="45">
        <v>11</v>
      </c>
      <c r="R12" s="45">
        <v>11</v>
      </c>
      <c r="S12" s="45">
        <v>11</v>
      </c>
      <c r="T12" s="45">
        <v>11</v>
      </c>
      <c r="U12" s="45">
        <v>11</v>
      </c>
      <c r="V12" s="45">
        <v>11</v>
      </c>
      <c r="W12" s="45">
        <v>11</v>
      </c>
      <c r="X12" s="45">
        <v>11</v>
      </c>
      <c r="Y12" s="45">
        <v>11</v>
      </c>
      <c r="Z12" s="45">
        <v>11</v>
      </c>
      <c r="AA12" s="45">
        <v>11</v>
      </c>
      <c r="AB12" s="45">
        <v>11</v>
      </c>
      <c r="AC12" s="45">
        <v>11</v>
      </c>
      <c r="AD12" s="45">
        <v>11</v>
      </c>
      <c r="AE12" s="45">
        <v>11</v>
      </c>
      <c r="AF12" s="45">
        <v>11</v>
      </c>
      <c r="AG12" s="49">
        <v>54</v>
      </c>
      <c r="AH12" s="47">
        <f t="shared" si="2"/>
        <v>11</v>
      </c>
      <c r="AI12" s="48">
        <f t="shared" si="3"/>
        <v>11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16</v>
      </c>
      <c r="C13" s="45">
        <v>16</v>
      </c>
      <c r="D13" s="45">
        <v>16</v>
      </c>
      <c r="E13" s="45">
        <v>16</v>
      </c>
      <c r="F13" s="45">
        <v>16</v>
      </c>
      <c r="G13" s="45">
        <v>16</v>
      </c>
      <c r="H13" s="45">
        <v>16</v>
      </c>
      <c r="I13" s="45">
        <v>16</v>
      </c>
      <c r="J13" s="45">
        <v>16</v>
      </c>
      <c r="K13" s="45">
        <v>16</v>
      </c>
      <c r="L13" s="45">
        <v>16</v>
      </c>
      <c r="M13" s="45">
        <v>16</v>
      </c>
      <c r="N13" s="45">
        <v>16</v>
      </c>
      <c r="O13" s="45">
        <v>16</v>
      </c>
      <c r="P13" s="45">
        <v>16</v>
      </c>
      <c r="Q13" s="45">
        <v>16</v>
      </c>
      <c r="R13" s="45">
        <v>16</v>
      </c>
      <c r="S13" s="45">
        <v>15</v>
      </c>
      <c r="T13" s="45">
        <v>15</v>
      </c>
      <c r="U13" s="45">
        <v>15</v>
      </c>
      <c r="V13" s="45">
        <v>15</v>
      </c>
      <c r="W13" s="45">
        <v>15</v>
      </c>
      <c r="X13" s="45">
        <v>15</v>
      </c>
      <c r="Y13" s="45">
        <v>15</v>
      </c>
      <c r="Z13" s="45">
        <v>15</v>
      </c>
      <c r="AA13" s="45">
        <v>15</v>
      </c>
      <c r="AB13" s="45">
        <v>15</v>
      </c>
      <c r="AC13" s="45">
        <v>15</v>
      </c>
      <c r="AD13" s="45">
        <v>15</v>
      </c>
      <c r="AE13" s="45">
        <v>15</v>
      </c>
      <c r="AF13" s="45">
        <v>15</v>
      </c>
      <c r="AG13" s="49">
        <v>54</v>
      </c>
      <c r="AH13" s="47">
        <f t="shared" si="2"/>
        <v>16</v>
      </c>
      <c r="AI13" s="48">
        <f t="shared" si="3"/>
        <v>15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18</v>
      </c>
      <c r="C14" s="45">
        <v>18</v>
      </c>
      <c r="D14" s="45">
        <v>18</v>
      </c>
      <c r="E14" s="45">
        <v>18</v>
      </c>
      <c r="F14" s="45">
        <v>18</v>
      </c>
      <c r="G14" s="45">
        <v>18</v>
      </c>
      <c r="H14" s="45">
        <v>18</v>
      </c>
      <c r="I14" s="45">
        <v>17.899999999999999</v>
      </c>
      <c r="J14" s="45">
        <v>18</v>
      </c>
      <c r="K14" s="45">
        <v>17.100000000000001</v>
      </c>
      <c r="L14" s="45">
        <v>17</v>
      </c>
      <c r="M14" s="45">
        <v>17</v>
      </c>
      <c r="N14" s="45">
        <v>17</v>
      </c>
      <c r="O14" s="45">
        <v>17</v>
      </c>
      <c r="P14" s="45">
        <v>17</v>
      </c>
      <c r="Q14" s="45">
        <v>17</v>
      </c>
      <c r="R14" s="45">
        <v>17</v>
      </c>
      <c r="S14" s="45">
        <v>17.100000000000001</v>
      </c>
      <c r="T14" s="45">
        <v>17.100000000000001</v>
      </c>
      <c r="U14" s="45">
        <v>17.100000000000001</v>
      </c>
      <c r="V14" s="45">
        <v>17.100000000000001</v>
      </c>
      <c r="W14" s="45">
        <v>17.100000000000001</v>
      </c>
      <c r="X14" s="45">
        <v>17.100000000000001</v>
      </c>
      <c r="Y14" s="45">
        <v>17.100000000000001</v>
      </c>
      <c r="Z14" s="45">
        <v>17.100000000000001</v>
      </c>
      <c r="AA14" s="45">
        <v>17.100000000000001</v>
      </c>
      <c r="AB14" s="45">
        <v>17.100000000000001</v>
      </c>
      <c r="AC14" s="45">
        <v>17.100000000000001</v>
      </c>
      <c r="AD14" s="45">
        <v>19.5</v>
      </c>
      <c r="AE14" s="45">
        <v>19.5</v>
      </c>
      <c r="AF14" s="45">
        <v>19</v>
      </c>
      <c r="AG14" s="46">
        <v>52.4</v>
      </c>
      <c r="AH14" s="47">
        <f t="shared" si="2"/>
        <v>19.5</v>
      </c>
      <c r="AI14" s="48">
        <f t="shared" si="3"/>
        <v>17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38.6</v>
      </c>
      <c r="C15" s="45">
        <v>38.6</v>
      </c>
      <c r="D15" s="45">
        <v>38.6</v>
      </c>
      <c r="E15" s="45">
        <v>38.4</v>
      </c>
      <c r="F15" s="45">
        <v>38.4</v>
      </c>
      <c r="G15" s="45">
        <v>38.4</v>
      </c>
      <c r="H15" s="45">
        <v>38.4</v>
      </c>
      <c r="I15" s="45">
        <v>38.4</v>
      </c>
      <c r="J15" s="45">
        <v>38.4</v>
      </c>
      <c r="K15" s="45">
        <v>38.4</v>
      </c>
      <c r="L15" s="45">
        <v>38.4</v>
      </c>
      <c r="M15" s="45">
        <v>38.4</v>
      </c>
      <c r="N15" s="45">
        <v>38.4</v>
      </c>
      <c r="O15" s="45">
        <v>38.4</v>
      </c>
      <c r="P15" s="45">
        <v>38.4</v>
      </c>
      <c r="Q15" s="45">
        <v>38.4</v>
      </c>
      <c r="R15" s="45">
        <v>38.4</v>
      </c>
      <c r="S15" s="45">
        <v>38</v>
      </c>
      <c r="T15" s="45">
        <v>38</v>
      </c>
      <c r="U15" s="45">
        <v>38</v>
      </c>
      <c r="V15" s="45">
        <v>38</v>
      </c>
      <c r="W15" s="45">
        <v>38</v>
      </c>
      <c r="X15" s="45">
        <v>38</v>
      </c>
      <c r="Y15" s="45">
        <v>38</v>
      </c>
      <c r="Z15" s="45">
        <v>38</v>
      </c>
      <c r="AA15" s="45">
        <v>38</v>
      </c>
      <c r="AB15" s="45">
        <v>38</v>
      </c>
      <c r="AC15" s="45">
        <v>38</v>
      </c>
      <c r="AD15" s="45">
        <v>37.4</v>
      </c>
      <c r="AE15" s="45">
        <v>37.1</v>
      </c>
      <c r="AF15" s="45">
        <v>37.200000000000003</v>
      </c>
      <c r="AG15" s="49">
        <v>50</v>
      </c>
      <c r="AH15" s="47">
        <f t="shared" si="2"/>
        <v>38.6</v>
      </c>
      <c r="AI15" s="48">
        <f t="shared" si="3"/>
        <v>37.1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20.2</v>
      </c>
      <c r="C16" s="45">
        <v>20.2</v>
      </c>
      <c r="D16" s="45">
        <v>20.2</v>
      </c>
      <c r="E16" s="45">
        <v>20</v>
      </c>
      <c r="F16" s="45">
        <v>20</v>
      </c>
      <c r="G16" s="45">
        <v>20</v>
      </c>
      <c r="H16" s="45">
        <v>20</v>
      </c>
      <c r="I16" s="45">
        <v>20</v>
      </c>
      <c r="J16" s="45">
        <v>19.100000000000001</v>
      </c>
      <c r="K16" s="45">
        <v>19.100000000000001</v>
      </c>
      <c r="L16" s="45">
        <v>19.5</v>
      </c>
      <c r="M16" s="45">
        <v>19.5</v>
      </c>
      <c r="N16" s="45">
        <v>19.5</v>
      </c>
      <c r="O16" s="45">
        <v>19.5</v>
      </c>
      <c r="P16" s="45">
        <v>19.5</v>
      </c>
      <c r="Q16" s="45">
        <v>19.5</v>
      </c>
      <c r="R16" s="45">
        <v>19.5</v>
      </c>
      <c r="S16" s="45">
        <v>22.1</v>
      </c>
      <c r="T16" s="45">
        <v>22.1</v>
      </c>
      <c r="U16" s="45">
        <v>22.1</v>
      </c>
      <c r="V16" s="45">
        <v>22.1</v>
      </c>
      <c r="W16" s="45">
        <v>22.1</v>
      </c>
      <c r="X16" s="45">
        <v>22.1</v>
      </c>
      <c r="Y16" s="45">
        <v>22.1</v>
      </c>
      <c r="Z16" s="45">
        <v>22.1</v>
      </c>
      <c r="AA16" s="45">
        <v>22.1</v>
      </c>
      <c r="AB16" s="45">
        <v>22.1</v>
      </c>
      <c r="AC16" s="45">
        <v>22.1</v>
      </c>
      <c r="AD16" s="45">
        <v>20.9</v>
      </c>
      <c r="AE16" s="45">
        <v>21.8</v>
      </c>
      <c r="AF16" s="45">
        <v>20.9</v>
      </c>
      <c r="AG16" s="49">
        <v>45</v>
      </c>
      <c r="AH16" s="47">
        <f t="shared" si="2"/>
        <v>22.1</v>
      </c>
      <c r="AI16" s="48">
        <f t="shared" si="3"/>
        <v>19.100000000000001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11</v>
      </c>
      <c r="C18" s="45">
        <v>11</v>
      </c>
      <c r="D18" s="45">
        <v>11</v>
      </c>
      <c r="E18" s="45">
        <v>10</v>
      </c>
      <c r="F18" s="45">
        <v>10</v>
      </c>
      <c r="G18" s="45">
        <v>10</v>
      </c>
      <c r="H18" s="45">
        <v>10</v>
      </c>
      <c r="I18" s="45">
        <v>10</v>
      </c>
      <c r="J18" s="45">
        <v>9.9</v>
      </c>
      <c r="K18" s="45">
        <v>10</v>
      </c>
      <c r="L18" s="45">
        <v>10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9.5</v>
      </c>
      <c r="T18" s="45">
        <v>9.5</v>
      </c>
      <c r="U18" s="45">
        <v>9.5</v>
      </c>
      <c r="V18" s="45">
        <v>9.5</v>
      </c>
      <c r="W18" s="45">
        <v>9.5</v>
      </c>
      <c r="X18" s="45">
        <v>9.5</v>
      </c>
      <c r="Y18" s="45">
        <v>9.5</v>
      </c>
      <c r="Z18" s="45">
        <v>9.5</v>
      </c>
      <c r="AA18" s="45">
        <v>9.5</v>
      </c>
      <c r="AB18" s="45">
        <v>9.5</v>
      </c>
      <c r="AC18" s="45">
        <v>9.5</v>
      </c>
      <c r="AD18" s="45">
        <v>10.5</v>
      </c>
      <c r="AE18" s="45">
        <v>10.5</v>
      </c>
      <c r="AF18" s="45">
        <v>10.5</v>
      </c>
      <c r="AG18" s="49">
        <v>42</v>
      </c>
      <c r="AH18" s="47">
        <f t="shared" si="2"/>
        <v>11</v>
      </c>
      <c r="AI18" s="48">
        <f t="shared" si="3"/>
        <v>9.5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12.5</v>
      </c>
      <c r="C20" s="45">
        <v>12.5</v>
      </c>
      <c r="D20" s="45">
        <v>12.5</v>
      </c>
      <c r="E20" s="45">
        <v>12.5</v>
      </c>
      <c r="F20" s="45">
        <v>12.5</v>
      </c>
      <c r="G20" s="45">
        <v>12.5</v>
      </c>
      <c r="H20" s="45">
        <v>12.5</v>
      </c>
      <c r="I20" s="45">
        <v>12.5</v>
      </c>
      <c r="J20" s="45">
        <v>12.5</v>
      </c>
      <c r="K20" s="45">
        <v>12.5</v>
      </c>
      <c r="L20" s="45">
        <v>12.5</v>
      </c>
      <c r="M20" s="45">
        <v>12.5</v>
      </c>
      <c r="N20" s="45">
        <v>12.5</v>
      </c>
      <c r="O20" s="45">
        <v>12.5</v>
      </c>
      <c r="P20" s="45">
        <v>12.5</v>
      </c>
      <c r="Q20" s="45">
        <v>12.5</v>
      </c>
      <c r="R20" s="45">
        <v>12.5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12.5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16</v>
      </c>
      <c r="C21" s="45">
        <v>16</v>
      </c>
      <c r="D21" s="45">
        <v>16</v>
      </c>
      <c r="E21" s="45">
        <v>16</v>
      </c>
      <c r="F21" s="45">
        <v>16</v>
      </c>
      <c r="G21" s="45">
        <v>16</v>
      </c>
      <c r="H21" s="45">
        <v>16</v>
      </c>
      <c r="I21" s="45">
        <v>16</v>
      </c>
      <c r="J21" s="45">
        <v>16</v>
      </c>
      <c r="K21" s="45">
        <v>16</v>
      </c>
      <c r="L21" s="45">
        <v>16</v>
      </c>
      <c r="M21" s="45">
        <v>16</v>
      </c>
      <c r="N21" s="45">
        <v>16</v>
      </c>
      <c r="O21" s="45">
        <v>16</v>
      </c>
      <c r="P21" s="45">
        <v>16</v>
      </c>
      <c r="Q21" s="45">
        <v>16</v>
      </c>
      <c r="R21" s="45">
        <v>16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10.5</v>
      </c>
      <c r="C22" s="45">
        <v>10.5</v>
      </c>
      <c r="D22" s="45">
        <v>10.5</v>
      </c>
      <c r="E22" s="45">
        <v>10.5</v>
      </c>
      <c r="F22" s="45">
        <v>10.5</v>
      </c>
      <c r="G22" s="45">
        <v>10.5</v>
      </c>
      <c r="H22" s="45">
        <v>10.5</v>
      </c>
      <c r="I22" s="45">
        <v>10.5</v>
      </c>
      <c r="J22" s="45">
        <v>10.3</v>
      </c>
      <c r="K22" s="45">
        <v>10.3</v>
      </c>
      <c r="L22" s="45">
        <v>10.3</v>
      </c>
      <c r="M22" s="45">
        <v>10.3</v>
      </c>
      <c r="N22" s="45">
        <v>10.3</v>
      </c>
      <c r="O22" s="45">
        <v>10.3</v>
      </c>
      <c r="P22" s="45">
        <v>10.3</v>
      </c>
      <c r="Q22" s="45">
        <v>10.3</v>
      </c>
      <c r="R22" s="45">
        <v>10.3</v>
      </c>
      <c r="S22" s="45">
        <v>10.5</v>
      </c>
      <c r="T22" s="45">
        <v>10.5</v>
      </c>
      <c r="U22" s="45">
        <v>10.5</v>
      </c>
      <c r="V22" s="45">
        <v>10.5</v>
      </c>
      <c r="W22" s="45">
        <v>10.5</v>
      </c>
      <c r="X22" s="45">
        <v>10.5</v>
      </c>
      <c r="Y22" s="45">
        <v>10.5</v>
      </c>
      <c r="Z22" s="45">
        <v>10.5</v>
      </c>
      <c r="AA22" s="45">
        <v>10.5</v>
      </c>
      <c r="AB22" s="45">
        <v>10.5</v>
      </c>
      <c r="AC22" s="45">
        <v>10.5</v>
      </c>
      <c r="AD22" s="45">
        <v>10.5</v>
      </c>
      <c r="AE22" s="45">
        <v>10.5</v>
      </c>
      <c r="AF22" s="45">
        <v>10.5</v>
      </c>
      <c r="AG22" s="52">
        <v>30</v>
      </c>
      <c r="AH22" s="47">
        <f t="shared" si="2"/>
        <v>10.5</v>
      </c>
      <c r="AI22" s="48">
        <f t="shared" si="3"/>
        <v>10.3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10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</v>
      </c>
      <c r="C24" s="45">
        <v>10</v>
      </c>
      <c r="D24" s="45">
        <v>10</v>
      </c>
      <c r="E24" s="45">
        <v>10</v>
      </c>
      <c r="F24" s="45">
        <v>10</v>
      </c>
      <c r="G24" s="45">
        <v>10</v>
      </c>
      <c r="H24" s="45">
        <v>10</v>
      </c>
      <c r="I24" s="45">
        <v>10</v>
      </c>
      <c r="J24" s="45">
        <v>10</v>
      </c>
      <c r="K24" s="45">
        <v>10</v>
      </c>
      <c r="L24" s="45">
        <v>10</v>
      </c>
      <c r="M24" s="45">
        <v>10</v>
      </c>
      <c r="N24" s="45">
        <v>10</v>
      </c>
      <c r="O24" s="45">
        <v>10</v>
      </c>
      <c r="P24" s="45">
        <v>10</v>
      </c>
      <c r="Q24" s="45">
        <v>10</v>
      </c>
      <c r="R24" s="45">
        <v>10</v>
      </c>
      <c r="S24" s="45">
        <v>10</v>
      </c>
      <c r="T24" s="45">
        <v>10</v>
      </c>
      <c r="U24" s="45">
        <v>10</v>
      </c>
      <c r="V24" s="45">
        <v>10</v>
      </c>
      <c r="W24" s="45">
        <v>10</v>
      </c>
      <c r="X24" s="45">
        <v>10</v>
      </c>
      <c r="Y24" s="45">
        <v>10</v>
      </c>
      <c r="Z24" s="45">
        <v>10</v>
      </c>
      <c r="AA24" s="45">
        <v>10</v>
      </c>
      <c r="AB24" s="45">
        <v>10</v>
      </c>
      <c r="AC24" s="45">
        <v>10</v>
      </c>
      <c r="AD24" s="45">
        <v>10.199999999999999</v>
      </c>
      <c r="AE24" s="45">
        <v>11.7</v>
      </c>
      <c r="AF24" s="45">
        <v>11.7</v>
      </c>
      <c r="AG24" s="49">
        <v>28</v>
      </c>
      <c r="AH24" s="47">
        <f t="shared" si="2"/>
        <v>11.7</v>
      </c>
      <c r="AI24" s="48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9.6999999999999993</v>
      </c>
      <c r="C25" s="45">
        <v>9.6999999999999993</v>
      </c>
      <c r="D25" s="45">
        <v>9.6999999999999993</v>
      </c>
      <c r="E25" s="45">
        <v>9.6999999999999993</v>
      </c>
      <c r="F25" s="45">
        <v>9.6999999999999993</v>
      </c>
      <c r="G25" s="45">
        <v>9.6999999999999993</v>
      </c>
      <c r="H25" s="45">
        <v>9.6999999999999993</v>
      </c>
      <c r="I25" s="45">
        <v>9.1</v>
      </c>
      <c r="J25" s="45">
        <v>8.6999999999999993</v>
      </c>
      <c r="K25" s="45">
        <v>8.6999999999999993</v>
      </c>
      <c r="L25" s="45">
        <v>8.6999999999999993</v>
      </c>
      <c r="M25" s="45">
        <v>8.6999999999999993</v>
      </c>
      <c r="N25" s="45">
        <v>8.6999999999999993</v>
      </c>
      <c r="O25" s="45">
        <v>8.6999999999999993</v>
      </c>
      <c r="P25" s="45">
        <v>8.6999999999999993</v>
      </c>
      <c r="Q25" s="45">
        <v>8.6999999999999993</v>
      </c>
      <c r="R25" s="45">
        <v>8.6999999999999993</v>
      </c>
      <c r="S25" s="45">
        <v>9</v>
      </c>
      <c r="T25" s="45">
        <v>9</v>
      </c>
      <c r="U25" s="45">
        <v>9</v>
      </c>
      <c r="V25" s="45">
        <v>9</v>
      </c>
      <c r="W25" s="45">
        <v>9</v>
      </c>
      <c r="X25" s="45">
        <v>9</v>
      </c>
      <c r="Y25" s="45">
        <v>9</v>
      </c>
      <c r="Z25" s="45">
        <v>9</v>
      </c>
      <c r="AA25" s="45">
        <v>9</v>
      </c>
      <c r="AB25" s="45">
        <v>9</v>
      </c>
      <c r="AC25" s="45">
        <v>9</v>
      </c>
      <c r="AD25" s="45">
        <v>9</v>
      </c>
      <c r="AE25" s="45">
        <v>9</v>
      </c>
      <c r="AF25" s="45">
        <v>9</v>
      </c>
      <c r="AG25" s="52">
        <v>30</v>
      </c>
      <c r="AH25" s="47">
        <f t="shared" si="2"/>
        <v>9.6999999999999993</v>
      </c>
      <c r="AI25" s="48">
        <f t="shared" si="3"/>
        <v>8.6999999999999993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10.8</v>
      </c>
      <c r="C26" s="45">
        <v>10.8</v>
      </c>
      <c r="D26" s="45">
        <v>10.8</v>
      </c>
      <c r="E26" s="45">
        <v>10.8</v>
      </c>
      <c r="F26" s="45">
        <v>10.8</v>
      </c>
      <c r="G26" s="45">
        <v>10.8</v>
      </c>
      <c r="H26" s="45">
        <v>10.8</v>
      </c>
      <c r="I26" s="45">
        <v>10.8</v>
      </c>
      <c r="J26" s="45">
        <v>10.8</v>
      </c>
      <c r="K26" s="45">
        <v>10.8</v>
      </c>
      <c r="L26" s="45">
        <v>10.8</v>
      </c>
      <c r="M26" s="45">
        <v>10.8</v>
      </c>
      <c r="N26" s="45">
        <v>10.8</v>
      </c>
      <c r="O26" s="45">
        <v>10.8</v>
      </c>
      <c r="P26" s="45">
        <v>10.8</v>
      </c>
      <c r="Q26" s="45">
        <v>10.8</v>
      </c>
      <c r="R26" s="45">
        <v>10.8</v>
      </c>
      <c r="S26" s="45">
        <v>10.1</v>
      </c>
      <c r="T26" s="45">
        <v>10.1</v>
      </c>
      <c r="U26" s="45">
        <v>10.1</v>
      </c>
      <c r="V26" s="45">
        <v>10.1</v>
      </c>
      <c r="W26" s="45">
        <v>10.1</v>
      </c>
      <c r="X26" s="45">
        <v>10.1</v>
      </c>
      <c r="Y26" s="45">
        <v>10.1</v>
      </c>
      <c r="Z26" s="45">
        <v>10.1</v>
      </c>
      <c r="AA26" s="45">
        <v>10.1</v>
      </c>
      <c r="AB26" s="45">
        <v>10.1</v>
      </c>
      <c r="AC26" s="45">
        <v>10.1</v>
      </c>
      <c r="AD26" s="45">
        <v>10.5</v>
      </c>
      <c r="AE26" s="45">
        <v>10.5</v>
      </c>
      <c r="AF26" s="45">
        <v>10.4</v>
      </c>
      <c r="AG26" s="49">
        <v>25</v>
      </c>
      <c r="AH26" s="47">
        <f t="shared" si="2"/>
        <v>10.8</v>
      </c>
      <c r="AI26" s="48">
        <f t="shared" si="3"/>
        <v>10.1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9.5</v>
      </c>
      <c r="C28" s="45">
        <v>9.5</v>
      </c>
      <c r="D28" s="45">
        <v>9.5</v>
      </c>
      <c r="E28" s="45">
        <v>9.5</v>
      </c>
      <c r="F28" s="45">
        <v>9.5</v>
      </c>
      <c r="G28" s="45">
        <v>9.5</v>
      </c>
      <c r="H28" s="45">
        <v>9.5</v>
      </c>
      <c r="I28" s="45">
        <v>9.5</v>
      </c>
      <c r="J28" s="45">
        <v>9.5</v>
      </c>
      <c r="K28" s="45">
        <v>9.5</v>
      </c>
      <c r="L28" s="45">
        <v>9.5</v>
      </c>
      <c r="M28" s="45">
        <v>9.5</v>
      </c>
      <c r="N28" s="45">
        <v>9.5</v>
      </c>
      <c r="O28" s="45">
        <v>9.5</v>
      </c>
      <c r="P28" s="45">
        <v>9.5</v>
      </c>
      <c r="Q28" s="45">
        <v>9.5</v>
      </c>
      <c r="R28" s="45">
        <v>9.5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9.5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10.1</v>
      </c>
      <c r="C29" s="45">
        <v>10.1</v>
      </c>
      <c r="D29" s="45">
        <v>10.1</v>
      </c>
      <c r="E29" s="45">
        <v>10.1</v>
      </c>
      <c r="F29" s="45">
        <v>10.1</v>
      </c>
      <c r="G29" s="45">
        <v>10.1</v>
      </c>
      <c r="H29" s="45">
        <v>10.1</v>
      </c>
      <c r="I29" s="45">
        <v>10.1</v>
      </c>
      <c r="J29" s="45">
        <v>10.1</v>
      </c>
      <c r="K29" s="45">
        <v>10.1</v>
      </c>
      <c r="L29" s="45">
        <v>10.1</v>
      </c>
      <c r="M29" s="45">
        <v>10.1</v>
      </c>
      <c r="N29" s="45">
        <v>10.1</v>
      </c>
      <c r="O29" s="45">
        <v>10.1</v>
      </c>
      <c r="P29" s="45">
        <v>10.1</v>
      </c>
      <c r="Q29" s="45">
        <v>10.1</v>
      </c>
      <c r="R29" s="45">
        <v>10.1</v>
      </c>
      <c r="S29" s="45">
        <v>10.3</v>
      </c>
      <c r="T29" s="45">
        <v>10.3</v>
      </c>
      <c r="U29" s="45">
        <v>10.3</v>
      </c>
      <c r="V29" s="45">
        <v>10.3</v>
      </c>
      <c r="W29" s="45">
        <v>10.3</v>
      </c>
      <c r="X29" s="45">
        <v>10.3</v>
      </c>
      <c r="Y29" s="45">
        <v>10.3</v>
      </c>
      <c r="Z29" s="45">
        <v>10.3</v>
      </c>
      <c r="AA29" s="45">
        <v>10.3</v>
      </c>
      <c r="AB29" s="45">
        <v>10.3</v>
      </c>
      <c r="AC29" s="45">
        <v>10.3</v>
      </c>
      <c r="AD29" s="45">
        <v>10.3</v>
      </c>
      <c r="AE29" s="45">
        <v>10.199999999999999</v>
      </c>
      <c r="AF29" s="45">
        <v>10</v>
      </c>
      <c r="AG29" s="49">
        <v>25</v>
      </c>
      <c r="AH29" s="47">
        <f t="shared" si="2"/>
        <v>10.3</v>
      </c>
      <c r="AI29" s="48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11</v>
      </c>
      <c r="C30" s="45">
        <v>11</v>
      </c>
      <c r="D30" s="45">
        <v>11</v>
      </c>
      <c r="E30" s="45">
        <v>11</v>
      </c>
      <c r="F30" s="45">
        <v>11</v>
      </c>
      <c r="G30" s="45">
        <v>11</v>
      </c>
      <c r="H30" s="45">
        <v>11</v>
      </c>
      <c r="I30" s="45">
        <v>11</v>
      </c>
      <c r="J30" s="45">
        <v>11</v>
      </c>
      <c r="K30" s="45">
        <v>11</v>
      </c>
      <c r="L30" s="45">
        <v>11</v>
      </c>
      <c r="M30" s="45">
        <v>11</v>
      </c>
      <c r="N30" s="45">
        <v>11</v>
      </c>
      <c r="O30" s="45">
        <v>11</v>
      </c>
      <c r="P30" s="45">
        <v>11</v>
      </c>
      <c r="Q30" s="45">
        <v>11</v>
      </c>
      <c r="R30" s="45">
        <v>11</v>
      </c>
      <c r="S30" s="45">
        <v>9.9</v>
      </c>
      <c r="T30" s="45">
        <v>9.9</v>
      </c>
      <c r="U30" s="45">
        <v>9.9</v>
      </c>
      <c r="V30" s="45">
        <v>9.9</v>
      </c>
      <c r="W30" s="45">
        <v>9.9</v>
      </c>
      <c r="X30" s="45">
        <v>9.9</v>
      </c>
      <c r="Y30" s="45">
        <v>9.9</v>
      </c>
      <c r="Z30" s="45">
        <v>9.9</v>
      </c>
      <c r="AA30" s="45">
        <v>9.9</v>
      </c>
      <c r="AB30" s="45">
        <v>9.9</v>
      </c>
      <c r="AC30" s="45">
        <v>9.9</v>
      </c>
      <c r="AD30" s="45">
        <v>10.8</v>
      </c>
      <c r="AE30" s="45">
        <v>8.6</v>
      </c>
      <c r="AF30" s="45">
        <v>10.1</v>
      </c>
      <c r="AG30" s="49">
        <v>23.5</v>
      </c>
      <c r="AH30" s="47">
        <f t="shared" si="2"/>
        <v>11</v>
      </c>
      <c r="AI30" s="48">
        <f t="shared" si="3"/>
        <v>8.6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6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6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6.26</v>
      </c>
      <c r="C33" s="45">
        <v>6.26</v>
      </c>
      <c r="D33" s="45">
        <v>6.26</v>
      </c>
      <c r="E33" s="45">
        <v>6.26</v>
      </c>
      <c r="F33" s="45">
        <v>6.26</v>
      </c>
      <c r="G33" s="45">
        <v>6.26</v>
      </c>
      <c r="H33" s="45">
        <v>6.26</v>
      </c>
      <c r="I33" s="45">
        <v>6.26</v>
      </c>
      <c r="J33" s="45">
        <v>6.26</v>
      </c>
      <c r="K33" s="45">
        <v>6.26</v>
      </c>
      <c r="L33" s="45">
        <v>6.26</v>
      </c>
      <c r="M33" s="45">
        <v>6.26</v>
      </c>
      <c r="N33" s="45">
        <v>6.26</v>
      </c>
      <c r="O33" s="45">
        <v>6.26</v>
      </c>
      <c r="P33" s="45">
        <v>6.26</v>
      </c>
      <c r="Q33" s="45">
        <v>6.26</v>
      </c>
      <c r="R33" s="45">
        <v>6.26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6.26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</v>
      </c>
      <c r="C34" s="45">
        <v>9</v>
      </c>
      <c r="D34" s="45">
        <v>9</v>
      </c>
      <c r="E34" s="45">
        <v>9</v>
      </c>
      <c r="F34" s="45">
        <v>9</v>
      </c>
      <c r="G34" s="45">
        <v>9</v>
      </c>
      <c r="H34" s="45">
        <v>9</v>
      </c>
      <c r="I34" s="45">
        <v>9</v>
      </c>
      <c r="J34" s="45">
        <v>9</v>
      </c>
      <c r="K34" s="45">
        <v>9</v>
      </c>
      <c r="L34" s="45">
        <v>9</v>
      </c>
      <c r="M34" s="45">
        <v>9</v>
      </c>
      <c r="N34" s="45">
        <v>9</v>
      </c>
      <c r="O34" s="45">
        <v>9</v>
      </c>
      <c r="P34" s="45">
        <v>9</v>
      </c>
      <c r="Q34" s="45">
        <v>9</v>
      </c>
      <c r="R34" s="45">
        <v>9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4</v>
      </c>
      <c r="AA34" s="45">
        <v>4</v>
      </c>
      <c r="AB34" s="45">
        <v>4</v>
      </c>
      <c r="AC34" s="45">
        <v>4</v>
      </c>
      <c r="AD34" s="45">
        <v>10.8</v>
      </c>
      <c r="AE34" s="45">
        <v>9.8000000000000007</v>
      </c>
      <c r="AF34" s="45">
        <v>11.1</v>
      </c>
      <c r="AG34" s="49">
        <v>22</v>
      </c>
      <c r="AH34" s="47">
        <f t="shared" si="2"/>
        <v>11.1</v>
      </c>
      <c r="AI34" s="48">
        <f t="shared" si="3"/>
        <v>4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8.5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6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8</v>
      </c>
      <c r="C38" s="45">
        <v>8</v>
      </c>
      <c r="D38" s="45">
        <v>8</v>
      </c>
      <c r="E38" s="45">
        <v>8</v>
      </c>
      <c r="F38" s="45">
        <v>8</v>
      </c>
      <c r="G38" s="45">
        <v>8</v>
      </c>
      <c r="H38" s="45">
        <v>8</v>
      </c>
      <c r="I38" s="45">
        <v>8</v>
      </c>
      <c r="J38" s="45">
        <v>8</v>
      </c>
      <c r="K38" s="45">
        <v>8</v>
      </c>
      <c r="L38" s="45">
        <v>8</v>
      </c>
      <c r="M38" s="45">
        <v>8</v>
      </c>
      <c r="N38" s="45">
        <v>8</v>
      </c>
      <c r="O38" s="45">
        <v>8</v>
      </c>
      <c r="P38" s="45">
        <v>8</v>
      </c>
      <c r="Q38" s="45">
        <v>8</v>
      </c>
      <c r="R38" s="45">
        <v>8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8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4.5</v>
      </c>
      <c r="C41" s="45">
        <v>4.5</v>
      </c>
      <c r="D41" s="45">
        <v>4.5</v>
      </c>
      <c r="E41" s="45">
        <v>4.5</v>
      </c>
      <c r="F41" s="45">
        <v>4.5</v>
      </c>
      <c r="G41" s="45">
        <v>4.5</v>
      </c>
      <c r="H41" s="45">
        <v>4.5</v>
      </c>
      <c r="I41" s="45">
        <v>4.5</v>
      </c>
      <c r="J41" s="45">
        <v>4.5</v>
      </c>
      <c r="K41" s="45">
        <v>4.5</v>
      </c>
      <c r="L41" s="45">
        <v>4.5</v>
      </c>
      <c r="M41" s="45">
        <v>4.5</v>
      </c>
      <c r="N41" s="45">
        <v>4.5</v>
      </c>
      <c r="O41" s="45">
        <v>4.5</v>
      </c>
      <c r="P41" s="45">
        <v>4.5</v>
      </c>
      <c r="Q41" s="45">
        <v>4.5</v>
      </c>
      <c r="R41" s="45">
        <v>4.5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4.5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5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10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5.5</v>
      </c>
      <c r="C48" s="45">
        <v>5.5</v>
      </c>
      <c r="D48" s="45">
        <v>5.5</v>
      </c>
      <c r="E48" s="45">
        <v>5.5</v>
      </c>
      <c r="F48" s="45">
        <v>5.5</v>
      </c>
      <c r="G48" s="45">
        <v>5.5</v>
      </c>
      <c r="H48" s="45">
        <v>5.5</v>
      </c>
      <c r="I48" s="45">
        <v>5.5</v>
      </c>
      <c r="J48" s="45">
        <v>5.5</v>
      </c>
      <c r="K48" s="45">
        <v>5.5</v>
      </c>
      <c r="L48" s="45">
        <v>5.5</v>
      </c>
      <c r="M48" s="45">
        <v>5.5</v>
      </c>
      <c r="N48" s="45">
        <v>5.5</v>
      </c>
      <c r="O48" s="45">
        <v>5.5</v>
      </c>
      <c r="P48" s="45">
        <v>5.5</v>
      </c>
      <c r="Q48" s="45">
        <v>5.5</v>
      </c>
      <c r="R48" s="45">
        <v>5.5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5.5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4</v>
      </c>
      <c r="C49" s="45">
        <v>4</v>
      </c>
      <c r="D49" s="45">
        <v>4</v>
      </c>
      <c r="E49" s="45">
        <v>4</v>
      </c>
      <c r="F49" s="45">
        <v>4</v>
      </c>
      <c r="G49" s="45">
        <v>4</v>
      </c>
      <c r="H49" s="45">
        <v>4</v>
      </c>
      <c r="I49" s="45">
        <v>4</v>
      </c>
      <c r="J49" s="45">
        <v>4</v>
      </c>
      <c r="K49" s="45">
        <v>4</v>
      </c>
      <c r="L49" s="45">
        <v>4</v>
      </c>
      <c r="M49" s="45">
        <v>4</v>
      </c>
      <c r="N49" s="45">
        <v>4</v>
      </c>
      <c r="O49" s="45">
        <v>4</v>
      </c>
      <c r="P49" s="45">
        <v>4</v>
      </c>
      <c r="Q49" s="45">
        <v>4</v>
      </c>
      <c r="R49" s="45">
        <v>4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4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3.44</v>
      </c>
      <c r="C50" s="45">
        <v>3.44</v>
      </c>
      <c r="D50" s="45">
        <v>3.44</v>
      </c>
      <c r="E50" s="45">
        <v>3.44</v>
      </c>
      <c r="F50" s="45">
        <v>3.44</v>
      </c>
      <c r="G50" s="45">
        <v>3.44</v>
      </c>
      <c r="H50" s="45">
        <v>3.44</v>
      </c>
      <c r="I50" s="45">
        <v>3.44</v>
      </c>
      <c r="J50" s="45">
        <v>3.44</v>
      </c>
      <c r="K50" s="45">
        <v>3.44</v>
      </c>
      <c r="L50" s="45">
        <v>3.44</v>
      </c>
      <c r="M50" s="45">
        <v>3.44</v>
      </c>
      <c r="N50" s="45">
        <v>3.44</v>
      </c>
      <c r="O50" s="45">
        <v>3.44</v>
      </c>
      <c r="P50" s="45">
        <v>3.44</v>
      </c>
      <c r="Q50" s="45">
        <v>3.44</v>
      </c>
      <c r="R50" s="45">
        <v>3.44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3.44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f>8+23.5</f>
        <v>31.5</v>
      </c>
      <c r="C57" s="57">
        <f t="shared" ref="C57:D57" si="4">8+23.5</f>
        <v>31.5</v>
      </c>
      <c r="D57" s="57">
        <f t="shared" si="4"/>
        <v>31.5</v>
      </c>
      <c r="E57" s="57">
        <v>30.1</v>
      </c>
      <c r="F57" s="57">
        <v>29.5</v>
      </c>
      <c r="G57" s="57">
        <v>27.9</v>
      </c>
      <c r="H57" s="57">
        <v>27.9</v>
      </c>
      <c r="I57" s="57">
        <v>27.9</v>
      </c>
      <c r="J57" s="57">
        <v>27.4</v>
      </c>
      <c r="K57" s="57">
        <v>28.5</v>
      </c>
      <c r="L57" s="57">
        <v>28.1</v>
      </c>
      <c r="M57" s="57">
        <v>28</v>
      </c>
      <c r="N57" s="51">
        <f>21.9+7.2</f>
        <v>29.099999999999998</v>
      </c>
      <c r="O57" s="51">
        <f>21.9+7.2</f>
        <v>29.099999999999998</v>
      </c>
      <c r="P57" s="51">
        <f>20.2+6.6</f>
        <v>26.799999999999997</v>
      </c>
      <c r="Q57" s="51">
        <f>21.3+7.6</f>
        <v>28.9</v>
      </c>
      <c r="R57" s="51">
        <f>21.3+7.6</f>
        <v>28.9</v>
      </c>
      <c r="S57" s="51">
        <f>21.3+7.6</f>
        <v>28.9</v>
      </c>
      <c r="T57" s="51">
        <f t="shared" ref="T57:AA57" si="5">21.3+7.6</f>
        <v>28.9</v>
      </c>
      <c r="U57" s="51">
        <f t="shared" si="5"/>
        <v>28.9</v>
      </c>
      <c r="V57" s="51">
        <f t="shared" si="5"/>
        <v>28.9</v>
      </c>
      <c r="W57" s="51">
        <f t="shared" si="5"/>
        <v>28.9</v>
      </c>
      <c r="X57" s="51">
        <f t="shared" si="5"/>
        <v>28.9</v>
      </c>
      <c r="Y57" s="51">
        <f t="shared" si="5"/>
        <v>28.9</v>
      </c>
      <c r="Z57" s="51">
        <f t="shared" si="5"/>
        <v>28.9</v>
      </c>
      <c r="AA57" s="51">
        <f t="shared" si="5"/>
        <v>28.9</v>
      </c>
      <c r="AB57" s="51">
        <v>25.2</v>
      </c>
      <c r="AC57" s="51">
        <v>24.1</v>
      </c>
      <c r="AD57" s="51">
        <f>6.7+20.7</f>
        <v>27.4</v>
      </c>
      <c r="AE57" s="51">
        <f>8.1+22.2</f>
        <v>30.299999999999997</v>
      </c>
      <c r="AF57" s="51">
        <f>7.9+22.6</f>
        <v>30.5</v>
      </c>
      <c r="AG57" s="55">
        <v>240</v>
      </c>
      <c r="AH57" s="47">
        <f t="shared" si="2"/>
        <v>31.5</v>
      </c>
      <c r="AI57" s="48">
        <f t="shared" si="3"/>
        <v>24.1</v>
      </c>
      <c r="AK57" s="50"/>
    </row>
    <row r="58" spans="1:88" ht="15.75" thickBot="1" x14ac:dyDescent="0.3">
      <c r="A58" s="59" t="s">
        <v>58</v>
      </c>
      <c r="B58" s="60">
        <f t="shared" ref="B58:AA58" si="6">SUM(B11:B56)</f>
        <v>607.70000000000005</v>
      </c>
      <c r="C58" s="60">
        <f t="shared" si="6"/>
        <v>607.70000000000005</v>
      </c>
      <c r="D58" s="60">
        <f t="shared" si="6"/>
        <v>607.70000000000005</v>
      </c>
      <c r="E58" s="60">
        <f t="shared" si="6"/>
        <v>607.70000000000005</v>
      </c>
      <c r="F58" s="60">
        <f t="shared" si="6"/>
        <v>605</v>
      </c>
      <c r="G58" s="60">
        <f t="shared" si="6"/>
        <v>603.40000000000009</v>
      </c>
      <c r="H58" s="60">
        <f t="shared" ref="H58:I58" si="7">SUM(H11:H56)</f>
        <v>603.40000000000009</v>
      </c>
      <c r="I58" s="60">
        <f t="shared" si="7"/>
        <v>602.70000000000005</v>
      </c>
      <c r="J58" s="60">
        <f t="shared" si="6"/>
        <v>601.20000000000005</v>
      </c>
      <c r="K58" s="60">
        <f t="shared" si="6"/>
        <v>600.40000000000009</v>
      </c>
      <c r="L58" s="60">
        <f t="shared" si="6"/>
        <v>600.70000000000005</v>
      </c>
      <c r="M58" s="60">
        <f t="shared" ref="M58" si="8">SUM(M11:M56)</f>
        <v>602.6</v>
      </c>
      <c r="N58" s="60">
        <f t="shared" si="6"/>
        <v>602.6</v>
      </c>
      <c r="O58" s="60">
        <f t="shared" si="6"/>
        <v>599.5</v>
      </c>
      <c r="P58" s="60">
        <f t="shared" si="6"/>
        <v>604.29999999999995</v>
      </c>
      <c r="Q58" s="60">
        <f t="shared" si="6"/>
        <v>599.5</v>
      </c>
      <c r="R58" s="60">
        <f t="shared" si="6"/>
        <v>599.5</v>
      </c>
      <c r="S58" s="60">
        <f t="shared" si="6"/>
        <v>576.79999999999995</v>
      </c>
      <c r="T58" s="60">
        <f t="shared" si="6"/>
        <v>576.79999999999995</v>
      </c>
      <c r="U58" s="60">
        <f t="shared" si="6"/>
        <v>576.79999999999995</v>
      </c>
      <c r="V58" s="60">
        <f t="shared" si="6"/>
        <v>576.79999999999995</v>
      </c>
      <c r="W58" s="60">
        <f t="shared" si="6"/>
        <v>576.79999999999995</v>
      </c>
      <c r="X58" s="60">
        <f t="shared" si="6"/>
        <v>576.79999999999995</v>
      </c>
      <c r="Y58" s="60">
        <f t="shared" si="6"/>
        <v>577.70000000000005</v>
      </c>
      <c r="Z58" s="60">
        <f t="shared" si="6"/>
        <v>577.70000000000005</v>
      </c>
      <c r="AA58" s="60">
        <f t="shared" si="6"/>
        <v>581.59999999999991</v>
      </c>
      <c r="AB58" s="60">
        <f t="shared" ref="AB58:AC58" si="9">SUM(AB11:AB56)</f>
        <v>581.59999999999991</v>
      </c>
      <c r="AC58" s="60">
        <f t="shared" si="9"/>
        <v>581.59999999999991</v>
      </c>
      <c r="AD58" s="60">
        <f t="shared" ref="AD58:AE58" si="10">SUM(AD11:AD56)</f>
        <v>587.20000000000005</v>
      </c>
      <c r="AE58" s="60">
        <f t="shared" si="10"/>
        <v>589.6</v>
      </c>
      <c r="AF58" s="60">
        <f t="shared" ref="AF58" si="11">SUM(AF11:AF56)</f>
        <v>591.5</v>
      </c>
      <c r="AG58" s="61">
        <f>SUM(AG14:AG56)</f>
        <v>1042.4000000000001</v>
      </c>
      <c r="AH58" s="47">
        <f t="shared" si="2"/>
        <v>607.70000000000005</v>
      </c>
      <c r="AI58" s="48">
        <f t="shared" si="3"/>
        <v>576.79999999999995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60</v>
      </c>
      <c r="L59" s="45">
        <v>280</v>
      </c>
      <c r="M59" s="45">
        <v>380</v>
      </c>
      <c r="N59" s="63">
        <v>350</v>
      </c>
      <c r="O59" s="63">
        <v>355</v>
      </c>
      <c r="P59" s="63">
        <v>180</v>
      </c>
      <c r="Q59" s="63">
        <v>15</v>
      </c>
      <c r="R59" s="63">
        <v>0</v>
      </c>
      <c r="S59" s="45">
        <v>0</v>
      </c>
      <c r="T59" s="45">
        <v>0</v>
      </c>
      <c r="U59" s="45">
        <v>0</v>
      </c>
      <c r="V59" s="45">
        <v>160</v>
      </c>
      <c r="W59" s="45">
        <v>230</v>
      </c>
      <c r="X59" s="45">
        <v>210</v>
      </c>
      <c r="Y59" s="45">
        <v>240</v>
      </c>
      <c r="Z59" s="45">
        <v>260</v>
      </c>
      <c r="AA59" s="45">
        <v>240</v>
      </c>
      <c r="AB59" s="45">
        <v>200</v>
      </c>
      <c r="AC59" s="45">
        <v>220</v>
      </c>
      <c r="AD59" s="45">
        <v>110</v>
      </c>
      <c r="AE59" s="45">
        <v>20</v>
      </c>
      <c r="AF59" s="45">
        <v>0</v>
      </c>
      <c r="AG59" s="52">
        <v>456</v>
      </c>
      <c r="AH59" s="47">
        <f t="shared" si="2"/>
        <v>380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34.6</v>
      </c>
      <c r="C60" s="65">
        <v>34.6</v>
      </c>
      <c r="D60" s="65">
        <v>34.6</v>
      </c>
      <c r="E60" s="65">
        <v>34.6</v>
      </c>
      <c r="F60" s="65">
        <v>34.6</v>
      </c>
      <c r="G60" s="65">
        <v>34.6</v>
      </c>
      <c r="H60" s="65">
        <v>34.6</v>
      </c>
      <c r="I60" s="65">
        <v>34.6</v>
      </c>
      <c r="J60" s="65">
        <v>34.6</v>
      </c>
      <c r="K60" s="65">
        <v>34.630000000000003</v>
      </c>
      <c r="L60" s="65">
        <v>34.6</v>
      </c>
      <c r="M60" s="65">
        <v>34.6</v>
      </c>
      <c r="N60" s="65">
        <v>34.6</v>
      </c>
      <c r="O60" s="65">
        <v>34.6</v>
      </c>
      <c r="P60" s="65">
        <v>34.6</v>
      </c>
      <c r="Q60" s="65">
        <v>34.6</v>
      </c>
      <c r="R60" s="65">
        <v>34</v>
      </c>
      <c r="S60" s="65">
        <v>34</v>
      </c>
      <c r="T60" s="65">
        <v>34</v>
      </c>
      <c r="U60" s="65">
        <v>34</v>
      </c>
      <c r="V60" s="65">
        <v>34</v>
      </c>
      <c r="W60" s="65">
        <v>34</v>
      </c>
      <c r="X60" s="65">
        <v>34</v>
      </c>
      <c r="Y60" s="65">
        <v>34</v>
      </c>
      <c r="Z60" s="65">
        <v>34</v>
      </c>
      <c r="AA60" s="65">
        <v>34</v>
      </c>
      <c r="AB60" s="65">
        <v>34</v>
      </c>
      <c r="AC60" s="65">
        <v>34</v>
      </c>
      <c r="AD60" s="65">
        <v>34</v>
      </c>
      <c r="AE60" s="65">
        <v>34</v>
      </c>
      <c r="AF60" s="65">
        <v>34</v>
      </c>
      <c r="AG60" s="55">
        <v>60</v>
      </c>
      <c r="AH60" s="47">
        <f t="shared" si="2"/>
        <v>34.630000000000003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13.1</v>
      </c>
      <c r="C61" s="67">
        <v>13.1</v>
      </c>
      <c r="D61" s="67">
        <v>13.1</v>
      </c>
      <c r="E61" s="67">
        <v>12.2</v>
      </c>
      <c r="F61" s="67">
        <v>12.2</v>
      </c>
      <c r="G61" s="67">
        <v>12.1</v>
      </c>
      <c r="H61" s="67">
        <v>12.1</v>
      </c>
      <c r="I61" s="67">
        <v>12.1</v>
      </c>
      <c r="J61" s="67">
        <v>12.1</v>
      </c>
      <c r="K61" s="67">
        <v>13.2</v>
      </c>
      <c r="L61" s="67">
        <v>13.2</v>
      </c>
      <c r="M61" s="67">
        <v>13.2</v>
      </c>
      <c r="N61" s="67">
        <v>13.7</v>
      </c>
      <c r="O61" s="67">
        <v>13.6</v>
      </c>
      <c r="P61" s="67">
        <v>13.6</v>
      </c>
      <c r="Q61" s="67">
        <v>13.6</v>
      </c>
      <c r="R61" s="67">
        <v>13.2</v>
      </c>
      <c r="S61" s="67">
        <v>13.2</v>
      </c>
      <c r="T61" s="67">
        <v>11.7</v>
      </c>
      <c r="U61" s="67">
        <v>10.7</v>
      </c>
      <c r="V61" s="67">
        <v>10.8</v>
      </c>
      <c r="W61" s="67">
        <v>10.8</v>
      </c>
      <c r="X61" s="67">
        <v>20.100000000000001</v>
      </c>
      <c r="Y61" s="67">
        <v>20.100000000000001</v>
      </c>
      <c r="Z61" s="67">
        <v>15.9</v>
      </c>
      <c r="AA61" s="67">
        <v>12.2</v>
      </c>
      <c r="AB61" s="67">
        <v>12.2</v>
      </c>
      <c r="AC61" s="67">
        <v>12.2</v>
      </c>
      <c r="AD61" s="67">
        <v>12.2</v>
      </c>
      <c r="AE61" s="67">
        <v>12.2</v>
      </c>
      <c r="AF61" s="67">
        <v>12.2</v>
      </c>
      <c r="AG61" s="68">
        <v>22.1</v>
      </c>
      <c r="AH61" s="47">
        <f t="shared" si="2"/>
        <v>20.100000000000001</v>
      </c>
      <c r="AI61" s="48">
        <f t="shared" si="3"/>
        <v>10.7</v>
      </c>
      <c r="AK61" s="50"/>
    </row>
    <row r="62" spans="1:88" ht="15.75" thickBot="1" x14ac:dyDescent="0.3">
      <c r="A62" s="69" t="s">
        <v>62</v>
      </c>
      <c r="B62" s="60">
        <f t="shared" ref="B62:AG62" si="12">SUM(B59:B61)</f>
        <v>47.7</v>
      </c>
      <c r="C62" s="60">
        <f t="shared" si="12"/>
        <v>47.7</v>
      </c>
      <c r="D62" s="60">
        <f t="shared" si="12"/>
        <v>47.7</v>
      </c>
      <c r="E62" s="60">
        <f t="shared" si="12"/>
        <v>46.8</v>
      </c>
      <c r="F62" s="60">
        <f t="shared" si="12"/>
        <v>46.8</v>
      </c>
      <c r="G62" s="60">
        <f t="shared" si="12"/>
        <v>46.7</v>
      </c>
      <c r="H62" s="60">
        <f t="shared" ref="H62" si="13">SUM(H59:H61)</f>
        <v>46.7</v>
      </c>
      <c r="I62" s="60">
        <f t="shared" si="12"/>
        <v>46.7</v>
      </c>
      <c r="J62" s="60">
        <f t="shared" si="12"/>
        <v>46.7</v>
      </c>
      <c r="K62" s="60">
        <f t="shared" si="12"/>
        <v>107.83</v>
      </c>
      <c r="L62" s="60">
        <f t="shared" si="12"/>
        <v>327.8</v>
      </c>
      <c r="M62" s="60">
        <f t="shared" ref="M62" si="14">SUM(M59:M61)</f>
        <v>427.8</v>
      </c>
      <c r="N62" s="60">
        <f t="shared" si="12"/>
        <v>398.3</v>
      </c>
      <c r="O62" s="60">
        <f t="shared" si="12"/>
        <v>403.20000000000005</v>
      </c>
      <c r="P62" s="60">
        <f t="shared" si="12"/>
        <v>228.2</v>
      </c>
      <c r="Q62" s="60">
        <f t="shared" si="12"/>
        <v>63.2</v>
      </c>
      <c r="R62" s="60">
        <f t="shared" si="12"/>
        <v>47.2</v>
      </c>
      <c r="S62" s="60">
        <f t="shared" si="12"/>
        <v>47.2</v>
      </c>
      <c r="T62" s="60">
        <f t="shared" si="12"/>
        <v>45.7</v>
      </c>
      <c r="U62" s="60">
        <f t="shared" si="12"/>
        <v>44.7</v>
      </c>
      <c r="V62" s="60">
        <f t="shared" si="12"/>
        <v>204.8</v>
      </c>
      <c r="W62" s="60">
        <f t="shared" si="12"/>
        <v>274.8</v>
      </c>
      <c r="X62" s="60">
        <f t="shared" si="12"/>
        <v>264.10000000000002</v>
      </c>
      <c r="Y62" s="60">
        <f t="shared" si="12"/>
        <v>294.10000000000002</v>
      </c>
      <c r="Z62" s="60">
        <f t="shared" si="12"/>
        <v>309.89999999999998</v>
      </c>
      <c r="AA62" s="60">
        <f t="shared" si="12"/>
        <v>286.2</v>
      </c>
      <c r="AB62" s="60">
        <f t="shared" si="12"/>
        <v>246.2</v>
      </c>
      <c r="AC62" s="60">
        <f t="shared" si="12"/>
        <v>266.2</v>
      </c>
      <c r="AD62" s="60">
        <f t="shared" ref="AD62:AE62" si="15">SUM(AD59:AD61)</f>
        <v>156.19999999999999</v>
      </c>
      <c r="AE62" s="60">
        <f t="shared" si="15"/>
        <v>66.2</v>
      </c>
      <c r="AF62" s="60">
        <f t="shared" ref="AF62" si="16">SUM(AF59:AF61)</f>
        <v>46.2</v>
      </c>
      <c r="AG62" s="61">
        <f t="shared" si="12"/>
        <v>538.1</v>
      </c>
      <c r="AH62" s="47">
        <f t="shared" si="2"/>
        <v>427.8</v>
      </c>
      <c r="AI62" s="48">
        <f t="shared" si="3"/>
        <v>44.7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98</v>
      </c>
      <c r="K63" s="45">
        <v>133</v>
      </c>
      <c r="L63" s="45">
        <v>145.69999999999999</v>
      </c>
      <c r="M63" s="45">
        <v>145.69999999999999</v>
      </c>
      <c r="N63" s="45">
        <v>145.69999999999999</v>
      </c>
      <c r="O63" s="45">
        <v>145.69999999999999</v>
      </c>
      <c r="P63" s="45">
        <v>144.19999999999999</v>
      </c>
      <c r="Q63" s="45">
        <v>121.8</v>
      </c>
      <c r="R63" s="45">
        <v>81.400000000000006</v>
      </c>
      <c r="S63" s="45">
        <v>66.5</v>
      </c>
      <c r="T63" s="45">
        <v>66.5</v>
      </c>
      <c r="U63" s="45">
        <v>50</v>
      </c>
      <c r="V63" s="45">
        <v>51.1</v>
      </c>
      <c r="W63" s="45">
        <v>91.8</v>
      </c>
      <c r="X63" s="45">
        <v>141.30000000000001</v>
      </c>
      <c r="Y63" s="45">
        <v>141.30000000000001</v>
      </c>
      <c r="Z63" s="45">
        <v>141.1</v>
      </c>
      <c r="AA63" s="45">
        <v>106.9</v>
      </c>
      <c r="AB63" s="45">
        <v>65.900000000000006</v>
      </c>
      <c r="AC63" s="45">
        <v>66.599999999999994</v>
      </c>
      <c r="AD63" s="45">
        <v>66.7</v>
      </c>
      <c r="AE63" s="45">
        <v>40.200000000000003</v>
      </c>
      <c r="AF63" s="45">
        <v>0</v>
      </c>
      <c r="AG63" s="52">
        <v>144</v>
      </c>
      <c r="AH63" s="47">
        <f t="shared" si="2"/>
        <v>145.69999999999999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24</v>
      </c>
      <c r="I64" s="65">
        <v>35</v>
      </c>
      <c r="J64" s="65">
        <v>69.099999999999994</v>
      </c>
      <c r="K64" s="65">
        <v>69</v>
      </c>
      <c r="L64" s="65">
        <v>70</v>
      </c>
      <c r="M64" s="65">
        <v>70</v>
      </c>
      <c r="N64" s="65">
        <v>70</v>
      </c>
      <c r="O64" s="65">
        <v>70</v>
      </c>
      <c r="P64" s="65">
        <v>69.3</v>
      </c>
      <c r="Q64" s="65">
        <v>48.9</v>
      </c>
      <c r="R64" s="65">
        <v>28.7</v>
      </c>
      <c r="S64" s="65">
        <v>35.799999999999997</v>
      </c>
      <c r="T64" s="65">
        <v>35.799999999999997</v>
      </c>
      <c r="U64" s="45">
        <v>43.9</v>
      </c>
      <c r="V64" s="45">
        <v>44.6</v>
      </c>
      <c r="W64" s="45">
        <v>43.6</v>
      </c>
      <c r="X64" s="45">
        <v>66.3</v>
      </c>
      <c r="Y64" s="45">
        <v>66.3</v>
      </c>
      <c r="Z64" s="45">
        <v>66.7</v>
      </c>
      <c r="AA64" s="45">
        <v>66.900000000000006</v>
      </c>
      <c r="AB64" s="45">
        <v>45</v>
      </c>
      <c r="AC64" s="45">
        <v>46.8</v>
      </c>
      <c r="AD64" s="45">
        <v>35.6</v>
      </c>
      <c r="AE64" s="45">
        <v>35.299999999999997</v>
      </c>
      <c r="AF64" s="45">
        <v>22.8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15.8</v>
      </c>
      <c r="C65" s="65">
        <v>15.9</v>
      </c>
      <c r="D65" s="65">
        <v>15.9</v>
      </c>
      <c r="E65" s="65">
        <v>0</v>
      </c>
      <c r="F65" s="65">
        <v>0</v>
      </c>
      <c r="G65" s="65">
        <v>0</v>
      </c>
      <c r="H65" s="65">
        <v>0</v>
      </c>
      <c r="I65" s="65">
        <v>23.5</v>
      </c>
      <c r="J65" s="65">
        <v>52</v>
      </c>
      <c r="K65" s="65">
        <v>65</v>
      </c>
      <c r="L65" s="65">
        <v>69</v>
      </c>
      <c r="M65" s="65">
        <v>69</v>
      </c>
      <c r="N65" s="65">
        <v>69</v>
      </c>
      <c r="O65" s="65">
        <v>69</v>
      </c>
      <c r="P65" s="65">
        <v>66.599999999999994</v>
      </c>
      <c r="Q65" s="65">
        <v>40.299999999999997</v>
      </c>
      <c r="R65" s="65">
        <v>33.6</v>
      </c>
      <c r="S65" s="65">
        <v>46</v>
      </c>
      <c r="T65" s="65">
        <v>46</v>
      </c>
      <c r="U65" s="45">
        <v>45.7</v>
      </c>
      <c r="V65" s="45">
        <v>55.8</v>
      </c>
      <c r="W65" s="45">
        <v>56.8</v>
      </c>
      <c r="X65" s="45">
        <v>67.2</v>
      </c>
      <c r="Y65" s="45">
        <v>67.2</v>
      </c>
      <c r="Z65" s="45">
        <v>66.8</v>
      </c>
      <c r="AA65" s="45">
        <v>66.7</v>
      </c>
      <c r="AB65" s="45">
        <v>66.5</v>
      </c>
      <c r="AC65" s="45">
        <v>66.34</v>
      </c>
      <c r="AD65" s="45">
        <v>66.599999999999994</v>
      </c>
      <c r="AE65" s="45">
        <v>33.6</v>
      </c>
      <c r="AF65" s="45">
        <v>34.200000000000003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50.4</v>
      </c>
      <c r="C66" s="65">
        <v>52.1</v>
      </c>
      <c r="D66" s="65">
        <v>52.1</v>
      </c>
      <c r="E66" s="65">
        <v>48.2</v>
      </c>
      <c r="F66" s="65">
        <v>48.2</v>
      </c>
      <c r="G66" s="65">
        <v>49.1</v>
      </c>
      <c r="H66" s="65">
        <v>49.1</v>
      </c>
      <c r="I66" s="65">
        <v>49.1</v>
      </c>
      <c r="J66" s="65">
        <v>48.1</v>
      </c>
      <c r="K66" s="57">
        <v>48.1</v>
      </c>
      <c r="L66" s="57">
        <v>48.3</v>
      </c>
      <c r="M66" s="65">
        <v>48.3</v>
      </c>
      <c r="N66" s="65">
        <v>48.3</v>
      </c>
      <c r="O66" s="65">
        <v>48.3</v>
      </c>
      <c r="P66" s="65">
        <v>48.1</v>
      </c>
      <c r="Q66" s="65">
        <v>49.4</v>
      </c>
      <c r="R66" s="65">
        <v>49.4</v>
      </c>
      <c r="S66" s="65">
        <v>36</v>
      </c>
      <c r="T66" s="65">
        <v>36</v>
      </c>
      <c r="U66" s="45">
        <v>40</v>
      </c>
      <c r="V66" s="45">
        <v>45.3</v>
      </c>
      <c r="W66" s="45">
        <v>44.3</v>
      </c>
      <c r="X66" s="45">
        <v>44.3</v>
      </c>
      <c r="Y66" s="45">
        <v>44.3</v>
      </c>
      <c r="Z66" s="45">
        <v>44.3</v>
      </c>
      <c r="AA66" s="45">
        <v>43.3</v>
      </c>
      <c r="AB66" s="45">
        <v>48.1</v>
      </c>
      <c r="AC66" s="45">
        <v>50.1</v>
      </c>
      <c r="AD66" s="45">
        <v>54.2</v>
      </c>
      <c r="AE66" s="45">
        <v>50.2</v>
      </c>
      <c r="AF66" s="45">
        <v>48.3</v>
      </c>
      <c r="AG66" s="55">
        <v>60</v>
      </c>
      <c r="AH66" s="47">
        <f t="shared" si="2"/>
        <v>54.2</v>
      </c>
      <c r="AI66" s="48">
        <f t="shared" si="3"/>
        <v>36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15</v>
      </c>
      <c r="J67" s="65">
        <v>15</v>
      </c>
      <c r="K67" s="57">
        <v>15</v>
      </c>
      <c r="L67" s="57">
        <v>23</v>
      </c>
      <c r="M67" s="65">
        <v>23</v>
      </c>
      <c r="N67" s="65">
        <v>23</v>
      </c>
      <c r="O67" s="65">
        <v>23</v>
      </c>
      <c r="P67" s="65">
        <v>15</v>
      </c>
      <c r="Q67" s="65">
        <v>13</v>
      </c>
      <c r="R67" s="65">
        <v>13</v>
      </c>
      <c r="S67" s="65">
        <v>13</v>
      </c>
      <c r="T67" s="65">
        <v>13</v>
      </c>
      <c r="U67" s="45">
        <v>10</v>
      </c>
      <c r="V67" s="45">
        <v>10</v>
      </c>
      <c r="W67" s="45">
        <v>10</v>
      </c>
      <c r="X67" s="45">
        <v>23</v>
      </c>
      <c r="Y67" s="45">
        <v>23</v>
      </c>
      <c r="Z67" s="45">
        <v>10</v>
      </c>
      <c r="AA67" s="45">
        <v>0</v>
      </c>
      <c r="AB67" s="45">
        <v>12</v>
      </c>
      <c r="AC67" s="45">
        <v>12</v>
      </c>
      <c r="AD67" s="45">
        <v>12</v>
      </c>
      <c r="AE67" s="45">
        <v>0</v>
      </c>
      <c r="AF67" s="45">
        <v>0</v>
      </c>
      <c r="AG67" s="55">
        <v>30</v>
      </c>
      <c r="AH67" s="47">
        <f t="shared" si="2"/>
        <v>23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0.5</v>
      </c>
      <c r="N68" s="45">
        <v>1.2</v>
      </c>
      <c r="O68" s="45">
        <v>4.2</v>
      </c>
      <c r="P68" s="65">
        <v>14.9</v>
      </c>
      <c r="Q68" s="65">
        <v>16.100000000000001</v>
      </c>
      <c r="R68" s="65">
        <v>13.5</v>
      </c>
      <c r="S68" s="65">
        <v>10</v>
      </c>
      <c r="T68" s="65">
        <v>7.1</v>
      </c>
      <c r="U68" s="45">
        <v>2.8</v>
      </c>
      <c r="V68" s="45">
        <v>1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16.100000000000001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9.9</v>
      </c>
      <c r="N71" s="65">
        <v>9.9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9.9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5.0999999999999996</v>
      </c>
      <c r="C72" s="65">
        <v>5.0999999999999996</v>
      </c>
      <c r="D72" s="65">
        <v>5.0999999999999996</v>
      </c>
      <c r="E72" s="65">
        <v>5.0999999999999996</v>
      </c>
      <c r="F72" s="65">
        <v>5.0999999999999996</v>
      </c>
      <c r="G72" s="65">
        <v>5.0999999999999996</v>
      </c>
      <c r="H72" s="65">
        <v>5.0999999999999996</v>
      </c>
      <c r="I72" s="65">
        <v>5.0999999999999996</v>
      </c>
      <c r="J72" s="65">
        <v>5.0999999999999996</v>
      </c>
      <c r="K72" s="65">
        <v>5.0999999999999996</v>
      </c>
      <c r="L72" s="65">
        <v>5.0999999999999996</v>
      </c>
      <c r="M72" s="65">
        <v>5.0999999999999996</v>
      </c>
      <c r="N72" s="65">
        <v>5.0999999999999996</v>
      </c>
      <c r="O72" s="65">
        <v>5.0999999999999996</v>
      </c>
      <c r="P72" s="65">
        <v>5.0999999999999996</v>
      </c>
      <c r="Q72" s="65">
        <v>5.0999999999999996</v>
      </c>
      <c r="R72" s="65">
        <v>5.0999999999999996</v>
      </c>
      <c r="S72" s="65">
        <v>5.0999999999999996</v>
      </c>
      <c r="T72" s="65">
        <v>5.0999999999999996</v>
      </c>
      <c r="U72" s="65">
        <v>5.0999999999999996</v>
      </c>
      <c r="V72" s="65">
        <v>5.0999999999999996</v>
      </c>
      <c r="W72" s="65">
        <v>5.0999999999999996</v>
      </c>
      <c r="X72" s="65">
        <v>5</v>
      </c>
      <c r="Y72" s="65">
        <v>5</v>
      </c>
      <c r="Z72" s="65">
        <v>5</v>
      </c>
      <c r="AA72" s="65">
        <v>5</v>
      </c>
      <c r="AB72" s="65">
        <v>5</v>
      </c>
      <c r="AC72" s="65">
        <v>5</v>
      </c>
      <c r="AD72" s="65">
        <v>5.2</v>
      </c>
      <c r="AE72" s="65">
        <v>5</v>
      </c>
      <c r="AF72" s="65">
        <v>5</v>
      </c>
      <c r="AG72" s="55">
        <v>14</v>
      </c>
      <c r="AH72" s="47">
        <f t="shared" si="2"/>
        <v>5.2</v>
      </c>
      <c r="AI72" s="48">
        <f t="shared" si="3"/>
        <v>5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7">SUM(B63:B75)</f>
        <v>112.24000000000001</v>
      </c>
      <c r="C76" s="60">
        <f t="shared" si="17"/>
        <v>114.04</v>
      </c>
      <c r="D76" s="60">
        <f t="shared" si="17"/>
        <v>114.04</v>
      </c>
      <c r="E76" s="60">
        <f t="shared" si="17"/>
        <v>94.240000000000009</v>
      </c>
      <c r="F76" s="60">
        <f>SUM(F63:F75)</f>
        <v>94.240000000000009</v>
      </c>
      <c r="G76" s="60">
        <f t="shared" si="17"/>
        <v>105.14</v>
      </c>
      <c r="H76" s="60">
        <f t="shared" si="17"/>
        <v>134.13999999999999</v>
      </c>
      <c r="I76" s="60">
        <f t="shared" si="17"/>
        <v>168.64</v>
      </c>
      <c r="J76" s="60">
        <f t="shared" si="17"/>
        <v>328.24</v>
      </c>
      <c r="K76" s="60">
        <f t="shared" si="17"/>
        <v>376.14000000000004</v>
      </c>
      <c r="L76" s="60">
        <f t="shared" si="17"/>
        <v>402.04</v>
      </c>
      <c r="M76" s="60">
        <f t="shared" si="17"/>
        <v>402.54</v>
      </c>
      <c r="N76" s="60">
        <f t="shared" si="17"/>
        <v>403.24</v>
      </c>
      <c r="O76" s="60">
        <f t="shared" si="17"/>
        <v>406.24</v>
      </c>
      <c r="P76" s="60">
        <f t="shared" si="17"/>
        <v>404.14000000000004</v>
      </c>
      <c r="Q76" s="60">
        <f t="shared" si="17"/>
        <v>335.54</v>
      </c>
      <c r="R76" s="60">
        <f t="shared" si="17"/>
        <v>265.64000000000004</v>
      </c>
      <c r="S76" s="60">
        <f t="shared" si="17"/>
        <v>253.34</v>
      </c>
      <c r="T76" s="60">
        <f t="shared" si="17"/>
        <v>250.44</v>
      </c>
      <c r="U76" s="60">
        <f t="shared" si="17"/>
        <v>238.44000000000003</v>
      </c>
      <c r="V76" s="60">
        <f t="shared" si="17"/>
        <v>253.84</v>
      </c>
      <c r="W76" s="60">
        <f t="shared" si="17"/>
        <v>292.54000000000002</v>
      </c>
      <c r="X76" s="60">
        <f t="shared" si="17"/>
        <v>387.94000000000005</v>
      </c>
      <c r="Y76" s="60">
        <f t="shared" si="17"/>
        <v>387.94000000000005</v>
      </c>
      <c r="Z76" s="60">
        <f t="shared" si="17"/>
        <v>374.74000000000007</v>
      </c>
      <c r="AA76" s="60">
        <f t="shared" si="17"/>
        <v>329.64000000000004</v>
      </c>
      <c r="AB76" s="60">
        <f t="shared" si="17"/>
        <v>283.34000000000003</v>
      </c>
      <c r="AC76" s="60">
        <f t="shared" si="17"/>
        <v>287.68000000000006</v>
      </c>
      <c r="AD76" s="60">
        <f t="shared" ref="AD76:AE76" si="18">SUM(AD63:AD75)</f>
        <v>281.14000000000004</v>
      </c>
      <c r="AE76" s="60">
        <f t="shared" si="18"/>
        <v>205.14000000000001</v>
      </c>
      <c r="AF76" s="60">
        <f t="shared" ref="AF76" si="19">SUM(AF63:AF75)</f>
        <v>151.13999999999999</v>
      </c>
      <c r="AG76" s="61">
        <f t="shared" si="17"/>
        <v>489.91</v>
      </c>
      <c r="AH76" s="47">
        <f t="shared" si="2"/>
        <v>406.24</v>
      </c>
      <c r="AI76" s="48">
        <f t="shared" si="3"/>
        <v>94.240000000000009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>
        <v>0</v>
      </c>
      <c r="T77" s="45">
        <v>0</v>
      </c>
      <c r="U77" s="45">
        <v>30</v>
      </c>
      <c r="V77" s="45">
        <v>43.9</v>
      </c>
      <c r="W77" s="45">
        <v>52.7</v>
      </c>
      <c r="X77" s="45">
        <v>59.2</v>
      </c>
      <c r="Y77" s="45">
        <v>59.2</v>
      </c>
      <c r="Z77" s="45">
        <v>59.2</v>
      </c>
      <c r="AA77" s="45">
        <v>59.2</v>
      </c>
      <c r="AB77" s="45">
        <v>48.6</v>
      </c>
      <c r="AC77" s="45">
        <v>39.799999999999997</v>
      </c>
      <c r="AD77" s="45">
        <v>28.9</v>
      </c>
      <c r="AE77" s="45">
        <v>0</v>
      </c>
      <c r="AF77" s="45">
        <v>0</v>
      </c>
      <c r="AG77" s="52">
        <v>60</v>
      </c>
      <c r="AH77" s="47">
        <f t="shared" si="2"/>
        <v>59.2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>
        <v>0</v>
      </c>
      <c r="T78" s="65">
        <v>0</v>
      </c>
      <c r="U78" s="65">
        <v>15</v>
      </c>
      <c r="V78" s="65">
        <v>18.3</v>
      </c>
      <c r="W78" s="65">
        <v>18.3</v>
      </c>
      <c r="X78" s="65">
        <v>27</v>
      </c>
      <c r="Y78" s="65">
        <v>27</v>
      </c>
      <c r="Z78" s="65">
        <v>27.6</v>
      </c>
      <c r="AA78" s="65">
        <v>27.7</v>
      </c>
      <c r="AB78" s="65">
        <v>27.9</v>
      </c>
      <c r="AC78" s="65">
        <v>17.38</v>
      </c>
      <c r="AD78" s="65">
        <v>13.4</v>
      </c>
      <c r="AE78" s="65">
        <v>0</v>
      </c>
      <c r="AF78" s="65">
        <v>0</v>
      </c>
      <c r="AG78" s="55">
        <v>32</v>
      </c>
      <c r="AH78" s="47">
        <f t="shared" si="2"/>
        <v>27.9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>
        <v>0</v>
      </c>
      <c r="T79" s="67">
        <v>0</v>
      </c>
      <c r="U79" s="67">
        <v>6</v>
      </c>
      <c r="V79" s="67">
        <v>6.7</v>
      </c>
      <c r="W79" s="67">
        <v>6.7</v>
      </c>
      <c r="X79" s="67">
        <v>9.8000000000000007</v>
      </c>
      <c r="Y79" s="67">
        <v>9.8000000000000007</v>
      </c>
      <c r="Z79" s="67">
        <v>10.1</v>
      </c>
      <c r="AA79" s="67">
        <v>10.1</v>
      </c>
      <c r="AB79" s="67">
        <v>10.199999999999999</v>
      </c>
      <c r="AC79" s="67">
        <v>6.5</v>
      </c>
      <c r="AD79" s="67">
        <v>4.9000000000000004</v>
      </c>
      <c r="AE79" s="67">
        <v>0</v>
      </c>
      <c r="AF79" s="67">
        <v>0</v>
      </c>
      <c r="AG79" s="68">
        <v>14</v>
      </c>
      <c r="AH79" s="47">
        <f t="shared" si="2"/>
        <v>10.199999999999999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C80" si="20">B77+B78+B79</f>
        <v>0</v>
      </c>
      <c r="C80" s="60">
        <f t="shared" si="20"/>
        <v>0</v>
      </c>
      <c r="D80" s="60">
        <f t="shared" si="20"/>
        <v>0</v>
      </c>
      <c r="E80" s="60">
        <f t="shared" si="20"/>
        <v>0</v>
      </c>
      <c r="F80" s="60">
        <f t="shared" si="20"/>
        <v>0</v>
      </c>
      <c r="G80" s="60">
        <f t="shared" si="20"/>
        <v>0</v>
      </c>
      <c r="H80" s="60">
        <f t="shared" si="20"/>
        <v>0</v>
      </c>
      <c r="I80" s="60">
        <f t="shared" si="20"/>
        <v>0</v>
      </c>
      <c r="J80" s="60">
        <f t="shared" si="20"/>
        <v>0</v>
      </c>
      <c r="K80" s="60">
        <f t="shared" si="20"/>
        <v>0</v>
      </c>
      <c r="L80" s="60">
        <f t="shared" si="20"/>
        <v>0</v>
      </c>
      <c r="M80" s="60">
        <f t="shared" si="20"/>
        <v>0</v>
      </c>
      <c r="N80" s="60">
        <f t="shared" si="20"/>
        <v>0</v>
      </c>
      <c r="O80" s="60">
        <f t="shared" si="20"/>
        <v>0</v>
      </c>
      <c r="P80" s="60">
        <f t="shared" si="20"/>
        <v>0</v>
      </c>
      <c r="Q80" s="60">
        <f t="shared" si="20"/>
        <v>0</v>
      </c>
      <c r="R80" s="60">
        <f t="shared" si="20"/>
        <v>0</v>
      </c>
      <c r="S80" s="60">
        <f t="shared" si="20"/>
        <v>0</v>
      </c>
      <c r="T80" s="60">
        <f t="shared" si="20"/>
        <v>0</v>
      </c>
      <c r="U80" s="60">
        <f t="shared" si="20"/>
        <v>51</v>
      </c>
      <c r="V80" s="60">
        <f t="shared" si="20"/>
        <v>68.900000000000006</v>
      </c>
      <c r="W80" s="60">
        <f t="shared" si="20"/>
        <v>77.7</v>
      </c>
      <c r="X80" s="60">
        <f t="shared" si="20"/>
        <v>96</v>
      </c>
      <c r="Y80" s="60">
        <f t="shared" si="20"/>
        <v>96</v>
      </c>
      <c r="Z80" s="60">
        <f t="shared" si="20"/>
        <v>96.9</v>
      </c>
      <c r="AA80" s="60">
        <f t="shared" si="20"/>
        <v>97</v>
      </c>
      <c r="AB80" s="60">
        <f t="shared" si="20"/>
        <v>86.7</v>
      </c>
      <c r="AC80" s="60">
        <f t="shared" si="20"/>
        <v>63.679999999999993</v>
      </c>
      <c r="AD80" s="60">
        <f t="shared" ref="AD80:AE80" si="21">AD77+AD78+AD79</f>
        <v>47.199999999999996</v>
      </c>
      <c r="AE80" s="60">
        <f t="shared" si="21"/>
        <v>0</v>
      </c>
      <c r="AF80" s="60">
        <f t="shared" ref="AF80" si="22">AF77+AF78+AF79</f>
        <v>0</v>
      </c>
      <c r="AG80" s="61">
        <f>SUM(AG77:AG79)</f>
        <v>106</v>
      </c>
      <c r="AH80" s="47">
        <f t="shared" si="2"/>
        <v>97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58.1</v>
      </c>
      <c r="C81" s="45">
        <v>47</v>
      </c>
      <c r="D81" s="45">
        <v>48</v>
      </c>
      <c r="E81" s="45">
        <v>58</v>
      </c>
      <c r="F81" s="45">
        <v>64.3</v>
      </c>
      <c r="G81" s="45">
        <v>57</v>
      </c>
      <c r="H81" s="45">
        <v>62</v>
      </c>
      <c r="I81" s="45">
        <v>60.3</v>
      </c>
      <c r="J81" s="45">
        <v>65</v>
      </c>
      <c r="K81" s="45">
        <v>61.2</v>
      </c>
      <c r="L81" s="45">
        <v>59</v>
      </c>
      <c r="M81" s="45">
        <v>61.6</v>
      </c>
      <c r="N81" s="45">
        <v>25.9</v>
      </c>
      <c r="O81" s="45">
        <v>48.6</v>
      </c>
      <c r="P81" s="45">
        <v>56</v>
      </c>
      <c r="Q81" s="45">
        <v>63</v>
      </c>
      <c r="R81" s="45">
        <v>62.6</v>
      </c>
      <c r="S81" s="45">
        <v>57.6</v>
      </c>
      <c r="T81" s="45">
        <v>69.599999999999994</v>
      </c>
      <c r="U81" s="45">
        <v>61.7</v>
      </c>
      <c r="V81" s="45">
        <v>57</v>
      </c>
      <c r="W81" s="45">
        <v>43.9</v>
      </c>
      <c r="X81" s="45">
        <v>43.4</v>
      </c>
      <c r="Y81" s="45">
        <v>49.4</v>
      </c>
      <c r="Z81" s="45">
        <v>44.8</v>
      </c>
      <c r="AA81" s="45">
        <v>55.1</v>
      </c>
      <c r="AB81" s="45">
        <v>69.900000000000006</v>
      </c>
      <c r="AC81" s="45">
        <v>70.2</v>
      </c>
      <c r="AD81" s="45">
        <v>67.7</v>
      </c>
      <c r="AE81" s="45">
        <v>67.599999999999994</v>
      </c>
      <c r="AF81" s="45">
        <v>55.9</v>
      </c>
      <c r="AG81" s="52"/>
      <c r="AH81" s="47">
        <f t="shared" si="2"/>
        <v>70.2</v>
      </c>
      <c r="AI81" s="48">
        <f t="shared" si="3"/>
        <v>25.9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181</v>
      </c>
      <c r="C83" s="65">
        <v>177.6</v>
      </c>
      <c r="D83" s="65">
        <v>181</v>
      </c>
      <c r="E83" s="65">
        <v>165</v>
      </c>
      <c r="F83" s="65">
        <v>183</v>
      </c>
      <c r="G83" s="65">
        <v>196</v>
      </c>
      <c r="H83" s="65">
        <v>302</v>
      </c>
      <c r="I83" s="65">
        <v>359</v>
      </c>
      <c r="J83" s="65">
        <v>389</v>
      </c>
      <c r="K83" s="65">
        <v>396</v>
      </c>
      <c r="L83" s="65">
        <v>256</v>
      </c>
      <c r="M83" s="65">
        <v>145</v>
      </c>
      <c r="N83" s="65">
        <v>78</v>
      </c>
      <c r="O83" s="65">
        <v>65.099999999999994</v>
      </c>
      <c r="P83" s="65">
        <v>180.9</v>
      </c>
      <c r="Q83" s="65">
        <v>372.3</v>
      </c>
      <c r="R83" s="65">
        <v>407.5</v>
      </c>
      <c r="S83" s="65">
        <v>401.4</v>
      </c>
      <c r="T83" s="65">
        <v>406.7</v>
      </c>
      <c r="U83" s="65">
        <v>407.9</v>
      </c>
      <c r="V83" s="65">
        <v>255</v>
      </c>
      <c r="W83" s="65">
        <v>224.2</v>
      </c>
      <c r="X83" s="65">
        <v>268</v>
      </c>
      <c r="Y83" s="65">
        <v>239.6</v>
      </c>
      <c r="Z83" s="65">
        <v>209.1</v>
      </c>
      <c r="AA83" s="65">
        <v>228.6</v>
      </c>
      <c r="AB83" s="65">
        <v>231</v>
      </c>
      <c r="AC83" s="65">
        <v>205</v>
      </c>
      <c r="AD83" s="65">
        <v>268</v>
      </c>
      <c r="AE83" s="65">
        <v>255.9</v>
      </c>
      <c r="AF83" s="65">
        <v>211.9</v>
      </c>
      <c r="AG83" s="75"/>
      <c r="AH83" s="47">
        <f t="shared" si="2"/>
        <v>407.9</v>
      </c>
      <c r="AI83" s="48">
        <f t="shared" si="3"/>
        <v>65.099999999999994</v>
      </c>
      <c r="AK83" s="50"/>
    </row>
    <row r="84" spans="1:40" x14ac:dyDescent="0.25">
      <c r="A84" s="54" t="s">
        <v>84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76"/>
      <c r="N84" s="76"/>
      <c r="O84" s="76"/>
      <c r="P84" s="76"/>
      <c r="Q84" s="76"/>
      <c r="R84" s="76"/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/>
      <c r="AC84" s="76"/>
      <c r="AD84" s="76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/>
      <c r="AC85" s="45"/>
      <c r="AD85" s="45"/>
      <c r="AE85" s="45"/>
      <c r="AF85" s="45"/>
      <c r="AG85" s="75"/>
      <c r="AH85" s="47">
        <f t="shared" ref="AH85:AH130" si="23">MAX(B85:AF85)</f>
        <v>0</v>
      </c>
      <c r="AI85" s="48">
        <f t="shared" ref="AI85:AI130" si="24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/>
      <c r="AC86" s="77"/>
      <c r="AD86" s="77"/>
      <c r="AE86" s="77"/>
      <c r="AF86" s="77"/>
      <c r="AG86" s="75"/>
      <c r="AH86" s="47">
        <f t="shared" si="23"/>
        <v>0</v>
      </c>
      <c r="AI86" s="48">
        <f t="shared" si="24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0</v>
      </c>
      <c r="Z87" s="77">
        <v>0</v>
      </c>
      <c r="AA87" s="77">
        <v>0</v>
      </c>
      <c r="AB87" s="77"/>
      <c r="AC87" s="77"/>
      <c r="AD87" s="77"/>
      <c r="AE87" s="77"/>
      <c r="AF87" s="77"/>
      <c r="AG87" s="75"/>
      <c r="AH87" s="47">
        <f t="shared" si="23"/>
        <v>0</v>
      </c>
      <c r="AI87" s="48">
        <f t="shared" si="2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0</v>
      </c>
      <c r="Z88" s="77">
        <v>0</v>
      </c>
      <c r="AA88" s="77">
        <v>0</v>
      </c>
      <c r="AB88" s="77"/>
      <c r="AC88" s="77"/>
      <c r="AD88" s="77"/>
      <c r="AE88" s="77"/>
      <c r="AF88" s="77"/>
      <c r="AG88" s="75"/>
      <c r="AH88" s="47">
        <f t="shared" si="23"/>
        <v>0</v>
      </c>
      <c r="AI88" s="48">
        <f t="shared" si="2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0</v>
      </c>
      <c r="Z89" s="77">
        <v>0</v>
      </c>
      <c r="AA89" s="77">
        <v>0</v>
      </c>
      <c r="AB89" s="77"/>
      <c r="AC89" s="77"/>
      <c r="AD89" s="77"/>
      <c r="AE89" s="77"/>
      <c r="AF89" s="77"/>
      <c r="AG89" s="75"/>
      <c r="AH89" s="47">
        <f t="shared" si="23"/>
        <v>0</v>
      </c>
      <c r="AI89" s="48">
        <f t="shared" si="2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/>
      <c r="AC90" s="77"/>
      <c r="AD90" s="77"/>
      <c r="AE90" s="77"/>
      <c r="AF90" s="77"/>
      <c r="AG90" s="85"/>
      <c r="AH90" s="47">
        <f t="shared" si="23"/>
        <v>0</v>
      </c>
      <c r="AI90" s="48">
        <f t="shared" si="2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>
        <v>0</v>
      </c>
      <c r="T91" s="77">
        <v>0</v>
      </c>
      <c r="U91" s="77">
        <v>0</v>
      </c>
      <c r="V91" s="77">
        <v>0</v>
      </c>
      <c r="W91" s="77">
        <v>0</v>
      </c>
      <c r="X91" s="77">
        <v>0</v>
      </c>
      <c r="Y91" s="77">
        <v>0</v>
      </c>
      <c r="Z91" s="77">
        <v>0</v>
      </c>
      <c r="AA91" s="77">
        <v>0</v>
      </c>
      <c r="AB91" s="77"/>
      <c r="AC91" s="77"/>
      <c r="AD91" s="77"/>
      <c r="AE91" s="77"/>
      <c r="AF91" s="77"/>
      <c r="AG91" s="85"/>
      <c r="AH91" s="47">
        <f t="shared" si="23"/>
        <v>0</v>
      </c>
      <c r="AI91" s="48">
        <f t="shared" si="24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C92" si="25">SUMIF(B81:B91,"&gt;0")</f>
        <v>239.1</v>
      </c>
      <c r="C92" s="60">
        <f t="shared" si="25"/>
        <v>224.6</v>
      </c>
      <c r="D92" s="60">
        <f t="shared" si="25"/>
        <v>229</v>
      </c>
      <c r="E92" s="60">
        <f t="shared" si="25"/>
        <v>223</v>
      </c>
      <c r="F92" s="60">
        <f t="shared" si="25"/>
        <v>247.3</v>
      </c>
      <c r="G92" s="60">
        <f t="shared" si="25"/>
        <v>253</v>
      </c>
      <c r="H92" s="60">
        <f t="shared" si="25"/>
        <v>364</v>
      </c>
      <c r="I92" s="60">
        <f t="shared" si="25"/>
        <v>419.3</v>
      </c>
      <c r="J92" s="60">
        <f t="shared" si="25"/>
        <v>454</v>
      </c>
      <c r="K92" s="60">
        <f t="shared" si="25"/>
        <v>457.2</v>
      </c>
      <c r="L92" s="60">
        <f t="shared" si="25"/>
        <v>315</v>
      </c>
      <c r="M92" s="60">
        <f t="shared" si="25"/>
        <v>206.6</v>
      </c>
      <c r="N92" s="60">
        <f t="shared" si="25"/>
        <v>103.9</v>
      </c>
      <c r="O92" s="60">
        <f t="shared" si="25"/>
        <v>113.69999999999999</v>
      </c>
      <c r="P92" s="60">
        <f t="shared" si="25"/>
        <v>236.9</v>
      </c>
      <c r="Q92" s="60">
        <f t="shared" si="25"/>
        <v>435.3</v>
      </c>
      <c r="R92" s="60">
        <f t="shared" si="25"/>
        <v>470.1</v>
      </c>
      <c r="S92" s="60">
        <f t="shared" si="25"/>
        <v>459</v>
      </c>
      <c r="T92" s="60">
        <f t="shared" si="25"/>
        <v>476.29999999999995</v>
      </c>
      <c r="U92" s="60">
        <f t="shared" si="25"/>
        <v>469.59999999999997</v>
      </c>
      <c r="V92" s="60">
        <f t="shared" si="25"/>
        <v>312</v>
      </c>
      <c r="W92" s="60">
        <f t="shared" si="25"/>
        <v>268.09999999999997</v>
      </c>
      <c r="X92" s="60">
        <f t="shared" si="25"/>
        <v>311.39999999999998</v>
      </c>
      <c r="Y92" s="60">
        <f t="shared" si="25"/>
        <v>289</v>
      </c>
      <c r="Z92" s="60">
        <f t="shared" si="25"/>
        <v>253.89999999999998</v>
      </c>
      <c r="AA92" s="60">
        <f t="shared" si="25"/>
        <v>283.7</v>
      </c>
      <c r="AB92" s="60">
        <f t="shared" si="25"/>
        <v>300.89999999999998</v>
      </c>
      <c r="AC92" s="60">
        <f t="shared" si="25"/>
        <v>275.2</v>
      </c>
      <c r="AD92" s="60">
        <f t="shared" ref="AD92:AE92" si="26">SUMIF(AD81:AD91,"&gt;0")</f>
        <v>335.7</v>
      </c>
      <c r="AE92" s="60">
        <f t="shared" si="26"/>
        <v>323.5</v>
      </c>
      <c r="AF92" s="60">
        <f t="shared" ref="AF92" si="27">SUMIF(AF81:AF91,"&gt;0")</f>
        <v>267.8</v>
      </c>
      <c r="AG92" s="88">
        <f>SUM(AG81:AG91)</f>
        <v>0</v>
      </c>
      <c r="AH92" s="47">
        <f t="shared" si="23"/>
        <v>476.29999999999995</v>
      </c>
      <c r="AI92" s="48">
        <f t="shared" si="24"/>
        <v>103.9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3"/>
        <v>0</v>
      </c>
      <c r="AI93" s="48">
        <f t="shared" si="24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3"/>
        <v>0</v>
      </c>
      <c r="AI94" s="48">
        <f t="shared" si="24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3"/>
        <v>0</v>
      </c>
      <c r="AI95" s="48">
        <f t="shared" si="24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3"/>
        <v>0</v>
      </c>
      <c r="AI96" s="48">
        <f t="shared" si="24"/>
        <v>0</v>
      </c>
    </row>
    <row r="97" spans="1:37" ht="15.75" thickBot="1" x14ac:dyDescent="0.3">
      <c r="A97" s="74" t="s">
        <v>100</v>
      </c>
      <c r="B97" s="95">
        <f t="shared" ref="B97:AG97" si="28">B58+B62+B80+B76+B92+B96</f>
        <v>1006.7400000000001</v>
      </c>
      <c r="C97" s="95">
        <f t="shared" si="28"/>
        <v>994.04000000000008</v>
      </c>
      <c r="D97" s="95">
        <f t="shared" si="28"/>
        <v>998.44</v>
      </c>
      <c r="E97" s="95">
        <f t="shared" si="28"/>
        <v>971.74</v>
      </c>
      <c r="F97" s="95">
        <f t="shared" si="28"/>
        <v>993.33999999999992</v>
      </c>
      <c r="G97" s="95">
        <f t="shared" si="28"/>
        <v>1008.2400000000001</v>
      </c>
      <c r="H97" s="95">
        <f t="shared" si="28"/>
        <v>1148.2400000000002</v>
      </c>
      <c r="I97" s="95">
        <f t="shared" si="28"/>
        <v>1237.3400000000001</v>
      </c>
      <c r="J97" s="95">
        <f t="shared" si="28"/>
        <v>1430.14</v>
      </c>
      <c r="K97" s="95">
        <f t="shared" si="28"/>
        <v>1541.5700000000002</v>
      </c>
      <c r="L97" s="95">
        <f t="shared" si="28"/>
        <v>1645.54</v>
      </c>
      <c r="M97" s="95">
        <f t="shared" si="28"/>
        <v>1639.54</v>
      </c>
      <c r="N97" s="95">
        <f t="shared" si="28"/>
        <v>1508.0400000000002</v>
      </c>
      <c r="O97" s="95">
        <f t="shared" si="28"/>
        <v>1522.64</v>
      </c>
      <c r="P97" s="95">
        <f t="shared" si="28"/>
        <v>1473.5400000000002</v>
      </c>
      <c r="Q97" s="95">
        <f t="shared" si="28"/>
        <v>1433.54</v>
      </c>
      <c r="R97" s="95">
        <f t="shared" si="28"/>
        <v>1382.44</v>
      </c>
      <c r="S97" s="95">
        <f t="shared" si="28"/>
        <v>1336.3400000000001</v>
      </c>
      <c r="T97" s="95">
        <f t="shared" si="28"/>
        <v>1349.24</v>
      </c>
      <c r="U97" s="95">
        <f t="shared" si="28"/>
        <v>1380.54</v>
      </c>
      <c r="V97" s="95">
        <f t="shared" si="28"/>
        <v>1416.34</v>
      </c>
      <c r="W97" s="95">
        <f t="shared" si="28"/>
        <v>1489.9399999999998</v>
      </c>
      <c r="X97" s="95">
        <f t="shared" si="28"/>
        <v>1636.2400000000002</v>
      </c>
      <c r="Y97" s="95">
        <f t="shared" si="28"/>
        <v>1644.7400000000002</v>
      </c>
      <c r="Z97" s="95">
        <f t="shared" si="28"/>
        <v>1613.1399999999999</v>
      </c>
      <c r="AA97" s="95">
        <f t="shared" si="28"/>
        <v>1578.14</v>
      </c>
      <c r="AB97" s="95">
        <f t="shared" si="28"/>
        <v>1498.7400000000002</v>
      </c>
      <c r="AC97" s="95">
        <f t="shared" si="28"/>
        <v>1474.36</v>
      </c>
      <c r="AD97" s="95">
        <f t="shared" ref="AD97:AE97" si="29">AD58+AD62+AD80+AD76+AD92+AD96</f>
        <v>1407.4400000000003</v>
      </c>
      <c r="AE97" s="95">
        <f t="shared" si="29"/>
        <v>1184.44</v>
      </c>
      <c r="AF97" s="95">
        <f t="shared" ref="AF97" si="30">AF58+AF62+AF80+AF76+AF92+AF96</f>
        <v>1056.6400000000001</v>
      </c>
      <c r="AG97" s="61">
        <f t="shared" si="28"/>
        <v>2231.81</v>
      </c>
      <c r="AH97" s="47">
        <f t="shared" si="23"/>
        <v>1645.54</v>
      </c>
      <c r="AI97" s="48">
        <f t="shared" si="24"/>
        <v>971.74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80</v>
      </c>
      <c r="M98" s="97">
        <v>80</v>
      </c>
      <c r="N98" s="97">
        <v>80</v>
      </c>
      <c r="O98" s="97">
        <v>80</v>
      </c>
      <c r="P98" s="97"/>
      <c r="Q98" s="97"/>
      <c r="R98" s="97"/>
      <c r="S98" s="97"/>
      <c r="T98" s="97"/>
      <c r="U98" s="97"/>
      <c r="V98" s="97"/>
      <c r="W98" s="97"/>
      <c r="X98" s="97">
        <v>80</v>
      </c>
      <c r="Y98" s="97">
        <v>80</v>
      </c>
      <c r="Z98" s="97">
        <v>80</v>
      </c>
      <c r="AA98" s="97">
        <v>80</v>
      </c>
      <c r="AB98" s="97"/>
      <c r="AC98" s="97"/>
      <c r="AD98" s="97"/>
      <c r="AE98" s="97"/>
      <c r="AF98" s="97"/>
      <c r="AG98" s="88"/>
      <c r="AH98" s="47">
        <f t="shared" si="23"/>
        <v>80</v>
      </c>
      <c r="AI98" s="48">
        <f t="shared" si="24"/>
        <v>80</v>
      </c>
    </row>
    <row r="99" spans="1:37" ht="15.75" thickBot="1" x14ac:dyDescent="0.3">
      <c r="A99" s="74" t="s">
        <v>102</v>
      </c>
      <c r="B99" s="95">
        <f t="shared" ref="B99:AC99" si="31">B97+B98</f>
        <v>1006.7400000000001</v>
      </c>
      <c r="C99" s="95">
        <f t="shared" si="31"/>
        <v>994.04000000000008</v>
      </c>
      <c r="D99" s="95">
        <f t="shared" si="31"/>
        <v>998.44</v>
      </c>
      <c r="E99" s="95">
        <f t="shared" si="31"/>
        <v>971.74</v>
      </c>
      <c r="F99" s="95">
        <f t="shared" si="31"/>
        <v>993.33999999999992</v>
      </c>
      <c r="G99" s="95">
        <f t="shared" si="31"/>
        <v>1008.2400000000001</v>
      </c>
      <c r="H99" s="95">
        <f t="shared" si="31"/>
        <v>1148.2400000000002</v>
      </c>
      <c r="I99" s="95">
        <f t="shared" si="31"/>
        <v>1237.3400000000001</v>
      </c>
      <c r="J99" s="95">
        <f t="shared" si="31"/>
        <v>1430.14</v>
      </c>
      <c r="K99" s="95">
        <f t="shared" si="31"/>
        <v>1541.5700000000002</v>
      </c>
      <c r="L99" s="95">
        <f t="shared" si="31"/>
        <v>1725.54</v>
      </c>
      <c r="M99" s="95">
        <f t="shared" si="31"/>
        <v>1719.54</v>
      </c>
      <c r="N99" s="95">
        <f t="shared" si="31"/>
        <v>1588.0400000000002</v>
      </c>
      <c r="O99" s="95">
        <f t="shared" si="31"/>
        <v>1602.64</v>
      </c>
      <c r="P99" s="95">
        <f t="shared" si="31"/>
        <v>1473.5400000000002</v>
      </c>
      <c r="Q99" s="95">
        <f t="shared" si="31"/>
        <v>1433.54</v>
      </c>
      <c r="R99" s="95">
        <f t="shared" si="31"/>
        <v>1382.44</v>
      </c>
      <c r="S99" s="95">
        <f t="shared" si="31"/>
        <v>1336.3400000000001</v>
      </c>
      <c r="T99" s="95">
        <f t="shared" si="31"/>
        <v>1349.24</v>
      </c>
      <c r="U99" s="95">
        <f t="shared" si="31"/>
        <v>1380.54</v>
      </c>
      <c r="V99" s="95">
        <f t="shared" si="31"/>
        <v>1416.34</v>
      </c>
      <c r="W99" s="95">
        <f t="shared" si="31"/>
        <v>1489.9399999999998</v>
      </c>
      <c r="X99" s="95">
        <f t="shared" si="31"/>
        <v>1716.2400000000002</v>
      </c>
      <c r="Y99" s="95">
        <f t="shared" si="31"/>
        <v>1724.7400000000002</v>
      </c>
      <c r="Z99" s="95">
        <f t="shared" si="31"/>
        <v>1693.1399999999999</v>
      </c>
      <c r="AA99" s="95">
        <f t="shared" si="31"/>
        <v>1658.14</v>
      </c>
      <c r="AB99" s="95">
        <f t="shared" si="31"/>
        <v>1498.7400000000002</v>
      </c>
      <c r="AC99" s="95">
        <f t="shared" si="31"/>
        <v>1474.36</v>
      </c>
      <c r="AD99" s="95">
        <f t="shared" ref="AD99:AE99" si="32">AD97+AD98</f>
        <v>1407.4400000000003</v>
      </c>
      <c r="AE99" s="95">
        <f t="shared" si="32"/>
        <v>1184.44</v>
      </c>
      <c r="AF99" s="95">
        <f t="shared" ref="AF99" si="33">AF97+AF98</f>
        <v>1056.6400000000001</v>
      </c>
      <c r="AG99" s="88">
        <f>AG96+AG92+AG80+AG76+AG58+AG98</f>
        <v>1693.71</v>
      </c>
      <c r="AH99" s="47">
        <f t="shared" si="23"/>
        <v>1725.54</v>
      </c>
      <c r="AI99" s="48">
        <f t="shared" si="24"/>
        <v>971.74</v>
      </c>
    </row>
    <row r="100" spans="1:37" ht="15.75" thickBot="1" x14ac:dyDescent="0.3">
      <c r="A100" s="74" t="s">
        <v>103</v>
      </c>
      <c r="B100" s="95">
        <f t="shared" ref="B100:M100" si="34">B99-(B107)</f>
        <v>1006.7400000000001</v>
      </c>
      <c r="C100" s="95">
        <f t="shared" si="34"/>
        <v>994.04000000000008</v>
      </c>
      <c r="D100" s="95">
        <f t="shared" si="34"/>
        <v>998.44</v>
      </c>
      <c r="E100" s="95">
        <f t="shared" si="34"/>
        <v>971.74</v>
      </c>
      <c r="F100" s="95">
        <f t="shared" si="34"/>
        <v>993.33999999999992</v>
      </c>
      <c r="G100" s="95">
        <f t="shared" si="34"/>
        <v>1008.2400000000001</v>
      </c>
      <c r="H100" s="95">
        <f t="shared" si="34"/>
        <v>1148.2400000000002</v>
      </c>
      <c r="I100" s="95">
        <f t="shared" si="34"/>
        <v>1237.3400000000001</v>
      </c>
      <c r="J100" s="95">
        <f t="shared" si="34"/>
        <v>1430.14</v>
      </c>
      <c r="K100" s="95">
        <f t="shared" si="34"/>
        <v>1541.5700000000002</v>
      </c>
      <c r="L100" s="95">
        <f t="shared" si="34"/>
        <v>1725.54</v>
      </c>
      <c r="M100" s="95">
        <f t="shared" si="34"/>
        <v>1719.54</v>
      </c>
      <c r="N100" s="95">
        <f>N99-(N107)</f>
        <v>1588.0400000000002</v>
      </c>
      <c r="O100" s="95">
        <f t="shared" ref="O100:AC100" si="35">O99-(O107)</f>
        <v>1602.64</v>
      </c>
      <c r="P100" s="95">
        <f t="shared" si="35"/>
        <v>1473.5400000000002</v>
      </c>
      <c r="Q100" s="95">
        <f t="shared" si="35"/>
        <v>1433.54</v>
      </c>
      <c r="R100" s="95">
        <f t="shared" si="35"/>
        <v>1382.44</v>
      </c>
      <c r="S100" s="95">
        <f t="shared" si="35"/>
        <v>1336.3400000000001</v>
      </c>
      <c r="T100" s="95">
        <f t="shared" si="35"/>
        <v>1349.24</v>
      </c>
      <c r="U100" s="95">
        <f t="shared" si="35"/>
        <v>1380.54</v>
      </c>
      <c r="V100" s="95">
        <f t="shared" si="35"/>
        <v>1416.34</v>
      </c>
      <c r="W100" s="95">
        <f t="shared" si="35"/>
        <v>1489.9399999999998</v>
      </c>
      <c r="X100" s="95">
        <f t="shared" si="35"/>
        <v>1716.2400000000002</v>
      </c>
      <c r="Y100" s="95">
        <f t="shared" si="35"/>
        <v>1724.7400000000002</v>
      </c>
      <c r="Z100" s="95">
        <f t="shared" si="35"/>
        <v>1693.1399999999999</v>
      </c>
      <c r="AA100" s="95">
        <f t="shared" si="35"/>
        <v>1658.14</v>
      </c>
      <c r="AB100" s="95">
        <f t="shared" si="35"/>
        <v>1498.7400000000002</v>
      </c>
      <c r="AC100" s="95">
        <f t="shared" si="35"/>
        <v>1474.36</v>
      </c>
      <c r="AD100" s="95">
        <f t="shared" ref="AD100:AE100" si="36">AD99-(AD107)</f>
        <v>1406.4400000000003</v>
      </c>
      <c r="AE100" s="95">
        <f t="shared" si="36"/>
        <v>1182.44</v>
      </c>
      <c r="AF100" s="95">
        <f t="shared" ref="AF100" si="37">AF99-(AF107)</f>
        <v>1053.6400000000001</v>
      </c>
      <c r="AG100" s="88"/>
      <c r="AH100" s="47">
        <f t="shared" si="23"/>
        <v>1725.54</v>
      </c>
      <c r="AI100" s="48">
        <f t="shared" si="24"/>
        <v>971.74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C101" si="38">IF(C84&lt;0,C84*-1,0)</f>
        <v>0</v>
      </c>
      <c r="D101" s="76">
        <f t="shared" si="38"/>
        <v>0</v>
      </c>
      <c r="E101" s="76">
        <f t="shared" si="38"/>
        <v>0</v>
      </c>
      <c r="F101" s="76">
        <f t="shared" si="38"/>
        <v>0</v>
      </c>
      <c r="G101" s="76">
        <f t="shared" si="38"/>
        <v>0</v>
      </c>
      <c r="H101" s="76">
        <f t="shared" si="38"/>
        <v>0</v>
      </c>
      <c r="I101" s="76">
        <f t="shared" si="38"/>
        <v>0</v>
      </c>
      <c r="J101" s="76">
        <f t="shared" si="38"/>
        <v>0</v>
      </c>
      <c r="K101" s="76">
        <f t="shared" si="38"/>
        <v>0</v>
      </c>
      <c r="L101" s="76">
        <f t="shared" si="38"/>
        <v>0</v>
      </c>
      <c r="M101" s="76">
        <f t="shared" si="38"/>
        <v>0</v>
      </c>
      <c r="N101" s="76">
        <f t="shared" si="38"/>
        <v>0</v>
      </c>
      <c r="O101" s="76">
        <f t="shared" si="38"/>
        <v>0</v>
      </c>
      <c r="P101" s="76">
        <f t="shared" si="38"/>
        <v>0</v>
      </c>
      <c r="Q101" s="76">
        <f t="shared" si="38"/>
        <v>0</v>
      </c>
      <c r="R101" s="76">
        <f t="shared" si="38"/>
        <v>0</v>
      </c>
      <c r="S101" s="76">
        <f t="shared" si="38"/>
        <v>0</v>
      </c>
      <c r="T101" s="76">
        <f t="shared" si="38"/>
        <v>0</v>
      </c>
      <c r="U101" s="76">
        <f t="shared" si="38"/>
        <v>0</v>
      </c>
      <c r="V101" s="76">
        <f t="shared" si="38"/>
        <v>0</v>
      </c>
      <c r="W101" s="76">
        <f t="shared" si="38"/>
        <v>0</v>
      </c>
      <c r="X101" s="76">
        <f t="shared" si="38"/>
        <v>0</v>
      </c>
      <c r="Y101" s="76">
        <f t="shared" si="38"/>
        <v>0</v>
      </c>
      <c r="Z101" s="76">
        <f t="shared" si="38"/>
        <v>0</v>
      </c>
      <c r="AA101" s="76">
        <f t="shared" si="38"/>
        <v>0</v>
      </c>
      <c r="AB101" s="76">
        <f t="shared" si="38"/>
        <v>0</v>
      </c>
      <c r="AC101" s="76">
        <f t="shared" si="38"/>
        <v>0</v>
      </c>
      <c r="AD101" s="76">
        <f t="shared" ref="AD101:AE101" si="39">IF(AD84&lt;0,AD84*-1,0)</f>
        <v>0</v>
      </c>
      <c r="AE101" s="76">
        <f t="shared" si="39"/>
        <v>0</v>
      </c>
      <c r="AF101" s="76">
        <f t="shared" ref="AF101" si="40">IF(AF84&lt;0,AF84*-1,0)</f>
        <v>0</v>
      </c>
      <c r="AG101" s="52"/>
      <c r="AH101" s="47">
        <f t="shared" si="23"/>
        <v>0</v>
      </c>
      <c r="AI101" s="48">
        <f t="shared" si="24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C102" si="41">IF(C82&lt;0,C82*-1,0)</f>
        <v>0</v>
      </c>
      <c r="D102" s="76">
        <f t="shared" si="41"/>
        <v>0</v>
      </c>
      <c r="E102" s="76">
        <f t="shared" si="41"/>
        <v>0</v>
      </c>
      <c r="F102" s="76">
        <f t="shared" si="41"/>
        <v>0</v>
      </c>
      <c r="G102" s="76">
        <f t="shared" si="41"/>
        <v>0</v>
      </c>
      <c r="H102" s="76">
        <f t="shared" si="41"/>
        <v>0</v>
      </c>
      <c r="I102" s="76">
        <f t="shared" si="41"/>
        <v>0</v>
      </c>
      <c r="J102" s="76">
        <f t="shared" si="41"/>
        <v>0</v>
      </c>
      <c r="K102" s="76">
        <f t="shared" si="41"/>
        <v>0</v>
      </c>
      <c r="L102" s="76">
        <f t="shared" si="41"/>
        <v>0</v>
      </c>
      <c r="M102" s="76">
        <f t="shared" si="41"/>
        <v>0</v>
      </c>
      <c r="N102" s="76">
        <f t="shared" si="41"/>
        <v>0</v>
      </c>
      <c r="O102" s="76">
        <f t="shared" si="41"/>
        <v>0</v>
      </c>
      <c r="P102" s="76">
        <f t="shared" si="41"/>
        <v>0</v>
      </c>
      <c r="Q102" s="76">
        <f t="shared" si="41"/>
        <v>0</v>
      </c>
      <c r="R102" s="76">
        <f t="shared" si="41"/>
        <v>0</v>
      </c>
      <c r="S102" s="76">
        <f t="shared" si="41"/>
        <v>0</v>
      </c>
      <c r="T102" s="76">
        <f t="shared" si="41"/>
        <v>0</v>
      </c>
      <c r="U102" s="76">
        <f t="shared" si="41"/>
        <v>0</v>
      </c>
      <c r="V102" s="76">
        <f t="shared" si="41"/>
        <v>0</v>
      </c>
      <c r="W102" s="76">
        <f t="shared" si="41"/>
        <v>0</v>
      </c>
      <c r="X102" s="76">
        <f t="shared" si="41"/>
        <v>0</v>
      </c>
      <c r="Y102" s="76">
        <f t="shared" si="41"/>
        <v>0</v>
      </c>
      <c r="Z102" s="76">
        <f t="shared" si="41"/>
        <v>0</v>
      </c>
      <c r="AA102" s="76">
        <f t="shared" si="41"/>
        <v>0</v>
      </c>
      <c r="AB102" s="76">
        <f t="shared" si="41"/>
        <v>0</v>
      </c>
      <c r="AC102" s="76">
        <f t="shared" si="41"/>
        <v>0</v>
      </c>
      <c r="AD102" s="76">
        <f t="shared" ref="AD102:AE102" si="42">IF(AD82&lt;0,AD82*-1,0)</f>
        <v>0</v>
      </c>
      <c r="AE102" s="76">
        <f t="shared" si="42"/>
        <v>0</v>
      </c>
      <c r="AF102" s="76">
        <f t="shared" ref="AF102" si="43">IF(AF82&lt;0,AF82*-1,0)</f>
        <v>0</v>
      </c>
      <c r="AG102" s="55"/>
      <c r="AH102" s="47">
        <f t="shared" si="23"/>
        <v>0</v>
      </c>
      <c r="AI102" s="48">
        <f t="shared" si="24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C103" si="44">IF(C85&lt;0,C85*-1,0)</f>
        <v>0</v>
      </c>
      <c r="D103" s="76">
        <f t="shared" si="44"/>
        <v>0</v>
      </c>
      <c r="E103" s="76">
        <f t="shared" si="44"/>
        <v>0</v>
      </c>
      <c r="F103" s="76">
        <f t="shared" si="44"/>
        <v>0</v>
      </c>
      <c r="G103" s="76">
        <f t="shared" si="44"/>
        <v>0</v>
      </c>
      <c r="H103" s="76">
        <f t="shared" si="44"/>
        <v>0</v>
      </c>
      <c r="I103" s="76">
        <f t="shared" si="44"/>
        <v>0</v>
      </c>
      <c r="J103" s="76">
        <f t="shared" si="44"/>
        <v>0</v>
      </c>
      <c r="K103" s="76">
        <f t="shared" si="44"/>
        <v>0</v>
      </c>
      <c r="L103" s="76">
        <f t="shared" si="44"/>
        <v>0</v>
      </c>
      <c r="M103" s="76">
        <f t="shared" si="44"/>
        <v>0</v>
      </c>
      <c r="N103" s="76">
        <f t="shared" si="44"/>
        <v>0</v>
      </c>
      <c r="O103" s="76">
        <f t="shared" si="44"/>
        <v>0</v>
      </c>
      <c r="P103" s="76">
        <f t="shared" si="44"/>
        <v>0</v>
      </c>
      <c r="Q103" s="76">
        <f t="shared" si="44"/>
        <v>0</v>
      </c>
      <c r="R103" s="76">
        <f t="shared" si="44"/>
        <v>0</v>
      </c>
      <c r="S103" s="76">
        <f t="shared" si="44"/>
        <v>0</v>
      </c>
      <c r="T103" s="76">
        <f t="shared" si="44"/>
        <v>0</v>
      </c>
      <c r="U103" s="76">
        <f t="shared" si="44"/>
        <v>0</v>
      </c>
      <c r="V103" s="76">
        <f t="shared" si="44"/>
        <v>0</v>
      </c>
      <c r="W103" s="76">
        <f t="shared" si="44"/>
        <v>0</v>
      </c>
      <c r="X103" s="76">
        <f t="shared" si="44"/>
        <v>0</v>
      </c>
      <c r="Y103" s="76">
        <f t="shared" si="44"/>
        <v>0</v>
      </c>
      <c r="Z103" s="76">
        <f t="shared" si="44"/>
        <v>0</v>
      </c>
      <c r="AA103" s="76">
        <f t="shared" si="44"/>
        <v>0</v>
      </c>
      <c r="AB103" s="76">
        <f t="shared" si="44"/>
        <v>0</v>
      </c>
      <c r="AC103" s="76">
        <f t="shared" si="44"/>
        <v>0</v>
      </c>
      <c r="AD103" s="76">
        <f t="shared" ref="AD103:AE103" si="45">IF(AD85&lt;0,AD85*-1,0)</f>
        <v>0</v>
      </c>
      <c r="AE103" s="76">
        <f t="shared" si="45"/>
        <v>0</v>
      </c>
      <c r="AF103" s="76">
        <f t="shared" ref="AF103" si="46">IF(AF85&lt;0,AF85*-1,0)</f>
        <v>0</v>
      </c>
      <c r="AG103" s="98"/>
      <c r="AH103" s="47">
        <f t="shared" si="23"/>
        <v>0</v>
      </c>
      <c r="AI103" s="48">
        <f t="shared" si="24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C104" si="47">IF(C83&lt;0,C83*-1,0)</f>
        <v>0</v>
      </c>
      <c r="D104" s="76">
        <f t="shared" si="47"/>
        <v>0</v>
      </c>
      <c r="E104" s="76">
        <f t="shared" si="47"/>
        <v>0</v>
      </c>
      <c r="F104" s="76">
        <f t="shared" si="47"/>
        <v>0</v>
      </c>
      <c r="G104" s="76">
        <f t="shared" si="47"/>
        <v>0</v>
      </c>
      <c r="H104" s="76">
        <f t="shared" si="47"/>
        <v>0</v>
      </c>
      <c r="I104" s="76">
        <f t="shared" si="47"/>
        <v>0</v>
      </c>
      <c r="J104" s="76">
        <f t="shared" si="47"/>
        <v>0</v>
      </c>
      <c r="K104" s="76">
        <f t="shared" si="47"/>
        <v>0</v>
      </c>
      <c r="L104" s="76">
        <f t="shared" si="47"/>
        <v>0</v>
      </c>
      <c r="M104" s="76">
        <f t="shared" si="47"/>
        <v>0</v>
      </c>
      <c r="N104" s="76">
        <f t="shared" si="47"/>
        <v>0</v>
      </c>
      <c r="O104" s="76">
        <f t="shared" si="47"/>
        <v>0</v>
      </c>
      <c r="P104" s="76">
        <f t="shared" si="47"/>
        <v>0</v>
      </c>
      <c r="Q104" s="76">
        <f t="shared" si="47"/>
        <v>0</v>
      </c>
      <c r="R104" s="76">
        <f t="shared" si="47"/>
        <v>0</v>
      </c>
      <c r="S104" s="76">
        <f t="shared" si="47"/>
        <v>0</v>
      </c>
      <c r="T104" s="76">
        <f t="shared" si="47"/>
        <v>0</v>
      </c>
      <c r="U104" s="76">
        <f t="shared" si="47"/>
        <v>0</v>
      </c>
      <c r="V104" s="76">
        <f t="shared" si="47"/>
        <v>0</v>
      </c>
      <c r="W104" s="76">
        <f t="shared" si="47"/>
        <v>0</v>
      </c>
      <c r="X104" s="76">
        <f t="shared" si="47"/>
        <v>0</v>
      </c>
      <c r="Y104" s="76">
        <f t="shared" si="47"/>
        <v>0</v>
      </c>
      <c r="Z104" s="76">
        <f t="shared" si="47"/>
        <v>0</v>
      </c>
      <c r="AA104" s="76">
        <f t="shared" si="47"/>
        <v>0</v>
      </c>
      <c r="AB104" s="76">
        <f t="shared" si="47"/>
        <v>0</v>
      </c>
      <c r="AC104" s="76">
        <f t="shared" si="47"/>
        <v>0</v>
      </c>
      <c r="AD104" s="76">
        <f t="shared" ref="AD104:AE104" si="48">IF(AD83&lt;0,AD83*-1,0)</f>
        <v>0</v>
      </c>
      <c r="AE104" s="76">
        <f t="shared" si="48"/>
        <v>0</v>
      </c>
      <c r="AF104" s="76">
        <f t="shared" ref="AF104" si="49">IF(AF83&lt;0,AF83*-1,0)</f>
        <v>0</v>
      </c>
      <c r="AG104" s="98"/>
      <c r="AH104" s="47">
        <f t="shared" si="23"/>
        <v>0</v>
      </c>
      <c r="AI104" s="48">
        <f t="shared" si="24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C105" si="50">IF(C81&lt;0,C81*-1,0)</f>
        <v>0</v>
      </c>
      <c r="D105" s="76">
        <f t="shared" si="50"/>
        <v>0</v>
      </c>
      <c r="E105" s="76">
        <f t="shared" si="50"/>
        <v>0</v>
      </c>
      <c r="F105" s="76">
        <f t="shared" si="50"/>
        <v>0</v>
      </c>
      <c r="G105" s="76">
        <f t="shared" si="50"/>
        <v>0</v>
      </c>
      <c r="H105" s="76">
        <f t="shared" si="50"/>
        <v>0</v>
      </c>
      <c r="I105" s="76">
        <f t="shared" si="50"/>
        <v>0</v>
      </c>
      <c r="J105" s="76">
        <f t="shared" si="50"/>
        <v>0</v>
      </c>
      <c r="K105" s="76">
        <f t="shared" si="50"/>
        <v>0</v>
      </c>
      <c r="L105" s="76">
        <f t="shared" si="50"/>
        <v>0</v>
      </c>
      <c r="M105" s="76">
        <f t="shared" si="50"/>
        <v>0</v>
      </c>
      <c r="N105" s="76">
        <f t="shared" si="50"/>
        <v>0</v>
      </c>
      <c r="O105" s="76">
        <f t="shared" si="50"/>
        <v>0</v>
      </c>
      <c r="P105" s="76">
        <f t="shared" si="50"/>
        <v>0</v>
      </c>
      <c r="Q105" s="76">
        <f t="shared" si="50"/>
        <v>0</v>
      </c>
      <c r="R105" s="76">
        <f t="shared" si="50"/>
        <v>0</v>
      </c>
      <c r="S105" s="76">
        <f t="shared" si="50"/>
        <v>0</v>
      </c>
      <c r="T105" s="76">
        <f t="shared" si="50"/>
        <v>0</v>
      </c>
      <c r="U105" s="76">
        <f t="shared" si="50"/>
        <v>0</v>
      </c>
      <c r="V105" s="76">
        <f t="shared" si="50"/>
        <v>0</v>
      </c>
      <c r="W105" s="76">
        <f t="shared" si="50"/>
        <v>0</v>
      </c>
      <c r="X105" s="76">
        <f t="shared" si="50"/>
        <v>0</v>
      </c>
      <c r="Y105" s="76">
        <f t="shared" si="50"/>
        <v>0</v>
      </c>
      <c r="Z105" s="76">
        <f t="shared" si="50"/>
        <v>0</v>
      </c>
      <c r="AA105" s="76">
        <f t="shared" si="50"/>
        <v>0</v>
      </c>
      <c r="AB105" s="76">
        <f t="shared" si="50"/>
        <v>0</v>
      </c>
      <c r="AC105" s="76">
        <f t="shared" si="50"/>
        <v>0</v>
      </c>
      <c r="AD105" s="76">
        <f t="shared" ref="AD105:AE105" si="51">IF(AD81&lt;0,AD81*-1,0)</f>
        <v>0</v>
      </c>
      <c r="AE105" s="76">
        <f t="shared" si="51"/>
        <v>0</v>
      </c>
      <c r="AF105" s="76">
        <f t="shared" ref="AF105" si="52">IF(AF81&lt;0,AF81*-1,0)</f>
        <v>0</v>
      </c>
      <c r="AG105" s="98"/>
      <c r="AH105" s="47">
        <f t="shared" si="23"/>
        <v>0</v>
      </c>
      <c r="AI105" s="48">
        <f t="shared" si="24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1</v>
      </c>
      <c r="AE106" s="94">
        <v>2</v>
      </c>
      <c r="AF106" s="94">
        <v>3</v>
      </c>
      <c r="AG106" s="85"/>
      <c r="AH106" s="47">
        <f t="shared" si="23"/>
        <v>3</v>
      </c>
      <c r="AI106" s="48">
        <f t="shared" si="24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C107" si="53">SUM(C101:C106)</f>
        <v>0</v>
      </c>
      <c r="D107" s="60">
        <f t="shared" si="53"/>
        <v>0</v>
      </c>
      <c r="E107" s="60">
        <f t="shared" si="53"/>
        <v>0</v>
      </c>
      <c r="F107" s="60">
        <f t="shared" si="53"/>
        <v>0</v>
      </c>
      <c r="G107" s="60">
        <f t="shared" si="53"/>
        <v>0</v>
      </c>
      <c r="H107" s="60">
        <f t="shared" si="53"/>
        <v>0</v>
      </c>
      <c r="I107" s="60">
        <f t="shared" si="53"/>
        <v>0</v>
      </c>
      <c r="J107" s="60">
        <f t="shared" si="53"/>
        <v>0</v>
      </c>
      <c r="K107" s="60">
        <f t="shared" si="53"/>
        <v>0</v>
      </c>
      <c r="L107" s="60">
        <f t="shared" si="53"/>
        <v>0</v>
      </c>
      <c r="M107" s="60">
        <f t="shared" si="53"/>
        <v>0</v>
      </c>
      <c r="N107" s="60">
        <f t="shared" si="53"/>
        <v>0</v>
      </c>
      <c r="O107" s="60">
        <f t="shared" si="53"/>
        <v>0</v>
      </c>
      <c r="P107" s="60">
        <f t="shared" si="53"/>
        <v>0</v>
      </c>
      <c r="Q107" s="60">
        <f t="shared" si="53"/>
        <v>0</v>
      </c>
      <c r="R107" s="60">
        <f t="shared" si="53"/>
        <v>0</v>
      </c>
      <c r="S107" s="60">
        <f t="shared" si="53"/>
        <v>0</v>
      </c>
      <c r="T107" s="60">
        <f t="shared" si="53"/>
        <v>0</v>
      </c>
      <c r="U107" s="60">
        <f t="shared" si="53"/>
        <v>0</v>
      </c>
      <c r="V107" s="60">
        <f t="shared" si="53"/>
        <v>0</v>
      </c>
      <c r="W107" s="60">
        <f t="shared" si="53"/>
        <v>0</v>
      </c>
      <c r="X107" s="60">
        <f t="shared" si="53"/>
        <v>0</v>
      </c>
      <c r="Y107" s="60">
        <f t="shared" si="53"/>
        <v>0</v>
      </c>
      <c r="Z107" s="60">
        <f t="shared" si="53"/>
        <v>0</v>
      </c>
      <c r="AA107" s="60">
        <f t="shared" si="53"/>
        <v>0</v>
      </c>
      <c r="AB107" s="60">
        <f t="shared" si="53"/>
        <v>0</v>
      </c>
      <c r="AC107" s="60">
        <f t="shared" si="53"/>
        <v>0</v>
      </c>
      <c r="AD107" s="60">
        <f t="shared" ref="AD107:AE107" si="54">SUM(AD101:AD106)</f>
        <v>1</v>
      </c>
      <c r="AE107" s="60">
        <f t="shared" si="54"/>
        <v>2</v>
      </c>
      <c r="AF107" s="60">
        <f t="shared" ref="AF107" si="55">SUM(AF101:AF106)</f>
        <v>3</v>
      </c>
      <c r="AG107" s="88"/>
      <c r="AH107" s="47">
        <f t="shared" si="23"/>
        <v>3</v>
      </c>
      <c r="AI107" s="48">
        <f t="shared" si="24"/>
        <v>0</v>
      </c>
      <c r="AK107" s="50"/>
    </row>
    <row r="108" spans="1:37" ht="15.75" thickBot="1" x14ac:dyDescent="0.3">
      <c r="A108" s="74" t="s">
        <v>108</v>
      </c>
      <c r="B108" s="60">
        <f t="shared" ref="B108:AC108" si="56">B92-B107</f>
        <v>239.1</v>
      </c>
      <c r="C108" s="60">
        <f t="shared" si="56"/>
        <v>224.6</v>
      </c>
      <c r="D108" s="60">
        <f t="shared" si="56"/>
        <v>229</v>
      </c>
      <c r="E108" s="60">
        <f t="shared" si="56"/>
        <v>223</v>
      </c>
      <c r="F108" s="60">
        <f t="shared" si="56"/>
        <v>247.3</v>
      </c>
      <c r="G108" s="60">
        <f t="shared" si="56"/>
        <v>253</v>
      </c>
      <c r="H108" s="60">
        <f t="shared" si="56"/>
        <v>364</v>
      </c>
      <c r="I108" s="60">
        <f t="shared" si="56"/>
        <v>419.3</v>
      </c>
      <c r="J108" s="60">
        <f t="shared" si="56"/>
        <v>454</v>
      </c>
      <c r="K108" s="60">
        <f t="shared" si="56"/>
        <v>457.2</v>
      </c>
      <c r="L108" s="60">
        <f t="shared" si="56"/>
        <v>315</v>
      </c>
      <c r="M108" s="60">
        <f t="shared" si="56"/>
        <v>206.6</v>
      </c>
      <c r="N108" s="60">
        <f t="shared" si="56"/>
        <v>103.9</v>
      </c>
      <c r="O108" s="60">
        <f t="shared" si="56"/>
        <v>113.69999999999999</v>
      </c>
      <c r="P108" s="60">
        <f t="shared" si="56"/>
        <v>236.9</v>
      </c>
      <c r="Q108" s="60">
        <f t="shared" si="56"/>
        <v>435.3</v>
      </c>
      <c r="R108" s="60">
        <f t="shared" si="56"/>
        <v>470.1</v>
      </c>
      <c r="S108" s="60">
        <f t="shared" si="56"/>
        <v>459</v>
      </c>
      <c r="T108" s="60">
        <f t="shared" si="56"/>
        <v>476.29999999999995</v>
      </c>
      <c r="U108" s="60">
        <f t="shared" si="56"/>
        <v>469.59999999999997</v>
      </c>
      <c r="V108" s="60">
        <f t="shared" si="56"/>
        <v>312</v>
      </c>
      <c r="W108" s="60">
        <f t="shared" si="56"/>
        <v>268.09999999999997</v>
      </c>
      <c r="X108" s="60">
        <f t="shared" si="56"/>
        <v>311.39999999999998</v>
      </c>
      <c r="Y108" s="60">
        <f t="shared" si="56"/>
        <v>289</v>
      </c>
      <c r="Z108" s="60">
        <f t="shared" si="56"/>
        <v>253.89999999999998</v>
      </c>
      <c r="AA108" s="60">
        <f t="shared" si="56"/>
        <v>283.7</v>
      </c>
      <c r="AB108" s="60">
        <f t="shared" si="56"/>
        <v>300.89999999999998</v>
      </c>
      <c r="AC108" s="60">
        <f t="shared" si="56"/>
        <v>275.2</v>
      </c>
      <c r="AD108" s="60">
        <f t="shared" ref="AD108:AE108" si="57">AD92-AD107</f>
        <v>334.7</v>
      </c>
      <c r="AE108" s="60">
        <f t="shared" si="57"/>
        <v>321.5</v>
      </c>
      <c r="AF108" s="60">
        <f t="shared" ref="AF108" si="58">AF92-AF107</f>
        <v>264.8</v>
      </c>
      <c r="AG108" s="88"/>
      <c r="AH108" s="47">
        <f t="shared" si="23"/>
        <v>476.29999999999995</v>
      </c>
      <c r="AI108" s="48">
        <f t="shared" si="24"/>
        <v>103.9</v>
      </c>
    </row>
    <row r="109" spans="1:37" x14ac:dyDescent="0.25">
      <c r="A109" s="100" t="s">
        <v>109</v>
      </c>
      <c r="B109" s="101">
        <v>50.030999999999999</v>
      </c>
      <c r="C109" s="101">
        <v>50.003</v>
      </c>
      <c r="D109" s="101">
        <v>50.02</v>
      </c>
      <c r="E109" s="101">
        <v>49.956000000000003</v>
      </c>
      <c r="F109" s="101">
        <v>49.994999999999997</v>
      </c>
      <c r="G109" s="101">
        <v>50.000300000000003</v>
      </c>
      <c r="H109" s="101">
        <v>50.015000000000001</v>
      </c>
      <c r="I109" s="101">
        <v>50.031999999999996</v>
      </c>
      <c r="J109" s="101">
        <v>49.953000000000003</v>
      </c>
      <c r="K109" s="101">
        <v>49.997999999999998</v>
      </c>
      <c r="L109" s="101">
        <v>49.951999999999998</v>
      </c>
      <c r="M109" s="101">
        <v>50.002000000000002</v>
      </c>
      <c r="N109" s="101">
        <v>49.98</v>
      </c>
      <c r="O109" s="101">
        <v>49.912999999999997</v>
      </c>
      <c r="P109" s="101">
        <v>50.064</v>
      </c>
      <c r="Q109" s="101">
        <v>50.070999999999998</v>
      </c>
      <c r="R109" s="101">
        <v>50.026000000000003</v>
      </c>
      <c r="S109" s="101">
        <v>49.963000000000001</v>
      </c>
      <c r="T109" s="101">
        <v>50.027000000000001</v>
      </c>
      <c r="U109" s="101">
        <v>50.048999999999999</v>
      </c>
      <c r="V109" s="101">
        <v>50.018999999999998</v>
      </c>
      <c r="W109" s="101">
        <v>50.040999999999997</v>
      </c>
      <c r="X109" s="101">
        <v>49.978000000000002</v>
      </c>
      <c r="Y109" s="101">
        <v>49.884999999999998</v>
      </c>
      <c r="Z109" s="101">
        <v>49.965000000000003</v>
      </c>
      <c r="AA109" s="101">
        <v>49.881</v>
      </c>
      <c r="AB109" s="101">
        <v>50.023000000000003</v>
      </c>
      <c r="AC109" s="101">
        <v>49.99</v>
      </c>
      <c r="AD109" s="101">
        <v>49.97</v>
      </c>
      <c r="AE109" s="101">
        <v>50.09</v>
      </c>
      <c r="AF109" s="101">
        <v>50.04</v>
      </c>
      <c r="AG109" s="102"/>
      <c r="AH109" s="47">
        <f t="shared" si="23"/>
        <v>50.09</v>
      </c>
      <c r="AI109" s="48">
        <f t="shared" si="24"/>
        <v>49.881</v>
      </c>
    </row>
    <row r="110" spans="1:37" x14ac:dyDescent="0.25">
      <c r="A110" s="103" t="s">
        <v>110</v>
      </c>
      <c r="B110" s="65">
        <v>132.30000000000001</v>
      </c>
      <c r="C110" s="65">
        <v>132.5</v>
      </c>
      <c r="D110" s="65">
        <v>132.9</v>
      </c>
      <c r="E110" s="65">
        <v>133</v>
      </c>
      <c r="F110" s="65">
        <v>132.9</v>
      </c>
      <c r="G110" s="65">
        <v>132.6</v>
      </c>
      <c r="H110" s="65">
        <v>129.6</v>
      </c>
      <c r="I110" s="65">
        <v>127.7</v>
      </c>
      <c r="J110" s="65">
        <v>125.7</v>
      </c>
      <c r="K110" s="65">
        <v>123.9</v>
      </c>
      <c r="L110" s="65">
        <v>124.9</v>
      </c>
      <c r="M110" s="65">
        <v>124.1</v>
      </c>
      <c r="N110" s="65">
        <v>124.9</v>
      </c>
      <c r="O110" s="65">
        <v>123.4</v>
      </c>
      <c r="P110" s="65">
        <v>125.1</v>
      </c>
      <c r="Q110" s="65">
        <v>124.6</v>
      </c>
      <c r="R110" s="65">
        <v>124.5</v>
      </c>
      <c r="S110" s="65">
        <v>124.9</v>
      </c>
      <c r="T110" s="65">
        <v>125.1</v>
      </c>
      <c r="U110" s="65">
        <v>126.5</v>
      </c>
      <c r="V110" s="65">
        <v>128.19999999999999</v>
      </c>
      <c r="W110" s="65">
        <v>128.69999999999999</v>
      </c>
      <c r="X110" s="65">
        <v>127.6</v>
      </c>
      <c r="Y110" s="65">
        <v>127.1</v>
      </c>
      <c r="Z110" s="65">
        <v>128</v>
      </c>
      <c r="AA110" s="65">
        <v>129</v>
      </c>
      <c r="AB110" s="65">
        <v>128.80000000000001</v>
      </c>
      <c r="AC110" s="65">
        <v>129</v>
      </c>
      <c r="AD110" s="65">
        <v>129.4</v>
      </c>
      <c r="AE110" s="65">
        <v>129.80000000000001</v>
      </c>
      <c r="AF110" s="65">
        <v>131.6</v>
      </c>
      <c r="AG110" s="104"/>
      <c r="AH110" s="47">
        <f t="shared" si="23"/>
        <v>133</v>
      </c>
      <c r="AI110" s="48">
        <f t="shared" si="24"/>
        <v>123.4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23"/>
        <v>0</v>
      </c>
      <c r="AI111" s="48">
        <f t="shared" si="24"/>
        <v>0</v>
      </c>
    </row>
    <row r="112" spans="1:37" x14ac:dyDescent="0.25">
      <c r="A112" s="103" t="s">
        <v>112</v>
      </c>
      <c r="B112" s="65">
        <v>130</v>
      </c>
      <c r="C112" s="65">
        <v>130.69999999999999</v>
      </c>
      <c r="D112" s="65">
        <v>130.5</v>
      </c>
      <c r="E112" s="65">
        <v>131.5</v>
      </c>
      <c r="F112" s="65">
        <v>130.69999999999999</v>
      </c>
      <c r="G112" s="65">
        <v>131.69999999999999</v>
      </c>
      <c r="H112" s="65">
        <v>127.8</v>
      </c>
      <c r="I112" s="65">
        <v>124.7</v>
      </c>
      <c r="J112" s="65">
        <v>123.8</v>
      </c>
      <c r="K112" s="65">
        <v>122.3</v>
      </c>
      <c r="L112" s="65">
        <v>125.4</v>
      </c>
      <c r="M112" s="65">
        <v>125.8</v>
      </c>
      <c r="N112" s="65">
        <v>128.80000000000001</v>
      </c>
      <c r="O112" s="65">
        <v>127.9</v>
      </c>
      <c r="P112" s="65">
        <v>127.4</v>
      </c>
      <c r="Q112" s="65">
        <v>130.5</v>
      </c>
      <c r="R112" s="65">
        <v>127.4</v>
      </c>
      <c r="S112" s="65">
        <v>128.5</v>
      </c>
      <c r="T112" s="65">
        <v>131.1</v>
      </c>
      <c r="U112" s="65">
        <v>128</v>
      </c>
      <c r="V112" s="65">
        <v>128.1</v>
      </c>
      <c r="W112" s="65">
        <v>130.69999999999999</v>
      </c>
      <c r="X112" s="65">
        <v>128.19999999999999</v>
      </c>
      <c r="Y112" s="65">
        <v>129.4</v>
      </c>
      <c r="Z112" s="65">
        <v>129.1</v>
      </c>
      <c r="AA112" s="65">
        <v>130.1</v>
      </c>
      <c r="AB112" s="65">
        <v>129.19999999999999</v>
      </c>
      <c r="AC112" s="65">
        <v>130.1</v>
      </c>
      <c r="AD112" s="65">
        <v>131</v>
      </c>
      <c r="AE112" s="65">
        <v>128.5</v>
      </c>
      <c r="AF112" s="65">
        <v>130.80000000000001</v>
      </c>
      <c r="AG112" s="104"/>
      <c r="AH112" s="47">
        <f t="shared" si="23"/>
        <v>131.69999999999999</v>
      </c>
      <c r="AI112" s="48">
        <f t="shared" si="24"/>
        <v>122.3</v>
      </c>
    </row>
    <row r="113" spans="1:35" x14ac:dyDescent="0.25">
      <c r="A113" s="105" t="s">
        <v>113</v>
      </c>
      <c r="B113" s="65">
        <v>132.4</v>
      </c>
      <c r="C113" s="65">
        <v>133.30000000000001</v>
      </c>
      <c r="D113" s="65">
        <v>133.80000000000001</v>
      </c>
      <c r="E113" s="65">
        <v>134.4</v>
      </c>
      <c r="F113" s="65">
        <v>134.30000000000001</v>
      </c>
      <c r="G113" s="65">
        <v>134.80000000000001</v>
      </c>
      <c r="H113" s="65">
        <v>130.9</v>
      </c>
      <c r="I113" s="65">
        <v>129.6</v>
      </c>
      <c r="J113" s="65">
        <v>128.19999999999999</v>
      </c>
      <c r="K113" s="65">
        <v>125.74</v>
      </c>
      <c r="L113" s="65">
        <v>127.8</v>
      </c>
      <c r="M113" s="65">
        <v>128.30000000000001</v>
      </c>
      <c r="N113" s="65">
        <v>131.1</v>
      </c>
      <c r="O113" s="65">
        <v>129.69999999999999</v>
      </c>
      <c r="P113" s="65">
        <v>129.4</v>
      </c>
      <c r="Q113" s="65">
        <v>133.1</v>
      </c>
      <c r="R113" s="65">
        <v>130.69999999999999</v>
      </c>
      <c r="S113" s="65">
        <v>131.5</v>
      </c>
      <c r="T113" s="65">
        <v>134.30000000000001</v>
      </c>
      <c r="U113" s="65">
        <v>130.9</v>
      </c>
      <c r="V113" s="65">
        <v>130.80000000000001</v>
      </c>
      <c r="W113" s="65">
        <v>130.69999999999999</v>
      </c>
      <c r="X113" s="65">
        <v>129.30000000000001</v>
      </c>
      <c r="Y113" s="65">
        <v>130.69999999999999</v>
      </c>
      <c r="Z113" s="65">
        <v>131.19999999999999</v>
      </c>
      <c r="AA113" s="65">
        <v>132.19999999999999</v>
      </c>
      <c r="AB113" s="65">
        <v>133.30000000000001</v>
      </c>
      <c r="AC113" s="65">
        <v>134.1</v>
      </c>
      <c r="AD113" s="65">
        <v>131.9</v>
      </c>
      <c r="AE113" s="65">
        <v>130.69999999999999</v>
      </c>
      <c r="AF113" s="65">
        <v>131.69999999999999</v>
      </c>
      <c r="AG113" s="104"/>
      <c r="AH113" s="47">
        <f t="shared" si="23"/>
        <v>134.80000000000001</v>
      </c>
      <c r="AI113" s="48">
        <f t="shared" si="24"/>
        <v>125.74</v>
      </c>
    </row>
    <row r="114" spans="1:35" x14ac:dyDescent="0.25">
      <c r="A114" s="105" t="s">
        <v>114</v>
      </c>
      <c r="B114" s="106">
        <v>136.5</v>
      </c>
      <c r="C114" s="106">
        <v>135.80000000000001</v>
      </c>
      <c r="D114" s="106">
        <v>136.19999999999999</v>
      </c>
      <c r="E114" s="106">
        <v>136.6</v>
      </c>
      <c r="F114" s="106">
        <v>136.4</v>
      </c>
      <c r="G114" s="106">
        <v>136.30000000000001</v>
      </c>
      <c r="H114" s="106">
        <v>133.9</v>
      </c>
      <c r="I114" s="106">
        <v>131.6</v>
      </c>
      <c r="J114" s="106">
        <v>134.1</v>
      </c>
      <c r="K114" s="106">
        <v>133.4</v>
      </c>
      <c r="L114" s="106">
        <v>133.4</v>
      </c>
      <c r="M114" s="106">
        <v>131.80000000000001</v>
      </c>
      <c r="N114" s="106">
        <v>133.80000000000001</v>
      </c>
      <c r="O114" s="106">
        <v>131.4</v>
      </c>
      <c r="P114" s="106">
        <v>135</v>
      </c>
      <c r="Q114" s="106">
        <v>131.9</v>
      </c>
      <c r="R114" s="106">
        <v>131.4</v>
      </c>
      <c r="S114" s="106">
        <v>131.1</v>
      </c>
      <c r="T114" s="106">
        <v>133.19999999999999</v>
      </c>
      <c r="U114" s="106">
        <v>132.80000000000001</v>
      </c>
      <c r="V114" s="106">
        <v>134.80000000000001</v>
      </c>
      <c r="W114" s="106">
        <v>136.6</v>
      </c>
      <c r="X114" s="106">
        <v>134.30000000000001</v>
      </c>
      <c r="Y114" s="106">
        <v>134.30000000000001</v>
      </c>
      <c r="Z114" s="106">
        <v>135</v>
      </c>
      <c r="AA114" s="106">
        <v>136.5</v>
      </c>
      <c r="AB114" s="106">
        <v>134.80000000000001</v>
      </c>
      <c r="AC114" s="106">
        <v>134.6</v>
      </c>
      <c r="AD114" s="106">
        <v>135</v>
      </c>
      <c r="AE114" s="106">
        <v>135.4</v>
      </c>
      <c r="AF114" s="106">
        <v>135.5</v>
      </c>
      <c r="AG114" s="107"/>
      <c r="AH114" s="47">
        <f t="shared" si="23"/>
        <v>136.6</v>
      </c>
      <c r="AI114" s="48">
        <f t="shared" si="24"/>
        <v>131.1</v>
      </c>
    </row>
    <row r="115" spans="1:35" x14ac:dyDescent="0.25">
      <c r="A115" s="103" t="s">
        <v>115</v>
      </c>
      <c r="B115" s="65">
        <v>130.9</v>
      </c>
      <c r="C115" s="65">
        <v>132.30000000000001</v>
      </c>
      <c r="D115" s="65">
        <v>132.1</v>
      </c>
      <c r="E115" s="65">
        <v>131.69999999999999</v>
      </c>
      <c r="F115" s="65">
        <v>130.6</v>
      </c>
      <c r="G115" s="65">
        <v>129.6</v>
      </c>
      <c r="H115" s="65">
        <v>128.30000000000001</v>
      </c>
      <c r="I115" s="65">
        <v>127.2</v>
      </c>
      <c r="J115" s="65">
        <v>131.30000000000001</v>
      </c>
      <c r="K115" s="65">
        <v>130.69999999999999</v>
      </c>
      <c r="L115" s="65">
        <v>128.4</v>
      </c>
      <c r="M115" s="65">
        <v>127.5</v>
      </c>
      <c r="N115" s="65">
        <v>134.6</v>
      </c>
      <c r="O115" s="65">
        <v>132.5</v>
      </c>
      <c r="P115" s="65">
        <v>126.5</v>
      </c>
      <c r="Q115" s="65">
        <v>127.5</v>
      </c>
      <c r="R115" s="65">
        <v>129</v>
      </c>
      <c r="S115" s="65">
        <v>133.80000000000001</v>
      </c>
      <c r="T115" s="65">
        <v>127.6</v>
      </c>
      <c r="U115" s="65">
        <v>132.80000000000001</v>
      </c>
      <c r="V115" s="65">
        <v>132.9</v>
      </c>
      <c r="W115" s="65">
        <v>132.1</v>
      </c>
      <c r="X115" s="65">
        <v>130.9</v>
      </c>
      <c r="Y115" s="65">
        <v>132.19999999999999</v>
      </c>
      <c r="Z115" s="65">
        <v>129</v>
      </c>
      <c r="AA115" s="65">
        <v>136.80000000000001</v>
      </c>
      <c r="AB115" s="65">
        <v>130.19999999999999</v>
      </c>
      <c r="AC115" s="65">
        <v>134.6</v>
      </c>
      <c r="AD115" s="65">
        <v>133.80000000000001</v>
      </c>
      <c r="AE115" s="65">
        <v>135.1</v>
      </c>
      <c r="AF115" s="65">
        <v>132.19999999999999</v>
      </c>
      <c r="AG115" s="104"/>
      <c r="AH115" s="47">
        <f t="shared" si="23"/>
        <v>136.80000000000001</v>
      </c>
      <c r="AI115" s="48">
        <f t="shared" si="24"/>
        <v>126.5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23"/>
        <v>0</v>
      </c>
      <c r="AI116" s="48">
        <f t="shared" si="24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3"/>
        <v>0</v>
      </c>
      <c r="AI117" s="48">
        <f t="shared" si="24"/>
        <v>0</v>
      </c>
    </row>
    <row r="118" spans="1:35" ht="15.75" thickBot="1" x14ac:dyDescent="0.3">
      <c r="A118" s="110" t="s">
        <v>118</v>
      </c>
      <c r="B118" s="111">
        <f t="shared" ref="B118:O118" si="59">SUM(B22,B28,B31:B32,B66,B68:B69,B71,B73,B119:B123,B155,B161,B167,B176,B178,B190,B197,B200:B201,B208,B210,B212,B216:B218,B220:B222,B227,B233:B234,B236:B238,B246,B251)</f>
        <v>106.58799999999999</v>
      </c>
      <c r="C118" s="111">
        <f t="shared" si="59"/>
        <v>97.55</v>
      </c>
      <c r="D118" s="111">
        <f t="shared" si="59"/>
        <v>124.33999999999999</v>
      </c>
      <c r="E118" s="111">
        <f t="shared" si="59"/>
        <v>71.540000000000006</v>
      </c>
      <c r="F118" s="111">
        <f t="shared" si="59"/>
        <v>86.54</v>
      </c>
      <c r="G118" s="111">
        <f t="shared" si="59"/>
        <v>96.34</v>
      </c>
      <c r="H118" s="111">
        <f t="shared" si="59"/>
        <v>124.14</v>
      </c>
      <c r="I118" s="111">
        <f>SUM(I22,I28,I31:I32,I66,I68:I69,I71,I73,I119:I123,I155,I161,I167,I176,I178,I190,I197,I200:I201,I208,I210,I212,I216:I218,I220:I222,I227,I233:I234,I236:I238,I246,I251)</f>
        <v>153.83999999999997</v>
      </c>
      <c r="J118" s="111">
        <f>SUM(J22,J28,J31:J32,J66,J68:J69,J71,J73,J119:J123,J155,J161,J167,J176,J178,J190,J197,J200:J201,J208,J210,J212,J216:J218,J220:J222,J227,J233:J234,J236:J238,J246,J251)</f>
        <v>199</v>
      </c>
      <c r="K118" s="111">
        <f>SUM(K22,K28,K31:K32,K66,K68:K69,K71,K73,K119:K123,K155,K161,K167,K176,K178,K190,K197,K200:K201,K208,K210,K212,K216:K218,K220:K222,K227,K233:K234,K236:K238,K246,K251)</f>
        <v>355.94</v>
      </c>
      <c r="L118" s="111">
        <f t="shared" si="59"/>
        <v>392.23600000000005</v>
      </c>
      <c r="M118" s="111">
        <f t="shared" si="59"/>
        <v>318.00399999999996</v>
      </c>
      <c r="N118" s="111">
        <f t="shared" si="59"/>
        <v>285.73999999999995</v>
      </c>
      <c r="O118" s="111">
        <f t="shared" si="59"/>
        <v>286.54000000000002</v>
      </c>
      <c r="P118" s="111">
        <v>42</v>
      </c>
      <c r="Q118" s="111">
        <f t="shared" ref="Q118:AE118" si="60">SUM(Q22,Q28,Q31:Q32,Q66,Q68:Q69,Q71,Q73,Q119:Q123,Q155,Q161,Q167,Q176,Q178,Q190,Q197,Q200:Q201,Q208,Q210,Q212,Q216:Q218,Q220:Q222,Q227,Q233:Q234,Q236:Q238,Q246,Q251)</f>
        <v>234.14000000000001</v>
      </c>
      <c r="R118" s="111">
        <f t="shared" si="60"/>
        <v>208.54000000000002</v>
      </c>
      <c r="S118" s="111">
        <f t="shared" si="60"/>
        <v>233.50200000000001</v>
      </c>
      <c r="T118" s="111">
        <f t="shared" si="60"/>
        <v>245.54999999999998</v>
      </c>
      <c r="U118" s="111">
        <f t="shared" si="60"/>
        <v>224.70699999999997</v>
      </c>
      <c r="V118" s="111">
        <f t="shared" si="60"/>
        <v>253.51400000000001</v>
      </c>
      <c r="W118" s="111">
        <f t="shared" si="60"/>
        <v>260.94099999999997</v>
      </c>
      <c r="X118" s="111">
        <f t="shared" si="60"/>
        <v>285.21899999999999</v>
      </c>
      <c r="Y118" s="111">
        <f t="shared" si="60"/>
        <v>296.72899999999998</v>
      </c>
      <c r="Z118" s="111">
        <f t="shared" si="60"/>
        <v>300.73099999999999</v>
      </c>
      <c r="AA118" s="111">
        <f t="shared" si="60"/>
        <v>289.22300000000001</v>
      </c>
      <c r="AB118" s="111">
        <f t="shared" si="60"/>
        <v>280.71099999999996</v>
      </c>
      <c r="AC118" s="111">
        <f t="shared" si="60"/>
        <v>268.04299999999995</v>
      </c>
      <c r="AD118" s="111">
        <f t="shared" si="60"/>
        <v>254.54</v>
      </c>
      <c r="AE118" s="111">
        <f t="shared" si="60"/>
        <v>181.18</v>
      </c>
      <c r="AF118" s="111">
        <f>SUM(AF22,AF28,AF31:AF32,AF66,AF68:AF69,AF71,AF73,AF119:AF123,AF155,AF161,AF167,AF176,AF178,AF190,AF197,AF200:AF201,AF208,AF210,AF212,AF216:AF218,AF220:AF222,AF227,AF233:AF234,AF236:AF238,AF246,AF251)</f>
        <v>127.67999999999999</v>
      </c>
      <c r="AG118" s="112"/>
      <c r="AH118" s="47">
        <f t="shared" si="23"/>
        <v>392.23600000000005</v>
      </c>
      <c r="AI118" s="48">
        <f t="shared" si="24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>
        <f>200/5</f>
        <v>40</v>
      </c>
      <c r="L119" s="113">
        <f>198/5</f>
        <v>39.6</v>
      </c>
      <c r="M119" s="113"/>
      <c r="N119" s="113">
        <v>4.5999999999999996</v>
      </c>
      <c r="O119" s="113">
        <v>12.3</v>
      </c>
      <c r="P119" s="113">
        <v>24.2</v>
      </c>
      <c r="Q119" s="113">
        <v>-12.7</v>
      </c>
      <c r="R119" s="113">
        <v>-38.9</v>
      </c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23"/>
        <v>40</v>
      </c>
      <c r="AI119" s="48">
        <f t="shared" si="24"/>
        <v>-38.9</v>
      </c>
    </row>
    <row r="120" spans="1:35" x14ac:dyDescent="0.25">
      <c r="A120" s="182" t="s">
        <v>120</v>
      </c>
      <c r="B120" s="115">
        <v>8.6</v>
      </c>
      <c r="C120" s="115">
        <v>4.2</v>
      </c>
      <c r="D120" s="115">
        <v>10.3</v>
      </c>
      <c r="E120" s="115">
        <v>5.6</v>
      </c>
      <c r="F120" s="115">
        <v>-2.2999999999999998</v>
      </c>
      <c r="G120" s="115">
        <v>2.9</v>
      </c>
      <c r="H120" s="115">
        <v>-8</v>
      </c>
      <c r="I120" s="115">
        <v>11.2</v>
      </c>
      <c r="J120" s="115">
        <v>37.36</v>
      </c>
      <c r="K120" s="115">
        <v>45.2</v>
      </c>
      <c r="L120" s="115">
        <v>42.5</v>
      </c>
      <c r="M120" s="115">
        <v>42.4</v>
      </c>
      <c r="N120" s="115">
        <v>58.8</v>
      </c>
      <c r="O120" s="115">
        <v>63.5</v>
      </c>
      <c r="P120" s="115">
        <v>71.2</v>
      </c>
      <c r="Q120" s="115">
        <v>49.4</v>
      </c>
      <c r="R120" s="115">
        <v>23.7</v>
      </c>
      <c r="S120" s="115">
        <v>30.9</v>
      </c>
      <c r="T120" s="115">
        <v>32.6</v>
      </c>
      <c r="U120" s="115">
        <v>23.9</v>
      </c>
      <c r="V120" s="115">
        <v>25.2</v>
      </c>
      <c r="W120" s="115">
        <v>27.7</v>
      </c>
      <c r="X120" s="202">
        <v>43.5</v>
      </c>
      <c r="Y120" s="115">
        <v>45.8</v>
      </c>
      <c r="Z120" s="115">
        <v>46.6</v>
      </c>
      <c r="AA120" s="115">
        <v>42.4</v>
      </c>
      <c r="AB120" s="115">
        <v>36.6</v>
      </c>
      <c r="AC120" s="115">
        <v>38.799999999999997</v>
      </c>
      <c r="AD120" s="115">
        <v>41.1</v>
      </c>
      <c r="AE120" s="115">
        <v>32.4</v>
      </c>
      <c r="AF120" s="115">
        <v>20.3</v>
      </c>
      <c r="AG120" s="114">
        <v>240</v>
      </c>
      <c r="AH120" s="47">
        <f t="shared" si="23"/>
        <v>71.2</v>
      </c>
      <c r="AI120" s="48">
        <f t="shared" si="24"/>
        <v>-8</v>
      </c>
    </row>
    <row r="121" spans="1:35" x14ac:dyDescent="0.25">
      <c r="A121" s="182" t="s">
        <v>121</v>
      </c>
      <c r="B121" s="115">
        <v>-56</v>
      </c>
      <c r="C121" s="115">
        <v>-60</v>
      </c>
      <c r="D121" s="115">
        <v>-51</v>
      </c>
      <c r="E121" s="115">
        <v>-62.8</v>
      </c>
      <c r="F121" s="115">
        <v>-50.9</v>
      </c>
      <c r="G121" s="115">
        <v>-49.4</v>
      </c>
      <c r="H121" s="115">
        <v>-33.1</v>
      </c>
      <c r="I121" s="115">
        <v>-26.1</v>
      </c>
      <c r="J121" s="115">
        <v>-19.7</v>
      </c>
      <c r="K121" s="115">
        <v>-6</v>
      </c>
      <c r="L121" s="115">
        <v>4.4000000000000004</v>
      </c>
      <c r="M121" s="115"/>
      <c r="N121" s="115">
        <f>-4.3-5.5</f>
        <v>-9.8000000000000007</v>
      </c>
      <c r="O121" s="115">
        <f>-9.3-10.6</f>
        <v>-19.899999999999999</v>
      </c>
      <c r="P121" s="115">
        <f>-16-18</f>
        <v>-34</v>
      </c>
      <c r="Q121" s="115">
        <f>-10.5-11.7</f>
        <v>-22.2</v>
      </c>
      <c r="R121" s="115">
        <f>-5.7-7.1</f>
        <v>-12.8</v>
      </c>
      <c r="S121" s="115">
        <v>-16.8</v>
      </c>
      <c r="T121" s="115">
        <v>-10.9</v>
      </c>
      <c r="U121" s="115">
        <v>-17.899999999999999</v>
      </c>
      <c r="V121" s="115">
        <v>2.6</v>
      </c>
      <c r="W121" s="115">
        <v>-4</v>
      </c>
      <c r="X121" s="115">
        <v>-1.1000000000000001</v>
      </c>
      <c r="Y121" s="115">
        <v>3.1</v>
      </c>
      <c r="Z121" s="115">
        <v>5.3</v>
      </c>
      <c r="AA121" s="115">
        <v>3</v>
      </c>
      <c r="AB121" s="115">
        <v>1.5</v>
      </c>
      <c r="AC121" s="115">
        <v>-6.9</v>
      </c>
      <c r="AD121" s="115">
        <f>1.7-2</f>
        <v>-0.30000000000000004</v>
      </c>
      <c r="AE121" s="115">
        <f>-14.5-16.7</f>
        <v>-31.2</v>
      </c>
      <c r="AF121" s="115">
        <f>-22.9-26.2</f>
        <v>-49.099999999999994</v>
      </c>
      <c r="AG121" s="114">
        <v>240</v>
      </c>
      <c r="AH121" s="47">
        <f t="shared" si="23"/>
        <v>5.3</v>
      </c>
      <c r="AI121" s="48">
        <f t="shared" si="24"/>
        <v>-62.8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>
        <f>160/5</f>
        <v>32</v>
      </c>
      <c r="L122" s="115">
        <f>204/5</f>
        <v>40.799999999999997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23"/>
        <v>40.799999999999997</v>
      </c>
      <c r="AI122" s="48">
        <f t="shared" si="24"/>
        <v>32</v>
      </c>
    </row>
    <row r="123" spans="1:35" x14ac:dyDescent="0.25">
      <c r="A123" s="181" t="s">
        <v>267</v>
      </c>
      <c r="B123" s="117">
        <f>24.4*1.67</f>
        <v>40.747999999999998</v>
      </c>
      <c r="C123" s="117">
        <f>23*1.67</f>
        <v>38.409999999999997</v>
      </c>
      <c r="D123" s="117">
        <f>30*1.67</f>
        <v>50.099999999999994</v>
      </c>
      <c r="E123" s="117">
        <v>17.7</v>
      </c>
      <c r="F123" s="117">
        <v>28.7</v>
      </c>
      <c r="G123" s="117">
        <v>30.9</v>
      </c>
      <c r="H123" s="117">
        <v>53.3</v>
      </c>
      <c r="I123" s="117">
        <v>56.8</v>
      </c>
      <c r="J123" s="117">
        <v>70.599999999999994</v>
      </c>
      <c r="K123" s="117">
        <v>134</v>
      </c>
      <c r="L123" s="117">
        <f>1.64*93.9</f>
        <v>153.99600000000001</v>
      </c>
      <c r="M123" s="117">
        <f>1.64*100.1</f>
        <v>164.16399999999999</v>
      </c>
      <c r="N123" s="117">
        <f>80*1.5</f>
        <v>120</v>
      </c>
      <c r="O123" s="117">
        <f>77*1.5</f>
        <v>115.5</v>
      </c>
      <c r="P123" s="117">
        <f>61*1.5</f>
        <v>91.5</v>
      </c>
      <c r="Q123" s="117">
        <f>61*1.5</f>
        <v>91.5</v>
      </c>
      <c r="R123" s="201">
        <f>74*1.5</f>
        <v>111</v>
      </c>
      <c r="S123" s="117">
        <f>68.6*1.67</f>
        <v>114.56199999999998</v>
      </c>
      <c r="T123" s="117">
        <f>73*1.67</f>
        <v>121.91</v>
      </c>
      <c r="U123" s="117">
        <f>70.1*1.67</f>
        <v>117.06699999999998</v>
      </c>
      <c r="V123" s="117">
        <f>72.2*1.67</f>
        <v>120.574</v>
      </c>
      <c r="W123" s="117">
        <f>80.3*1.67</f>
        <v>134.101</v>
      </c>
      <c r="X123" s="115">
        <f>83.7*1.67</f>
        <v>139.779</v>
      </c>
      <c r="Y123" s="117">
        <f>86.7*1.67</f>
        <v>144.78899999999999</v>
      </c>
      <c r="Z123" s="117">
        <f>87.3*1.67</f>
        <v>145.791</v>
      </c>
      <c r="AA123" s="117">
        <f>84.9*1.67</f>
        <v>141.78300000000002</v>
      </c>
      <c r="AB123" s="117">
        <f>1.67*81.3</f>
        <v>135.77099999999999</v>
      </c>
      <c r="AC123" s="117">
        <f>1.63*78.1</f>
        <v>127.30299999999998</v>
      </c>
      <c r="AD123" s="117">
        <f>63*1.6</f>
        <v>100.80000000000001</v>
      </c>
      <c r="AE123" s="117">
        <f>44.4*1.6</f>
        <v>71.040000000000006</v>
      </c>
      <c r="AF123" s="117">
        <f>30.9*1.6</f>
        <v>49.44</v>
      </c>
      <c r="AG123" s="118">
        <v>120</v>
      </c>
      <c r="AH123" s="47">
        <f t="shared" si="23"/>
        <v>164.16399999999999</v>
      </c>
      <c r="AI123" s="48">
        <f t="shared" si="24"/>
        <v>17.7</v>
      </c>
    </row>
    <row r="124" spans="1:35" x14ac:dyDescent="0.25">
      <c r="A124" s="182" t="s">
        <v>266</v>
      </c>
      <c r="B124" s="117">
        <v>50.9</v>
      </c>
      <c r="C124" s="117">
        <v>49.5</v>
      </c>
      <c r="D124" s="117">
        <v>54.8</v>
      </c>
      <c r="E124" s="117">
        <v>46.8</v>
      </c>
      <c r="F124" s="117">
        <v>52.8</v>
      </c>
      <c r="G124" s="117">
        <v>54.1</v>
      </c>
      <c r="H124" s="117">
        <v>74.2</v>
      </c>
      <c r="I124" s="117">
        <v>75.400000000000006</v>
      </c>
      <c r="J124" s="117">
        <v>86.2</v>
      </c>
      <c r="K124" s="117">
        <v>95.3</v>
      </c>
      <c r="L124" s="117">
        <v>105.4</v>
      </c>
      <c r="M124" s="117">
        <v>109.4</v>
      </c>
      <c r="N124" s="117">
        <v>94</v>
      </c>
      <c r="O124" s="117">
        <v>91.8</v>
      </c>
      <c r="P124" s="117">
        <v>78.3</v>
      </c>
      <c r="Q124" s="117">
        <v>76.7</v>
      </c>
      <c r="R124" s="117">
        <v>88.4</v>
      </c>
      <c r="S124" s="117">
        <v>85.2</v>
      </c>
      <c r="T124" s="117">
        <v>88.7</v>
      </c>
      <c r="U124" s="117">
        <v>87.7</v>
      </c>
      <c r="V124" s="117">
        <v>88.8</v>
      </c>
      <c r="W124" s="117">
        <v>96.4</v>
      </c>
      <c r="X124" s="203">
        <v>98.4</v>
      </c>
      <c r="Y124" s="117">
        <v>100.8</v>
      </c>
      <c r="Z124" s="117">
        <v>101.4</v>
      </c>
      <c r="AA124" s="117">
        <v>99.4</v>
      </c>
      <c r="AB124" s="117">
        <v>96.3</v>
      </c>
      <c r="AC124" s="117">
        <v>95.1</v>
      </c>
      <c r="AD124" s="117">
        <v>81.3</v>
      </c>
      <c r="AE124" s="117">
        <v>67.900000000000006</v>
      </c>
      <c r="AF124" s="117">
        <v>57.8</v>
      </c>
      <c r="AG124" s="118"/>
      <c r="AH124" s="47"/>
      <c r="AI124" s="48"/>
    </row>
    <row r="125" spans="1:35" x14ac:dyDescent="0.25">
      <c r="A125" s="182" t="s">
        <v>263</v>
      </c>
      <c r="B125" s="117">
        <v>23.6</v>
      </c>
      <c r="C125" s="117">
        <v>28.7</v>
      </c>
      <c r="D125" s="117">
        <v>42.7</v>
      </c>
      <c r="E125" s="117">
        <v>29.6</v>
      </c>
      <c r="F125" s="117">
        <v>35.1</v>
      </c>
      <c r="G125" s="117">
        <v>25.1</v>
      </c>
      <c r="H125" s="117">
        <v>39.700000000000003</v>
      </c>
      <c r="I125" s="117">
        <v>15.1</v>
      </c>
      <c r="J125" s="117">
        <v>-6.1</v>
      </c>
      <c r="K125" s="117">
        <v>-16.8</v>
      </c>
      <c r="L125" s="117">
        <v>-16.3</v>
      </c>
      <c r="M125" s="117">
        <v>-14.9</v>
      </c>
      <c r="N125" s="117">
        <v>-25.7</v>
      </c>
      <c r="O125" s="117">
        <v>-22.1</v>
      </c>
      <c r="P125" s="117">
        <v>-24.9</v>
      </c>
      <c r="Q125" s="117">
        <v>-7.1</v>
      </c>
      <c r="R125" s="117">
        <v>16.399999999999999</v>
      </c>
      <c r="S125" s="117">
        <v>9.8000000000000007</v>
      </c>
      <c r="T125" s="117">
        <v>12.2</v>
      </c>
      <c r="U125" s="117">
        <v>7.7</v>
      </c>
      <c r="V125" s="117">
        <v>-7.9</v>
      </c>
      <c r="W125" s="117">
        <v>-12.9</v>
      </c>
      <c r="X125" s="203">
        <v>-36.799999999999997</v>
      </c>
      <c r="Y125" s="117">
        <v>-43.3</v>
      </c>
      <c r="Z125" s="117">
        <v>-42.4</v>
      </c>
      <c r="AA125" s="117">
        <v>-38.700000000000003</v>
      </c>
      <c r="AB125" s="117">
        <v>-30.7</v>
      </c>
      <c r="AC125" s="117">
        <v>-22.8</v>
      </c>
      <c r="AD125" s="117">
        <v>-27.2</v>
      </c>
      <c r="AE125" s="117">
        <v>-2.5</v>
      </c>
      <c r="AF125" s="117">
        <v>14.6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44.7</v>
      </c>
      <c r="C126" s="117">
        <v>44.4</v>
      </c>
      <c r="D126" s="117">
        <v>50.9</v>
      </c>
      <c r="E126" s="117">
        <v>42.3</v>
      </c>
      <c r="F126" s="117">
        <v>51.8</v>
      </c>
      <c r="G126" s="117">
        <v>49.5</v>
      </c>
      <c r="H126" s="117">
        <v>77.099999999999994</v>
      </c>
      <c r="I126" s="117">
        <v>78.900000000000006</v>
      </c>
      <c r="J126" s="117">
        <v>90</v>
      </c>
      <c r="K126" s="117">
        <v>101.8</v>
      </c>
      <c r="L126" s="117">
        <v>97.2</v>
      </c>
      <c r="M126" s="117">
        <v>102.4</v>
      </c>
      <c r="N126" s="117">
        <v>79.400000000000006</v>
      </c>
      <c r="O126" s="117">
        <v>80</v>
      </c>
      <c r="P126" s="117">
        <v>77</v>
      </c>
      <c r="Q126" s="117">
        <v>84.8</v>
      </c>
      <c r="R126" s="117">
        <v>103.3</v>
      </c>
      <c r="S126" s="117">
        <v>95.4</v>
      </c>
      <c r="T126" s="117">
        <v>98.7</v>
      </c>
      <c r="U126" s="117">
        <v>94</v>
      </c>
      <c r="V126" s="117">
        <v>77.7</v>
      </c>
      <c r="W126" s="117">
        <v>81.400000000000006</v>
      </c>
      <c r="X126" s="117">
        <v>86</v>
      </c>
      <c r="Y126" s="117">
        <v>87.4</v>
      </c>
      <c r="Z126" s="117">
        <v>82.5</v>
      </c>
      <c r="AA126" s="117">
        <v>83.6</v>
      </c>
      <c r="AB126" s="117">
        <v>81.8</v>
      </c>
      <c r="AC126" s="117">
        <v>78.8</v>
      </c>
      <c r="AD126" s="117">
        <v>78.900000000000006</v>
      </c>
      <c r="AE126" s="117">
        <v>68.5</v>
      </c>
      <c r="AF126" s="117">
        <v>52</v>
      </c>
      <c r="AG126" s="114"/>
      <c r="AH126" s="47">
        <f t="shared" si="23"/>
        <v>103.3</v>
      </c>
      <c r="AI126" s="48">
        <f t="shared" si="24"/>
        <v>42.3</v>
      </c>
    </row>
    <row r="127" spans="1:35" x14ac:dyDescent="0.25">
      <c r="A127" s="181" t="s">
        <v>264</v>
      </c>
      <c r="B127" s="117">
        <v>1.2</v>
      </c>
      <c r="C127" s="117">
        <v>6.2</v>
      </c>
      <c r="D127" s="117">
        <v>17</v>
      </c>
      <c r="E127" s="117">
        <v>7.4</v>
      </c>
      <c r="F127" s="117">
        <v>9.6999999999999993</v>
      </c>
      <c r="G127" s="117">
        <v>57</v>
      </c>
      <c r="H127" s="117">
        <v>19.5</v>
      </c>
      <c r="I127" s="117">
        <v>13.4</v>
      </c>
      <c r="J127" s="117">
        <v>1</v>
      </c>
      <c r="K127" s="117">
        <v>-4.5</v>
      </c>
      <c r="L127" s="117">
        <v>-1.2</v>
      </c>
      <c r="M127" s="117">
        <v>-5.6</v>
      </c>
      <c r="N127" s="117">
        <v>-12.3</v>
      </c>
      <c r="O127" s="117">
        <v>-15.9</v>
      </c>
      <c r="P127" s="117">
        <v>-20.5</v>
      </c>
      <c r="Q127" s="117">
        <v>-9.1999999999999993</v>
      </c>
      <c r="R127" s="117">
        <v>4.0999999999999996</v>
      </c>
      <c r="S127" s="117">
        <v>-2.6</v>
      </c>
      <c r="T127" s="117">
        <v>-1.3</v>
      </c>
      <c r="U127" s="117">
        <v>11.7</v>
      </c>
      <c r="V127" s="117">
        <v>7.1</v>
      </c>
      <c r="W127" s="117">
        <v>13.3</v>
      </c>
      <c r="X127" s="117">
        <v>3.7</v>
      </c>
      <c r="Y127" s="117">
        <v>4</v>
      </c>
      <c r="Z127" s="117">
        <v>5.8</v>
      </c>
      <c r="AA127" s="117">
        <v>12.5</v>
      </c>
      <c r="AB127" s="117">
        <v>10.199999999999999</v>
      </c>
      <c r="AC127" s="117">
        <v>9.1999999999999993</v>
      </c>
      <c r="AD127" s="117">
        <v>1.6</v>
      </c>
      <c r="AE127" s="117">
        <v>0</v>
      </c>
      <c r="AF127" s="106">
        <v>7.9</v>
      </c>
      <c r="AG127" s="114"/>
      <c r="AH127" s="47">
        <f t="shared" si="23"/>
        <v>57</v>
      </c>
      <c r="AI127" s="48">
        <f t="shared" si="24"/>
        <v>-20.5</v>
      </c>
    </row>
    <row r="128" spans="1:35" x14ac:dyDescent="0.25">
      <c r="A128" s="182" t="s">
        <v>126</v>
      </c>
      <c r="B128" s="106">
        <v>2.8</v>
      </c>
      <c r="C128" s="106">
        <v>2.6</v>
      </c>
      <c r="D128" s="106">
        <v>3.4</v>
      </c>
      <c r="E128" s="106">
        <v>3.1</v>
      </c>
      <c r="F128" s="106">
        <v>0.9</v>
      </c>
      <c r="G128" s="106">
        <v>-1.4</v>
      </c>
      <c r="H128" s="106">
        <v>-8</v>
      </c>
      <c r="I128" s="106">
        <v>-13.7</v>
      </c>
      <c r="J128" s="106">
        <v>-22</v>
      </c>
      <c r="K128" s="106">
        <v>-22.5</v>
      </c>
      <c r="L128" s="106">
        <v>-28</v>
      </c>
      <c r="M128" s="106">
        <v>-30.4</v>
      </c>
      <c r="N128" s="106">
        <v>-15.2</v>
      </c>
      <c r="O128" s="106">
        <v>-19.5</v>
      </c>
      <c r="P128" s="106">
        <v>-18</v>
      </c>
      <c r="Q128" s="106">
        <v>-10.9</v>
      </c>
      <c r="R128" s="106">
        <v>-6.6</v>
      </c>
      <c r="S128" s="106">
        <v>-6.9</v>
      </c>
      <c r="T128" s="106">
        <v>-7.2</v>
      </c>
      <c r="U128" s="106">
        <v>-10.7</v>
      </c>
      <c r="V128" s="106">
        <v>-19.899999999999999</v>
      </c>
      <c r="W128" s="106">
        <v>-35</v>
      </c>
      <c r="X128" s="117">
        <v>-43.7</v>
      </c>
      <c r="Y128" s="106">
        <v>-38.700000000000003</v>
      </c>
      <c r="Z128" s="106">
        <v>-32.299999999999997</v>
      </c>
      <c r="AA128" s="106">
        <v>-30.9</v>
      </c>
      <c r="AB128" s="106">
        <v>-27</v>
      </c>
      <c r="AC128" s="106">
        <v>-22.8</v>
      </c>
      <c r="AD128" s="106">
        <v>-15</v>
      </c>
      <c r="AE128" s="106">
        <v>-4.0999999999999996</v>
      </c>
      <c r="AF128" s="106">
        <v>-0.9</v>
      </c>
      <c r="AG128" s="114"/>
      <c r="AH128" s="47">
        <f t="shared" si="23"/>
        <v>3.4</v>
      </c>
      <c r="AI128" s="48">
        <f t="shared" si="24"/>
        <v>-43.7</v>
      </c>
    </row>
    <row r="129" spans="1:37" x14ac:dyDescent="0.25">
      <c r="A129" s="182" t="s">
        <v>268</v>
      </c>
      <c r="B129" s="106">
        <v>28.7</v>
      </c>
      <c r="C129" s="106">
        <v>27.3</v>
      </c>
      <c r="D129" s="106">
        <v>17.7</v>
      </c>
      <c r="E129" s="106">
        <v>28.8</v>
      </c>
      <c r="F129" s="106">
        <v>20.7</v>
      </c>
      <c r="G129" s="106">
        <v>19.399999999999999</v>
      </c>
      <c r="H129" s="106">
        <v>4.8</v>
      </c>
      <c r="I129" s="106">
        <v>5.9</v>
      </c>
      <c r="J129" s="106">
        <v>6.8</v>
      </c>
      <c r="K129" s="106">
        <v>2.9</v>
      </c>
      <c r="L129" s="106">
        <v>-11.1</v>
      </c>
      <c r="M129" s="106">
        <v>13.1</v>
      </c>
      <c r="N129" s="106">
        <v>4.3</v>
      </c>
      <c r="O129" s="106">
        <v>11</v>
      </c>
      <c r="P129" s="106">
        <v>30.6</v>
      </c>
      <c r="Q129" s="106">
        <v>19.3</v>
      </c>
      <c r="R129" s="106">
        <v>3.2</v>
      </c>
      <c r="S129" s="106">
        <v>7.9</v>
      </c>
      <c r="T129" s="106">
        <v>2.2000000000000002</v>
      </c>
      <c r="U129" s="106">
        <v>2.7</v>
      </c>
      <c r="V129" s="106">
        <v>14.2</v>
      </c>
      <c r="W129" s="106">
        <v>-2.8</v>
      </c>
      <c r="X129" s="204">
        <v>-1</v>
      </c>
      <c r="Y129" s="106">
        <v>-2.5</v>
      </c>
      <c r="Z129" s="106">
        <v>-6.4</v>
      </c>
      <c r="AA129" s="106">
        <v>-6.5</v>
      </c>
      <c r="AB129" s="106">
        <v>-5.6</v>
      </c>
      <c r="AC129" s="106">
        <v>-4.5999999999999996</v>
      </c>
      <c r="AD129" s="106">
        <v>10.3</v>
      </c>
      <c r="AE129" s="106">
        <v>16.7</v>
      </c>
      <c r="AF129" s="106">
        <v>20.8</v>
      </c>
      <c r="AG129" s="114"/>
      <c r="AH129" s="47">
        <f t="shared" si="23"/>
        <v>30.6</v>
      </c>
      <c r="AI129" s="48">
        <f t="shared" si="24"/>
        <v>-11.1</v>
      </c>
    </row>
    <row r="130" spans="1:37" ht="15.75" thickBot="1" x14ac:dyDescent="0.3">
      <c r="A130" s="182" t="s">
        <v>265</v>
      </c>
      <c r="B130" s="106">
        <v>70.599999999999994</v>
      </c>
      <c r="C130" s="106">
        <v>72.099999999999994</v>
      </c>
      <c r="D130" s="106">
        <v>68</v>
      </c>
      <c r="E130" s="106">
        <v>66.2</v>
      </c>
      <c r="F130" s="106">
        <v>67</v>
      </c>
      <c r="G130" s="106">
        <v>64</v>
      </c>
      <c r="H130" s="106">
        <v>73.900000000000006</v>
      </c>
      <c r="I130" s="106">
        <v>85.4</v>
      </c>
      <c r="J130" s="106">
        <v>100.8</v>
      </c>
      <c r="K130" s="106">
        <v>95.1</v>
      </c>
      <c r="L130" s="106">
        <v>109.2</v>
      </c>
      <c r="M130" s="106">
        <v>94.3</v>
      </c>
      <c r="N130" s="106">
        <v>92.2</v>
      </c>
      <c r="O130" s="106">
        <v>93.8</v>
      </c>
      <c r="P130" s="106">
        <v>98</v>
      </c>
      <c r="Q130" s="106">
        <v>91.8</v>
      </c>
      <c r="R130" s="106">
        <v>85.6</v>
      </c>
      <c r="S130" s="106">
        <v>93.4</v>
      </c>
      <c r="T130" s="106">
        <v>85.7</v>
      </c>
      <c r="U130" s="106">
        <v>92.4</v>
      </c>
      <c r="V130" s="106">
        <v>94.3</v>
      </c>
      <c r="W130" s="106">
        <v>86.5</v>
      </c>
      <c r="X130" s="204">
        <v>114.9</v>
      </c>
      <c r="Y130" s="106">
        <v>108.9</v>
      </c>
      <c r="Z130" s="106">
        <v>109.8</v>
      </c>
      <c r="AA130" s="106">
        <v>110.8</v>
      </c>
      <c r="AB130" s="106">
        <v>93.4</v>
      </c>
      <c r="AC130" s="106">
        <v>90.3</v>
      </c>
      <c r="AD130" s="106">
        <v>99.3</v>
      </c>
      <c r="AE130" s="106">
        <v>80.099999999999994</v>
      </c>
      <c r="AF130" s="106">
        <v>75.400000000000006</v>
      </c>
      <c r="AG130" s="114"/>
      <c r="AH130" s="47">
        <f t="shared" si="23"/>
        <v>114.9</v>
      </c>
      <c r="AI130" s="48">
        <f t="shared" si="24"/>
        <v>64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376</v>
      </c>
      <c r="B132" s="151">
        <v>1983.4</v>
      </c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243</v>
      </c>
      <c r="B133" s="155">
        <v>520.84</v>
      </c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244</v>
      </c>
      <c r="B134" s="155">
        <v>623.64</v>
      </c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x14ac:dyDescent="0.25">
      <c r="A135" s="199" t="s">
        <v>245</v>
      </c>
      <c r="B135" s="155">
        <v>335.74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6"/>
      <c r="AG135" s="153"/>
      <c r="AH135" s="47"/>
      <c r="AI135" s="48"/>
    </row>
    <row r="136" spans="1:37" x14ac:dyDescent="0.25">
      <c r="A136" s="199" t="s">
        <v>415</v>
      </c>
      <c r="B136" s="155">
        <v>884.8</v>
      </c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6"/>
      <c r="AG136" s="153"/>
      <c r="AH136" s="47"/>
      <c r="AI136" s="48"/>
    </row>
    <row r="137" spans="1:37" ht="15.75" thickBot="1" x14ac:dyDescent="0.3">
      <c r="A137" s="199" t="s">
        <v>246</v>
      </c>
      <c r="B137" s="158">
        <v>1522.56</v>
      </c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9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61">SUM(B139:B243)</f>
        <v>0</v>
      </c>
      <c r="C244" s="137">
        <f t="shared" si="61"/>
        <v>0</v>
      </c>
      <c r="D244" s="137">
        <f t="shared" si="61"/>
        <v>0</v>
      </c>
      <c r="E244" s="137">
        <f t="shared" si="61"/>
        <v>0</v>
      </c>
      <c r="F244" s="137">
        <f t="shared" si="61"/>
        <v>0</v>
      </c>
      <c r="G244" s="137">
        <f t="shared" si="61"/>
        <v>0</v>
      </c>
      <c r="H244" s="137">
        <f t="shared" si="61"/>
        <v>0</v>
      </c>
      <c r="I244" s="137">
        <f t="shared" si="61"/>
        <v>0</v>
      </c>
      <c r="J244" s="137">
        <f t="shared" si="61"/>
        <v>0</v>
      </c>
      <c r="K244" s="137">
        <f t="shared" si="61"/>
        <v>0</v>
      </c>
      <c r="L244" s="137">
        <f t="shared" si="61"/>
        <v>0</v>
      </c>
      <c r="M244" s="137">
        <f t="shared" si="61"/>
        <v>0</v>
      </c>
      <c r="N244" s="137">
        <f t="shared" si="61"/>
        <v>0</v>
      </c>
      <c r="O244" s="137">
        <f t="shared" si="61"/>
        <v>0</v>
      </c>
      <c r="P244" s="137">
        <f t="shared" si="61"/>
        <v>0</v>
      </c>
      <c r="Q244" s="137">
        <f t="shared" si="61"/>
        <v>0</v>
      </c>
      <c r="R244" s="137">
        <f t="shared" si="61"/>
        <v>0</v>
      </c>
      <c r="S244" s="137">
        <f t="shared" si="61"/>
        <v>0</v>
      </c>
      <c r="T244" s="137">
        <f t="shared" si="61"/>
        <v>0</v>
      </c>
      <c r="U244" s="137">
        <f t="shared" si="61"/>
        <v>0</v>
      </c>
      <c r="V244" s="137">
        <f t="shared" si="61"/>
        <v>0</v>
      </c>
      <c r="W244" s="137">
        <f t="shared" si="61"/>
        <v>0</v>
      </c>
      <c r="X244" s="137">
        <f t="shared" si="61"/>
        <v>0</v>
      </c>
      <c r="Y244" s="137">
        <f t="shared" si="61"/>
        <v>0</v>
      </c>
      <c r="Z244" s="137">
        <f t="shared" si="61"/>
        <v>0</v>
      </c>
      <c r="AA244" s="137">
        <f t="shared" si="61"/>
        <v>0</v>
      </c>
      <c r="AB244" s="137">
        <f t="shared" si="61"/>
        <v>0</v>
      </c>
      <c r="AC244" s="137">
        <f t="shared" si="61"/>
        <v>0</v>
      </c>
      <c r="AD244" s="137">
        <f t="shared" si="61"/>
        <v>0</v>
      </c>
      <c r="AE244" s="137">
        <f t="shared" si="61"/>
        <v>0</v>
      </c>
      <c r="AF244" s="138">
        <f t="shared" si="61"/>
        <v>0</v>
      </c>
      <c r="AG244" s="139">
        <f t="shared" si="61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62">AF246</f>
        <v>0.3</v>
      </c>
      <c r="C246" s="141">
        <v>0.3</v>
      </c>
      <c r="D246" s="141">
        <f t="shared" ref="D246:S251" si="63">C246</f>
        <v>0.3</v>
      </c>
      <c r="E246" s="141">
        <f t="shared" si="63"/>
        <v>0.3</v>
      </c>
      <c r="F246" s="141">
        <f t="shared" si="63"/>
        <v>0.3</v>
      </c>
      <c r="G246" s="141">
        <f t="shared" si="63"/>
        <v>0.3</v>
      </c>
      <c r="H246" s="141">
        <f t="shared" si="63"/>
        <v>0.3</v>
      </c>
      <c r="I246" s="141">
        <f t="shared" si="63"/>
        <v>0.3</v>
      </c>
      <c r="J246" s="141">
        <f t="shared" si="63"/>
        <v>0.3</v>
      </c>
      <c r="K246" s="141">
        <f t="shared" si="63"/>
        <v>0.3</v>
      </c>
      <c r="L246" s="141">
        <f t="shared" si="63"/>
        <v>0.3</v>
      </c>
      <c r="M246" s="141">
        <f t="shared" si="63"/>
        <v>0.3</v>
      </c>
      <c r="N246" s="141">
        <f t="shared" si="63"/>
        <v>0.3</v>
      </c>
      <c r="O246" s="141">
        <f t="shared" si="63"/>
        <v>0.3</v>
      </c>
      <c r="P246" s="141">
        <f t="shared" si="63"/>
        <v>0.3</v>
      </c>
      <c r="Q246" s="141">
        <f t="shared" si="63"/>
        <v>0.3</v>
      </c>
      <c r="R246" s="141">
        <f t="shared" si="63"/>
        <v>0.3</v>
      </c>
      <c r="S246" s="141">
        <f t="shared" si="63"/>
        <v>0.3</v>
      </c>
      <c r="T246" s="141">
        <f t="shared" ref="T246:AF251" si="64">S246</f>
        <v>0.3</v>
      </c>
      <c r="U246" s="141">
        <f t="shared" si="64"/>
        <v>0.3</v>
      </c>
      <c r="V246" s="141">
        <f t="shared" si="64"/>
        <v>0.3</v>
      </c>
      <c r="W246" s="141">
        <f t="shared" si="64"/>
        <v>0.3</v>
      </c>
      <c r="X246" s="141">
        <f t="shared" si="64"/>
        <v>0.3</v>
      </c>
      <c r="Y246" s="141">
        <f t="shared" si="64"/>
        <v>0.3</v>
      </c>
      <c r="Z246" s="141">
        <f t="shared" si="64"/>
        <v>0.3</v>
      </c>
      <c r="AA246" s="141">
        <f t="shared" si="64"/>
        <v>0.3</v>
      </c>
      <c r="AB246" s="141">
        <f t="shared" si="64"/>
        <v>0.3</v>
      </c>
      <c r="AC246" s="141">
        <f t="shared" si="64"/>
        <v>0.3</v>
      </c>
      <c r="AD246" s="141">
        <f t="shared" si="64"/>
        <v>0.3</v>
      </c>
      <c r="AE246" s="141">
        <f t="shared" si="64"/>
        <v>0.3</v>
      </c>
      <c r="AF246" s="141">
        <f t="shared" si="64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62"/>
        <v>0.4</v>
      </c>
      <c r="C247" s="129">
        <v>0.4</v>
      </c>
      <c r="D247" s="129">
        <f t="shared" si="63"/>
        <v>0.4</v>
      </c>
      <c r="E247" s="129">
        <f t="shared" si="63"/>
        <v>0.4</v>
      </c>
      <c r="F247" s="129">
        <f t="shared" si="63"/>
        <v>0.4</v>
      </c>
      <c r="G247" s="129">
        <f t="shared" si="63"/>
        <v>0.4</v>
      </c>
      <c r="H247" s="129">
        <f t="shared" si="63"/>
        <v>0.4</v>
      </c>
      <c r="I247" s="129">
        <f t="shared" si="63"/>
        <v>0.4</v>
      </c>
      <c r="J247" s="129">
        <f t="shared" si="63"/>
        <v>0.4</v>
      </c>
      <c r="K247" s="129">
        <f t="shared" si="63"/>
        <v>0.4</v>
      </c>
      <c r="L247" s="129">
        <f t="shared" si="63"/>
        <v>0.4</v>
      </c>
      <c r="M247" s="129">
        <f t="shared" si="63"/>
        <v>0.4</v>
      </c>
      <c r="N247" s="129">
        <f t="shared" si="63"/>
        <v>0.4</v>
      </c>
      <c r="O247" s="129">
        <f t="shared" si="63"/>
        <v>0.4</v>
      </c>
      <c r="P247" s="129">
        <f t="shared" si="63"/>
        <v>0.4</v>
      </c>
      <c r="Q247" s="129">
        <f t="shared" si="63"/>
        <v>0.4</v>
      </c>
      <c r="R247" s="129">
        <f t="shared" si="63"/>
        <v>0.4</v>
      </c>
      <c r="S247" s="129">
        <f t="shared" si="63"/>
        <v>0.4</v>
      </c>
      <c r="T247" s="129">
        <f t="shared" si="64"/>
        <v>0.4</v>
      </c>
      <c r="U247" s="129">
        <f t="shared" si="64"/>
        <v>0.4</v>
      </c>
      <c r="V247" s="129">
        <f t="shared" si="64"/>
        <v>0.4</v>
      </c>
      <c r="W247" s="129">
        <f t="shared" si="64"/>
        <v>0.4</v>
      </c>
      <c r="X247" s="129">
        <f t="shared" si="64"/>
        <v>0.4</v>
      </c>
      <c r="Y247" s="129">
        <f t="shared" si="64"/>
        <v>0.4</v>
      </c>
      <c r="Z247" s="129">
        <f t="shared" si="64"/>
        <v>0.4</v>
      </c>
      <c r="AA247" s="129">
        <f t="shared" si="64"/>
        <v>0.4</v>
      </c>
      <c r="AB247" s="129">
        <f t="shared" si="64"/>
        <v>0.4</v>
      </c>
      <c r="AC247" s="129">
        <f t="shared" si="64"/>
        <v>0.4</v>
      </c>
      <c r="AD247" s="129">
        <f t="shared" si="64"/>
        <v>0.4</v>
      </c>
      <c r="AE247" s="129">
        <f t="shared" si="64"/>
        <v>0.4</v>
      </c>
      <c r="AF247" s="129">
        <f t="shared" si="64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62"/>
        <v>1.5</v>
      </c>
      <c r="C248" s="129">
        <v>1.5</v>
      </c>
      <c r="D248" s="129">
        <f t="shared" si="63"/>
        <v>1.5</v>
      </c>
      <c r="E248" s="129">
        <f t="shared" si="63"/>
        <v>1.5</v>
      </c>
      <c r="F248" s="129">
        <f t="shared" si="63"/>
        <v>1.5</v>
      </c>
      <c r="G248" s="129">
        <f t="shared" si="63"/>
        <v>1.5</v>
      </c>
      <c r="H248" s="129">
        <f t="shared" si="63"/>
        <v>1.5</v>
      </c>
      <c r="I248" s="129">
        <f t="shared" si="63"/>
        <v>1.5</v>
      </c>
      <c r="J248" s="129">
        <f t="shared" si="63"/>
        <v>1.5</v>
      </c>
      <c r="K248" s="129">
        <f t="shared" si="63"/>
        <v>1.5</v>
      </c>
      <c r="L248" s="129">
        <f t="shared" si="63"/>
        <v>1.5</v>
      </c>
      <c r="M248" s="129">
        <f t="shared" si="63"/>
        <v>1.5</v>
      </c>
      <c r="N248" s="129">
        <f t="shared" si="63"/>
        <v>1.5</v>
      </c>
      <c r="O248" s="129">
        <f t="shared" si="63"/>
        <v>1.5</v>
      </c>
      <c r="P248" s="129">
        <f t="shared" si="63"/>
        <v>1.5</v>
      </c>
      <c r="Q248" s="129">
        <f t="shared" si="63"/>
        <v>1.5</v>
      </c>
      <c r="R248" s="129">
        <f t="shared" si="63"/>
        <v>1.5</v>
      </c>
      <c r="S248" s="129">
        <f t="shared" si="63"/>
        <v>1.5</v>
      </c>
      <c r="T248" s="129">
        <f t="shared" si="64"/>
        <v>1.5</v>
      </c>
      <c r="U248" s="129">
        <f t="shared" si="64"/>
        <v>1.5</v>
      </c>
      <c r="V248" s="129">
        <f t="shared" si="64"/>
        <v>1.5</v>
      </c>
      <c r="W248" s="129">
        <f t="shared" si="64"/>
        <v>1.5</v>
      </c>
      <c r="X248" s="129">
        <f t="shared" si="64"/>
        <v>1.5</v>
      </c>
      <c r="Y248" s="129">
        <f t="shared" si="64"/>
        <v>1.5</v>
      </c>
      <c r="Z248" s="129">
        <f t="shared" si="64"/>
        <v>1.5</v>
      </c>
      <c r="AA248" s="129">
        <f t="shared" si="64"/>
        <v>1.5</v>
      </c>
      <c r="AB248" s="129">
        <f t="shared" si="64"/>
        <v>1.5</v>
      </c>
      <c r="AC248" s="129">
        <f t="shared" si="64"/>
        <v>1.5</v>
      </c>
      <c r="AD248" s="129">
        <f t="shared" si="64"/>
        <v>1.5</v>
      </c>
      <c r="AE248" s="129">
        <f t="shared" si="64"/>
        <v>1.5</v>
      </c>
      <c r="AF248" s="129">
        <f t="shared" si="64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62"/>
        <v>0.3</v>
      </c>
      <c r="C249" s="129">
        <v>0.3</v>
      </c>
      <c r="D249" s="129">
        <f t="shared" si="63"/>
        <v>0.3</v>
      </c>
      <c r="E249" s="129">
        <f t="shared" si="63"/>
        <v>0.3</v>
      </c>
      <c r="F249" s="129">
        <f t="shared" si="63"/>
        <v>0.3</v>
      </c>
      <c r="G249" s="129">
        <f t="shared" si="63"/>
        <v>0.3</v>
      </c>
      <c r="H249" s="129">
        <f t="shared" si="63"/>
        <v>0.3</v>
      </c>
      <c r="I249" s="129">
        <f t="shared" si="63"/>
        <v>0.3</v>
      </c>
      <c r="J249" s="129">
        <f t="shared" si="63"/>
        <v>0.3</v>
      </c>
      <c r="K249" s="129">
        <f t="shared" si="63"/>
        <v>0.3</v>
      </c>
      <c r="L249" s="129">
        <f t="shared" si="63"/>
        <v>0.3</v>
      </c>
      <c r="M249" s="129">
        <f t="shared" si="63"/>
        <v>0.3</v>
      </c>
      <c r="N249" s="129">
        <f t="shared" si="63"/>
        <v>0.3</v>
      </c>
      <c r="O249" s="129">
        <f t="shared" si="63"/>
        <v>0.3</v>
      </c>
      <c r="P249" s="129">
        <f t="shared" si="63"/>
        <v>0.3</v>
      </c>
      <c r="Q249" s="129">
        <f t="shared" si="63"/>
        <v>0.3</v>
      </c>
      <c r="R249" s="129">
        <f t="shared" si="63"/>
        <v>0.3</v>
      </c>
      <c r="S249" s="129">
        <f t="shared" si="63"/>
        <v>0.3</v>
      </c>
      <c r="T249" s="129">
        <f t="shared" si="64"/>
        <v>0.3</v>
      </c>
      <c r="U249" s="129">
        <f t="shared" si="64"/>
        <v>0.3</v>
      </c>
      <c r="V249" s="129">
        <f t="shared" si="64"/>
        <v>0.3</v>
      </c>
      <c r="W249" s="129">
        <f t="shared" si="64"/>
        <v>0.3</v>
      </c>
      <c r="X249" s="129">
        <f t="shared" si="64"/>
        <v>0.3</v>
      </c>
      <c r="Y249" s="129">
        <f t="shared" si="64"/>
        <v>0.3</v>
      </c>
      <c r="Z249" s="129">
        <f t="shared" si="64"/>
        <v>0.3</v>
      </c>
      <c r="AA249" s="129">
        <f t="shared" si="64"/>
        <v>0.3</v>
      </c>
      <c r="AB249" s="129">
        <f t="shared" si="64"/>
        <v>0.3</v>
      </c>
      <c r="AC249" s="129">
        <f t="shared" si="64"/>
        <v>0.3</v>
      </c>
      <c r="AD249" s="129">
        <f t="shared" si="64"/>
        <v>0.3</v>
      </c>
      <c r="AE249" s="129">
        <f t="shared" si="64"/>
        <v>0.3</v>
      </c>
      <c r="AF249" s="129">
        <f t="shared" si="64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62"/>
        <v>0.4</v>
      </c>
      <c r="C250" s="129">
        <v>0.4</v>
      </c>
      <c r="D250" s="129">
        <f t="shared" si="63"/>
        <v>0.4</v>
      </c>
      <c r="E250" s="129">
        <f t="shared" si="63"/>
        <v>0.4</v>
      </c>
      <c r="F250" s="129">
        <f t="shared" si="63"/>
        <v>0.4</v>
      </c>
      <c r="G250" s="129">
        <f t="shared" si="63"/>
        <v>0.4</v>
      </c>
      <c r="H250" s="129">
        <f t="shared" si="63"/>
        <v>0.4</v>
      </c>
      <c r="I250" s="129">
        <f t="shared" si="63"/>
        <v>0.4</v>
      </c>
      <c r="J250" s="129">
        <f t="shared" si="63"/>
        <v>0.4</v>
      </c>
      <c r="K250" s="129">
        <f t="shared" si="63"/>
        <v>0.4</v>
      </c>
      <c r="L250" s="129">
        <f t="shared" si="63"/>
        <v>0.4</v>
      </c>
      <c r="M250" s="129">
        <f t="shared" si="63"/>
        <v>0.4</v>
      </c>
      <c r="N250" s="129">
        <f t="shared" si="63"/>
        <v>0.4</v>
      </c>
      <c r="O250" s="129">
        <f t="shared" si="63"/>
        <v>0.4</v>
      </c>
      <c r="P250" s="129">
        <f t="shared" si="63"/>
        <v>0.4</v>
      </c>
      <c r="Q250" s="129">
        <f t="shared" si="63"/>
        <v>0.4</v>
      </c>
      <c r="R250" s="129">
        <f t="shared" si="63"/>
        <v>0.4</v>
      </c>
      <c r="S250" s="129">
        <f t="shared" si="63"/>
        <v>0.4</v>
      </c>
      <c r="T250" s="129">
        <f t="shared" si="64"/>
        <v>0.4</v>
      </c>
      <c r="U250" s="129">
        <f t="shared" si="64"/>
        <v>0.4</v>
      </c>
      <c r="V250" s="129">
        <f t="shared" si="64"/>
        <v>0.4</v>
      </c>
      <c r="W250" s="129">
        <f t="shared" si="64"/>
        <v>0.4</v>
      </c>
      <c r="X250" s="129">
        <f t="shared" si="64"/>
        <v>0.4</v>
      </c>
      <c r="Y250" s="129">
        <f t="shared" si="64"/>
        <v>0.4</v>
      </c>
      <c r="Z250" s="129">
        <f t="shared" si="64"/>
        <v>0.4</v>
      </c>
      <c r="AA250" s="129">
        <f t="shared" si="64"/>
        <v>0.4</v>
      </c>
      <c r="AB250" s="129">
        <f t="shared" si="64"/>
        <v>0.4</v>
      </c>
      <c r="AC250" s="129">
        <f t="shared" si="64"/>
        <v>0.4</v>
      </c>
      <c r="AD250" s="129">
        <f t="shared" si="64"/>
        <v>0.4</v>
      </c>
      <c r="AE250" s="129">
        <f t="shared" si="64"/>
        <v>0.4</v>
      </c>
      <c r="AF250" s="129">
        <f t="shared" si="64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62"/>
        <v>0.64</v>
      </c>
      <c r="C251" s="133">
        <v>0.64</v>
      </c>
      <c r="D251" s="133">
        <f t="shared" si="63"/>
        <v>0.64</v>
      </c>
      <c r="E251" s="133">
        <f t="shared" si="63"/>
        <v>0.64</v>
      </c>
      <c r="F251" s="133">
        <f t="shared" si="63"/>
        <v>0.64</v>
      </c>
      <c r="G251" s="133">
        <f t="shared" si="63"/>
        <v>0.64</v>
      </c>
      <c r="H251" s="133">
        <f t="shared" si="63"/>
        <v>0.64</v>
      </c>
      <c r="I251" s="133">
        <f t="shared" si="63"/>
        <v>0.64</v>
      </c>
      <c r="J251" s="133">
        <f t="shared" si="63"/>
        <v>0.64</v>
      </c>
      <c r="K251" s="133">
        <f t="shared" si="63"/>
        <v>0.64</v>
      </c>
      <c r="L251" s="133">
        <f t="shared" si="63"/>
        <v>0.64</v>
      </c>
      <c r="M251" s="133">
        <f t="shared" si="63"/>
        <v>0.64</v>
      </c>
      <c r="N251" s="133">
        <f t="shared" si="63"/>
        <v>0.64</v>
      </c>
      <c r="O251" s="133">
        <f t="shared" si="63"/>
        <v>0.64</v>
      </c>
      <c r="P251" s="133">
        <f t="shared" si="63"/>
        <v>0.64</v>
      </c>
      <c r="Q251" s="133">
        <f t="shared" si="63"/>
        <v>0.64</v>
      </c>
      <c r="R251" s="133">
        <f t="shared" si="63"/>
        <v>0.64</v>
      </c>
      <c r="S251" s="133">
        <f t="shared" si="63"/>
        <v>0.64</v>
      </c>
      <c r="T251" s="133">
        <f t="shared" si="64"/>
        <v>0.64</v>
      </c>
      <c r="U251" s="133">
        <f t="shared" si="64"/>
        <v>0.64</v>
      </c>
      <c r="V251" s="133">
        <f t="shared" si="64"/>
        <v>0.64</v>
      </c>
      <c r="W251" s="133">
        <f t="shared" si="64"/>
        <v>0.64</v>
      </c>
      <c r="X251" s="133">
        <f t="shared" si="64"/>
        <v>0.64</v>
      </c>
      <c r="Y251" s="133">
        <f t="shared" si="64"/>
        <v>0.64</v>
      </c>
      <c r="Z251" s="133">
        <f t="shared" si="64"/>
        <v>0.64</v>
      </c>
      <c r="AA251" s="133">
        <f t="shared" si="64"/>
        <v>0.64</v>
      </c>
      <c r="AB251" s="133">
        <f t="shared" si="64"/>
        <v>0.64</v>
      </c>
      <c r="AC251" s="133">
        <f t="shared" si="64"/>
        <v>0.64</v>
      </c>
      <c r="AD251" s="133">
        <f t="shared" si="64"/>
        <v>0.64</v>
      </c>
      <c r="AE251" s="133">
        <f t="shared" si="64"/>
        <v>0.64</v>
      </c>
      <c r="AF251" s="133">
        <f t="shared" si="64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65">SUM(B246:B251)</f>
        <v>3.54</v>
      </c>
      <c r="C252" s="137">
        <f t="shared" si="65"/>
        <v>3.54</v>
      </c>
      <c r="D252" s="137">
        <f t="shared" si="65"/>
        <v>3.54</v>
      </c>
      <c r="E252" s="137">
        <f t="shared" si="65"/>
        <v>3.54</v>
      </c>
      <c r="F252" s="137">
        <f t="shared" si="65"/>
        <v>3.54</v>
      </c>
      <c r="G252" s="137">
        <f t="shared" si="65"/>
        <v>3.54</v>
      </c>
      <c r="H252" s="137">
        <f t="shared" si="65"/>
        <v>3.54</v>
      </c>
      <c r="I252" s="137">
        <f t="shared" si="65"/>
        <v>3.54</v>
      </c>
      <c r="J252" s="137">
        <f t="shared" si="65"/>
        <v>3.54</v>
      </c>
      <c r="K252" s="137">
        <f t="shared" si="65"/>
        <v>3.54</v>
      </c>
      <c r="L252" s="137">
        <f t="shared" si="65"/>
        <v>3.54</v>
      </c>
      <c r="M252" s="137">
        <f t="shared" si="65"/>
        <v>3.54</v>
      </c>
      <c r="N252" s="137">
        <f t="shared" si="65"/>
        <v>3.54</v>
      </c>
      <c r="O252" s="137">
        <f t="shared" si="65"/>
        <v>3.54</v>
      </c>
      <c r="P252" s="137">
        <f t="shared" si="65"/>
        <v>3.54</v>
      </c>
      <c r="Q252" s="137">
        <f t="shared" si="65"/>
        <v>3.54</v>
      </c>
      <c r="R252" s="137">
        <f t="shared" si="65"/>
        <v>3.54</v>
      </c>
      <c r="S252" s="137">
        <f t="shared" si="65"/>
        <v>3.54</v>
      </c>
      <c r="T252" s="137">
        <f t="shared" si="65"/>
        <v>3.54</v>
      </c>
      <c r="U252" s="137">
        <f t="shared" si="65"/>
        <v>3.54</v>
      </c>
      <c r="V252" s="137">
        <f t="shared" si="65"/>
        <v>3.54</v>
      </c>
      <c r="W252" s="137">
        <f t="shared" si="65"/>
        <v>3.54</v>
      </c>
      <c r="X252" s="137">
        <f t="shared" si="65"/>
        <v>3.54</v>
      </c>
      <c r="Y252" s="137">
        <f t="shared" si="65"/>
        <v>3.54</v>
      </c>
      <c r="Z252" s="137">
        <f t="shared" si="65"/>
        <v>3.54</v>
      </c>
      <c r="AA252" s="137">
        <f t="shared" si="65"/>
        <v>3.54</v>
      </c>
      <c r="AB252" s="137">
        <f t="shared" si="65"/>
        <v>3.54</v>
      </c>
      <c r="AC252" s="137">
        <f t="shared" si="65"/>
        <v>3.54</v>
      </c>
      <c r="AD252" s="137">
        <f t="shared" si="65"/>
        <v>3.54</v>
      </c>
      <c r="AE252" s="137">
        <f t="shared" si="65"/>
        <v>3.54</v>
      </c>
      <c r="AF252" s="137">
        <f t="shared" si="65"/>
        <v>3.54</v>
      </c>
      <c r="AG252" s="146">
        <f t="shared" si="65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1725.54</v>
      </c>
      <c r="C256" s="162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24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str">
        <f ca="1">"Pie Chart of Daily Peak Demand(Inclusive of Export) of Nepal ("&amp;A4&amp;" "&amp;B4&amp;")"</f>
        <v>Pie Chart of Daily Peak Demand(Inclusive of Export) of Nepal (Nepali Date: 2080/09/24)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str">
        <f ca="1">"Daily Load Curve(Excluding of Export) of Nepal ("&amp;A4&amp;" "&amp;B4&amp;")"</f>
        <v>Daily Load Curve(Excluding of Export) of Nepal (Nepali Date: 2080/09/24)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66">B99</f>
        <v>1006.7400000000001</v>
      </c>
      <c r="U261" s="171">
        <f t="shared" si="66"/>
        <v>994.04000000000008</v>
      </c>
      <c r="V261" s="171">
        <f t="shared" si="66"/>
        <v>998.44</v>
      </c>
      <c r="W261" s="171">
        <f t="shared" si="66"/>
        <v>971.74</v>
      </c>
      <c r="X261" s="171">
        <f t="shared" si="66"/>
        <v>993.33999999999992</v>
      </c>
      <c r="Y261" s="171">
        <f t="shared" si="66"/>
        <v>1008.2400000000001</v>
      </c>
      <c r="Z261" s="171">
        <f t="shared" si="66"/>
        <v>1148.2400000000002</v>
      </c>
      <c r="AA261" s="171">
        <f t="shared" si="66"/>
        <v>1237.3400000000001</v>
      </c>
      <c r="AB261" s="171">
        <f t="shared" si="66"/>
        <v>1430.14</v>
      </c>
      <c r="AC261" s="171">
        <f t="shared" si="66"/>
        <v>1541.5700000000002</v>
      </c>
      <c r="AD261" s="171">
        <f t="shared" si="66"/>
        <v>1725.54</v>
      </c>
      <c r="AE261" s="171">
        <f t="shared" si="66"/>
        <v>1719.54</v>
      </c>
      <c r="AF261" s="171">
        <f t="shared" si="66"/>
        <v>1588.0400000000002</v>
      </c>
      <c r="AG261" s="171">
        <f t="shared" si="66"/>
        <v>1602.64</v>
      </c>
      <c r="AH261" s="171">
        <f t="shared" si="66"/>
        <v>1473.5400000000002</v>
      </c>
      <c r="AI261" s="171">
        <f t="shared" si="66"/>
        <v>1433.54</v>
      </c>
      <c r="AJ261" s="171">
        <f t="shared" si="66"/>
        <v>1382.44</v>
      </c>
      <c r="AK261" s="171">
        <f t="shared" si="66"/>
        <v>1336.3400000000001</v>
      </c>
      <c r="AL261" s="171">
        <f t="shared" si="66"/>
        <v>1349.24</v>
      </c>
      <c r="AM261" s="171">
        <f t="shared" si="66"/>
        <v>1380.54</v>
      </c>
      <c r="AN261" s="171">
        <f t="shared" si="66"/>
        <v>1416.34</v>
      </c>
      <c r="AO261" s="171">
        <f t="shared" si="66"/>
        <v>1489.9399999999998</v>
      </c>
      <c r="AP261" s="171">
        <f t="shared" si="66"/>
        <v>1716.2400000000002</v>
      </c>
      <c r="AQ261" s="171">
        <f t="shared" si="66"/>
        <v>1724.7400000000002</v>
      </c>
      <c r="AR261" s="171">
        <f t="shared" si="66"/>
        <v>1693.1399999999999</v>
      </c>
      <c r="AS261" s="171">
        <f t="shared" si="66"/>
        <v>1658.14</v>
      </c>
      <c r="AT261" s="171">
        <f t="shared" si="66"/>
        <v>1498.7400000000002</v>
      </c>
      <c r="AU261" s="171">
        <f t="shared" si="66"/>
        <v>1474.36</v>
      </c>
      <c r="AV261" s="171">
        <f t="shared" si="66"/>
        <v>1407.4400000000003</v>
      </c>
      <c r="AW261" s="171">
        <f t="shared" si="66"/>
        <v>1184.44</v>
      </c>
      <c r="AX261" s="171">
        <f t="shared" si="66"/>
        <v>1056.6400000000001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67">C251</f>
        <v>0.64</v>
      </c>
      <c r="C282" s="174">
        <f t="shared" si="67"/>
        <v>0.64</v>
      </c>
      <c r="D282" s="174">
        <f t="shared" si="67"/>
        <v>0.64</v>
      </c>
      <c r="E282" s="174">
        <f t="shared" si="67"/>
        <v>0.64</v>
      </c>
      <c r="F282" s="174">
        <f t="shared" si="67"/>
        <v>0.64</v>
      </c>
      <c r="G282" s="174">
        <f t="shared" si="67"/>
        <v>0.64</v>
      </c>
      <c r="H282" s="174">
        <f t="shared" si="67"/>
        <v>0.64</v>
      </c>
      <c r="I282" s="174">
        <f t="shared" si="67"/>
        <v>0.64</v>
      </c>
      <c r="J282" s="174">
        <f t="shared" si="67"/>
        <v>0.64</v>
      </c>
      <c r="K282" s="174">
        <f t="shared" si="67"/>
        <v>0.64</v>
      </c>
      <c r="L282" s="174">
        <f t="shared" si="67"/>
        <v>0.64</v>
      </c>
      <c r="M282" s="174">
        <f t="shared" si="67"/>
        <v>0.64</v>
      </c>
      <c r="N282" s="174">
        <f t="shared" si="67"/>
        <v>0.64</v>
      </c>
      <c r="O282" s="174">
        <f t="shared" si="67"/>
        <v>0.64</v>
      </c>
      <c r="P282" s="174">
        <f t="shared" si="67"/>
        <v>0.64</v>
      </c>
      <c r="Q282" s="174">
        <f t="shared" si="67"/>
        <v>0.64</v>
      </c>
      <c r="R282" s="174">
        <f t="shared" si="67"/>
        <v>0.64</v>
      </c>
      <c r="S282" s="174">
        <f t="shared" si="67"/>
        <v>0.64</v>
      </c>
      <c r="T282" s="174">
        <f t="shared" si="67"/>
        <v>0.64</v>
      </c>
      <c r="U282" s="174">
        <f t="shared" si="67"/>
        <v>0.64</v>
      </c>
      <c r="V282" s="174">
        <f t="shared" si="67"/>
        <v>0.64</v>
      </c>
      <c r="W282" s="174">
        <f t="shared" si="67"/>
        <v>0.64</v>
      </c>
      <c r="X282" s="174">
        <f t="shared" si="67"/>
        <v>0.64</v>
      </c>
      <c r="Y282" s="174">
        <f t="shared" si="67"/>
        <v>0.64</v>
      </c>
      <c r="Z282" s="174">
        <f t="shared" si="67"/>
        <v>0.64</v>
      </c>
      <c r="AA282" s="174">
        <f t="shared" si="67"/>
        <v>0.64</v>
      </c>
      <c r="AB282" s="174">
        <f t="shared" si="67"/>
        <v>0.64</v>
      </c>
      <c r="AC282" s="174">
        <f t="shared" si="67"/>
        <v>0.64</v>
      </c>
      <c r="AD282" s="174">
        <f t="shared" si="67"/>
        <v>0.64</v>
      </c>
      <c r="AE282" s="174">
        <f t="shared" si="67"/>
        <v>0.64</v>
      </c>
      <c r="AF282" s="174">
        <f>B251</f>
        <v>0.64</v>
      </c>
      <c r="AG282" s="43"/>
      <c r="AH282" s="43"/>
    </row>
    <row r="283" spans="1:34" x14ac:dyDescent="0.25">
      <c r="A283" s="175" t="e">
        <f>#REF!</f>
        <v>#REF!</v>
      </c>
      <c r="B283" s="175" t="e">
        <f>IF(#REF!&lt;100,"",#REF!-520)</f>
        <v>#REF!</v>
      </c>
      <c r="C283" s="175" t="e">
        <f>IF(#REF!&lt;100,"",#REF!-520)</f>
        <v>#REF!</v>
      </c>
      <c r="D283" s="175" t="e">
        <f>IF(#REF!&lt;100,"",#REF!-520)</f>
        <v>#REF!</v>
      </c>
      <c r="E283" s="175" t="e">
        <f>IF(#REF!&lt;100,"",#REF!-520)</f>
        <v>#REF!</v>
      </c>
      <c r="F283" s="175" t="e">
        <f>IF(#REF!&lt;100,"",#REF!-520)</f>
        <v>#REF!</v>
      </c>
      <c r="G283" s="175" t="e">
        <f>IF(#REF!&lt;100,"",#REF!-520)</f>
        <v>#REF!</v>
      </c>
      <c r="H283" s="175" t="e">
        <f>IF(#REF!&lt;100,"",#REF!-520)</f>
        <v>#REF!</v>
      </c>
      <c r="I283" s="175" t="e">
        <f>IF(#REF!&lt;100,"",#REF!-520)</f>
        <v>#REF!</v>
      </c>
      <c r="J283" s="175" t="e">
        <f>IF(#REF!&lt;100,"",#REF!-520)</f>
        <v>#REF!</v>
      </c>
      <c r="K283" s="175" t="e">
        <f>IF(#REF!&lt;100,"",#REF!-520)</f>
        <v>#REF!</v>
      </c>
      <c r="L283" s="175" t="e">
        <f>IF(#REF!&lt;100,"",#REF!-520)</f>
        <v>#REF!</v>
      </c>
      <c r="M283" s="175" t="e">
        <f>IF(#REF!&lt;100,"",#REF!-520)</f>
        <v>#REF!</v>
      </c>
      <c r="N283" s="175" t="e">
        <f>IF(#REF!&lt;100,"",#REF!-520)</f>
        <v>#REF!</v>
      </c>
      <c r="O283" s="175" t="e">
        <f>IF(#REF!&lt;100,"",#REF!-520)</f>
        <v>#REF!</v>
      </c>
      <c r="P283" s="175" t="e">
        <f>IF(#REF!&lt;100,"",#REF!-520)</f>
        <v>#REF!</v>
      </c>
      <c r="Q283" s="175" t="e">
        <f>IF(#REF!&lt;100,"",#REF!-520)</f>
        <v>#REF!</v>
      </c>
      <c r="R283" s="175" t="e">
        <f>IF(#REF!&lt;100,"",#REF!-520)</f>
        <v>#REF!</v>
      </c>
      <c r="S283" s="175" t="e">
        <f>IF(#REF!&lt;100,"",#REF!-520)</f>
        <v>#REF!</v>
      </c>
      <c r="T283" s="175" t="e">
        <f>IF(#REF!&lt;100,"",#REF!-520)</f>
        <v>#REF!</v>
      </c>
      <c r="U283" s="175" t="e">
        <f>IF(#REF!&lt;100,"",#REF!-520)</f>
        <v>#REF!</v>
      </c>
      <c r="V283" s="175" t="e">
        <f>IF(#REF!&lt;100,"",#REF!-520)</f>
        <v>#REF!</v>
      </c>
      <c r="W283" s="175" t="e">
        <f>IF(#REF!&lt;100,"",#REF!-520)</f>
        <v>#REF!</v>
      </c>
      <c r="X283" s="175" t="e">
        <f>IF(#REF!&lt;100,"",#REF!-520)</f>
        <v>#REF!</v>
      </c>
      <c r="Y283" s="175" t="e">
        <f>IF(#REF!&lt;100,"",#REF!-520)</f>
        <v>#REF!</v>
      </c>
      <c r="Z283" s="175" t="e">
        <f>IF(#REF!&lt;100,"",#REF!-520)</f>
        <v>#REF!</v>
      </c>
      <c r="AA283" s="175" t="e">
        <f>IF(#REF!&lt;100,"",#REF!-520)</f>
        <v>#REF!</v>
      </c>
      <c r="AB283" s="175" t="e">
        <f>IF(#REF!&lt;100,"",#REF!-520)</f>
        <v>#REF!</v>
      </c>
      <c r="AC283" s="175" t="e">
        <f>IF(#REF!&lt;100,"",#REF!-520)</f>
        <v>#REF!</v>
      </c>
      <c r="AD283" s="175" t="e">
        <f>IF(#REF!&lt;100,"",#REF!-520)</f>
        <v>#REF!</v>
      </c>
      <c r="AE283" s="175" t="e">
        <f>IF(#REF!&lt;100,"",#REF!-520)</f>
        <v>#REF!</v>
      </c>
      <c r="AF283" s="175" t="e">
        <f>IF(#REF!&lt;100,"",#REF!-520)</f>
        <v>#REF!</v>
      </c>
      <c r="AG283" s="43"/>
      <c r="AH283" s="43"/>
    </row>
    <row r="284" spans="1:34" x14ac:dyDescent="0.25">
      <c r="A284" s="175" t="e">
        <f>#REF!</f>
        <v>#REF!</v>
      </c>
      <c r="B284" s="175" t="e">
        <f>IF(#REF!&lt;100,"",#REF!-620)</f>
        <v>#REF!</v>
      </c>
      <c r="C284" s="175" t="e">
        <f>IF(#REF!&lt;100,"",#REF!-620)</f>
        <v>#REF!</v>
      </c>
      <c r="D284" s="175" t="e">
        <f>IF(#REF!&lt;100,"",#REF!-620)</f>
        <v>#REF!</v>
      </c>
      <c r="E284" s="175" t="e">
        <f>IF(#REF!&lt;100,"",#REF!-620)</f>
        <v>#REF!</v>
      </c>
      <c r="F284" s="175" t="e">
        <f>IF(#REF!&lt;100,"",#REF!-620)</f>
        <v>#REF!</v>
      </c>
      <c r="G284" s="175" t="e">
        <f>IF(#REF!&lt;100,"",#REF!-620)</f>
        <v>#REF!</v>
      </c>
      <c r="H284" s="175" t="e">
        <f>IF(#REF!&lt;100,"",#REF!-620)</f>
        <v>#REF!</v>
      </c>
      <c r="I284" s="175" t="e">
        <f>IF(#REF!&lt;100,"",#REF!-620)</f>
        <v>#REF!</v>
      </c>
      <c r="J284" s="175" t="e">
        <f>IF(#REF!&lt;100,"",#REF!-620)</f>
        <v>#REF!</v>
      </c>
      <c r="K284" s="175" t="e">
        <f>IF(#REF!&lt;100,"",#REF!-620)</f>
        <v>#REF!</v>
      </c>
      <c r="L284" s="175" t="e">
        <f>IF(#REF!&lt;100,"",#REF!-620)</f>
        <v>#REF!</v>
      </c>
      <c r="M284" s="175" t="e">
        <f>IF(#REF!&lt;100,"",#REF!-620)</f>
        <v>#REF!</v>
      </c>
      <c r="N284" s="175" t="e">
        <f>IF(#REF!&lt;100,"",#REF!-620)</f>
        <v>#REF!</v>
      </c>
      <c r="O284" s="175" t="e">
        <f>IF(#REF!&lt;100,"",#REF!-620)</f>
        <v>#REF!</v>
      </c>
      <c r="P284" s="175" t="e">
        <f>IF(#REF!&lt;100,"",#REF!-620)</f>
        <v>#REF!</v>
      </c>
      <c r="Q284" s="175" t="e">
        <f>IF(#REF!&lt;100,"",#REF!-620)</f>
        <v>#REF!</v>
      </c>
      <c r="R284" s="175" t="e">
        <f>IF(#REF!&lt;100,"",#REF!-620)</f>
        <v>#REF!</v>
      </c>
      <c r="S284" s="175" t="e">
        <f>IF(#REF!&lt;100,"",#REF!-620)</f>
        <v>#REF!</v>
      </c>
      <c r="T284" s="175" t="e">
        <f>IF(#REF!&lt;100,"",#REF!-620)</f>
        <v>#REF!</v>
      </c>
      <c r="U284" s="175" t="e">
        <f>IF(#REF!&lt;100,"",#REF!-620)</f>
        <v>#REF!</v>
      </c>
      <c r="V284" s="175" t="e">
        <f>IF(#REF!&lt;100,"",#REF!-620)</f>
        <v>#REF!</v>
      </c>
      <c r="W284" s="175" t="e">
        <f>IF(#REF!&lt;100,"",#REF!-620)</f>
        <v>#REF!</v>
      </c>
      <c r="X284" s="175" t="e">
        <f>IF(#REF!&lt;100,"",#REF!-620)</f>
        <v>#REF!</v>
      </c>
      <c r="Y284" s="175" t="e">
        <f>IF(#REF!&lt;100,"",#REF!-620)</f>
        <v>#REF!</v>
      </c>
      <c r="Z284" s="175" t="e">
        <f>IF(#REF!&lt;100,"",#REF!-620)</f>
        <v>#REF!</v>
      </c>
      <c r="AA284" s="175" t="e">
        <f>IF(#REF!&lt;100,"",#REF!-620)</f>
        <v>#REF!</v>
      </c>
      <c r="AB284" s="175" t="e">
        <f>IF(#REF!&lt;100,"",#REF!-620)</f>
        <v>#REF!</v>
      </c>
      <c r="AC284" s="175" t="e">
        <f>IF(#REF!&lt;100,"",#REF!-620)</f>
        <v>#REF!</v>
      </c>
      <c r="AD284" s="175" t="e">
        <f>IF(#REF!&lt;100,"",#REF!-620)</f>
        <v>#REF!</v>
      </c>
      <c r="AE284" s="175" t="e">
        <f>IF(#REF!&lt;100,"",#REF!-620)</f>
        <v>#REF!</v>
      </c>
      <c r="AF284" s="175" t="e">
        <f>IF(#REF!&lt;100,"",#REF!-620)</f>
        <v>#REF!</v>
      </c>
      <c r="AG284" s="43"/>
      <c r="AH284" s="43"/>
    </row>
    <row r="285" spans="1:34" x14ac:dyDescent="0.25">
      <c r="A285" s="175" t="e">
        <f>#REF!</f>
        <v>#REF!</v>
      </c>
      <c r="B285" s="175" t="e">
        <f>IF(#REF!&lt;100,"",#REF!-330)</f>
        <v>#REF!</v>
      </c>
      <c r="C285" s="175" t="e">
        <f>IF(#REF!&lt;100,"",#REF!-330)</f>
        <v>#REF!</v>
      </c>
      <c r="D285" s="175" t="e">
        <f>IF(#REF!&lt;100,"",#REF!-330)</f>
        <v>#REF!</v>
      </c>
      <c r="E285" s="175" t="e">
        <f>IF(#REF!&lt;100,"",#REF!-330)</f>
        <v>#REF!</v>
      </c>
      <c r="F285" s="175" t="e">
        <f>IF(#REF!&lt;100,"",#REF!-330)</f>
        <v>#REF!</v>
      </c>
      <c r="G285" s="175" t="e">
        <f>IF(#REF!&lt;100,"",#REF!-330)</f>
        <v>#REF!</v>
      </c>
      <c r="H285" s="175" t="e">
        <f>IF(#REF!&lt;100,"",#REF!-330)</f>
        <v>#REF!</v>
      </c>
      <c r="I285" s="175" t="e">
        <f>IF(#REF!&lt;100,"",#REF!-330)</f>
        <v>#REF!</v>
      </c>
      <c r="J285" s="175" t="e">
        <f>IF(#REF!&lt;100,"",#REF!-330)</f>
        <v>#REF!</v>
      </c>
      <c r="K285" s="175" t="e">
        <f>IF(#REF!&lt;100,"",#REF!-330)</f>
        <v>#REF!</v>
      </c>
      <c r="L285" s="175" t="e">
        <f>IF(#REF!&lt;100,"",#REF!-330)</f>
        <v>#REF!</v>
      </c>
      <c r="M285" s="175" t="e">
        <f>IF(#REF!&lt;100,"",#REF!-330)</f>
        <v>#REF!</v>
      </c>
      <c r="N285" s="175" t="e">
        <f>IF(#REF!&lt;100,"",#REF!-330)</f>
        <v>#REF!</v>
      </c>
      <c r="O285" s="175" t="e">
        <f>IF(#REF!&lt;100,"",#REF!-330)</f>
        <v>#REF!</v>
      </c>
      <c r="P285" s="175" t="e">
        <f>IF(#REF!&lt;100,"",#REF!-330)</f>
        <v>#REF!</v>
      </c>
      <c r="Q285" s="175" t="e">
        <f>IF(#REF!&lt;100,"",#REF!-330)</f>
        <v>#REF!</v>
      </c>
      <c r="R285" s="175" t="e">
        <f>IF(#REF!&lt;100,"",#REF!-330)</f>
        <v>#REF!</v>
      </c>
      <c r="S285" s="175" t="e">
        <f>IF(#REF!&lt;100,"",#REF!-330)</f>
        <v>#REF!</v>
      </c>
      <c r="T285" s="175" t="e">
        <f>IF(#REF!&lt;100,"",#REF!-330)</f>
        <v>#REF!</v>
      </c>
      <c r="U285" s="175" t="e">
        <f>IF(#REF!&lt;100,"",#REF!-330)</f>
        <v>#REF!</v>
      </c>
      <c r="V285" s="175" t="e">
        <f>IF(#REF!&lt;100,"",#REF!-330)</f>
        <v>#REF!</v>
      </c>
      <c r="W285" s="175" t="e">
        <f>IF(#REF!&lt;100,"",#REF!-330)</f>
        <v>#REF!</v>
      </c>
      <c r="X285" s="175" t="e">
        <f>IF(#REF!&lt;100,"",#REF!-330)</f>
        <v>#REF!</v>
      </c>
      <c r="Y285" s="175" t="e">
        <f>IF(#REF!&lt;100,"",#REF!-330)</f>
        <v>#REF!</v>
      </c>
      <c r="Z285" s="175" t="e">
        <f>IF(#REF!&lt;100,"",#REF!-330)</f>
        <v>#REF!</v>
      </c>
      <c r="AA285" s="175" t="e">
        <f>IF(#REF!&lt;100,"",#REF!-330)</f>
        <v>#REF!</v>
      </c>
      <c r="AB285" s="175" t="e">
        <f>IF(#REF!&lt;100,"",#REF!-330)</f>
        <v>#REF!</v>
      </c>
      <c r="AC285" s="175" t="e">
        <f>IF(#REF!&lt;100,"",#REF!-330)</f>
        <v>#REF!</v>
      </c>
      <c r="AD285" s="175" t="e">
        <f>IF(#REF!&lt;100,"",#REF!-330)</f>
        <v>#REF!</v>
      </c>
      <c r="AE285" s="175" t="e">
        <f>IF(#REF!&lt;100,"",#REF!-330)</f>
        <v>#REF!</v>
      </c>
      <c r="AF285" s="175" t="e">
        <f>IF(#REF!&lt;100,"",#REF!-330)</f>
        <v>#REF!</v>
      </c>
      <c r="AG285" s="43"/>
      <c r="AH285" s="43"/>
    </row>
    <row r="286" spans="1:34" x14ac:dyDescent="0.25">
      <c r="A286" s="175" t="e">
        <f>#REF!</f>
        <v>#REF!</v>
      </c>
      <c r="B286" s="175" t="e">
        <f>IF(#REF!&lt;100,"",#REF!-1500)</f>
        <v>#REF!</v>
      </c>
      <c r="C286" s="175" t="e">
        <f>IF(#REF!&lt;100,"",#REF!-1500)</f>
        <v>#REF!</v>
      </c>
      <c r="D286" s="175" t="e">
        <f>IF(#REF!&lt;100,"",#REF!-1500)</f>
        <v>#REF!</v>
      </c>
      <c r="E286" s="175" t="e">
        <f>IF(#REF!&lt;100,"",#REF!-1500)</f>
        <v>#REF!</v>
      </c>
      <c r="F286" s="175" t="e">
        <f>IF(#REF!&lt;100,"",#REF!-1500)</f>
        <v>#REF!</v>
      </c>
      <c r="G286" s="175" t="e">
        <f>IF(#REF!&lt;100,"",#REF!-1500)</f>
        <v>#REF!</v>
      </c>
      <c r="H286" s="175" t="e">
        <f>IF(#REF!&lt;100,"",#REF!-1500)</f>
        <v>#REF!</v>
      </c>
      <c r="I286" s="175" t="e">
        <f>IF(#REF!&lt;100,"",#REF!-1500)</f>
        <v>#REF!</v>
      </c>
      <c r="J286" s="175" t="e">
        <f>IF(#REF!&lt;100,"",#REF!-1500)</f>
        <v>#REF!</v>
      </c>
      <c r="K286" s="175" t="e">
        <f>IF(#REF!&lt;100,"",#REF!-1500)</f>
        <v>#REF!</v>
      </c>
      <c r="L286" s="175" t="e">
        <f>IF(#REF!&lt;100,"",#REF!-1500)</f>
        <v>#REF!</v>
      </c>
      <c r="M286" s="175" t="e">
        <f>IF(#REF!&lt;100,"",#REF!-1500)</f>
        <v>#REF!</v>
      </c>
      <c r="N286" s="175" t="e">
        <f>IF(#REF!&lt;100,"",#REF!-1500)</f>
        <v>#REF!</v>
      </c>
      <c r="O286" s="175" t="e">
        <f>IF(#REF!&lt;100,"",#REF!-1500)</f>
        <v>#REF!</v>
      </c>
      <c r="P286" s="175" t="e">
        <f>IF(#REF!&lt;100,"",#REF!-1500)</f>
        <v>#REF!</v>
      </c>
      <c r="Q286" s="175" t="e">
        <f>IF(#REF!&lt;100,"",#REF!-1500)</f>
        <v>#REF!</v>
      </c>
      <c r="R286" s="175" t="e">
        <f>IF(#REF!&lt;100,"",#REF!-1500)</f>
        <v>#REF!</v>
      </c>
      <c r="S286" s="175" t="e">
        <f>IF(#REF!&lt;100,"",#REF!-1500)</f>
        <v>#REF!</v>
      </c>
      <c r="T286" s="175" t="e">
        <f>IF(#REF!&lt;100,"",#REF!-1500)</f>
        <v>#REF!</v>
      </c>
      <c r="U286" s="175" t="e">
        <f>IF(#REF!&lt;100,"",#REF!-1500)</f>
        <v>#REF!</v>
      </c>
      <c r="V286" s="175" t="e">
        <f>IF(#REF!&lt;100,"",#REF!-1500)</f>
        <v>#REF!</v>
      </c>
      <c r="W286" s="175" t="e">
        <f>IF(#REF!&lt;100,"",#REF!-1500)</f>
        <v>#REF!</v>
      </c>
      <c r="X286" s="175" t="e">
        <f>IF(#REF!&lt;100,"",#REF!-1500)</f>
        <v>#REF!</v>
      </c>
      <c r="Y286" s="175" t="e">
        <f>IF(#REF!&lt;100,"",#REF!-1500)</f>
        <v>#REF!</v>
      </c>
      <c r="Z286" s="175" t="e">
        <f>IF(#REF!&lt;100,"",#REF!-1500)</f>
        <v>#REF!</v>
      </c>
      <c r="AA286" s="175" t="e">
        <f>IF(#REF!&lt;100,"",#REF!-1500)</f>
        <v>#REF!</v>
      </c>
      <c r="AB286" s="175" t="e">
        <f>IF(#REF!&lt;100,"",#REF!-1500)</f>
        <v>#REF!</v>
      </c>
      <c r="AC286" s="175" t="e">
        <f>IF(#REF!&lt;100,"",#REF!-1500)</f>
        <v>#REF!</v>
      </c>
      <c r="AD286" s="175" t="e">
        <f>IF(#REF!&lt;100,"",#REF!-1500)</f>
        <v>#REF!</v>
      </c>
      <c r="AE286" s="175" t="e">
        <f>IF(#REF!&lt;100,"",#REF!-1500)</f>
        <v>#REF!</v>
      </c>
      <c r="AF286" s="175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984" priority="85">
      <formula>$AH11=0</formula>
    </cfRule>
  </conditionalFormatting>
  <conditionalFormatting sqref="A132:A253">
    <cfRule type="expression" dxfId="983" priority="32">
      <formula>$AH132=0</formula>
    </cfRule>
  </conditionalFormatting>
  <conditionalFormatting sqref="B8 M8 S8 AB8">
    <cfRule type="expression" dxfId="982" priority="145">
      <formula>AND(C$9&gt;=14/24,C$9&lt;20/24)</formula>
    </cfRule>
    <cfRule type="expression" dxfId="981" priority="147">
      <formula>C$9&lt;8/24</formula>
    </cfRule>
    <cfRule type="expression" dxfId="980" priority="146">
      <formula>AND(C$9&gt;=8/24,C$9&lt;14/24)</formula>
    </cfRule>
  </conditionalFormatting>
  <conditionalFormatting sqref="B63:I74 J64:J74 K68:O74 P69:W74">
    <cfRule type="expression" dxfId="979" priority="49">
      <formula>AND(B$9&gt;=8/24,B$9&lt;14/24)</formula>
    </cfRule>
    <cfRule type="expression" dxfId="978" priority="47">
      <formula>B$9&gt;=20/24</formula>
    </cfRule>
    <cfRule type="expression" dxfId="977" priority="48">
      <formula>AND(B$9&gt;=14/24,B$9&lt;20/24)</formula>
    </cfRule>
    <cfRule type="expression" dxfId="976" priority="50">
      <formula>B$9&lt;8/24</formula>
    </cfRule>
  </conditionalFormatting>
  <conditionalFormatting sqref="B63:W74">
    <cfRule type="expression" dxfId="975" priority="46">
      <formula>B63&gt;$AG63</formula>
    </cfRule>
  </conditionalFormatting>
  <conditionalFormatting sqref="B9:AF52">
    <cfRule type="expression" dxfId="974" priority="58">
      <formula>AND(B$9&gt;=8/24,B$9&lt;14/24)</formula>
    </cfRule>
    <cfRule type="expression" dxfId="973" priority="59">
      <formula>B$9&lt;8/24</formula>
    </cfRule>
    <cfRule type="expression" dxfId="972" priority="56">
      <formula>B$9&gt;=20/24</formula>
    </cfRule>
    <cfRule type="expression" dxfId="971" priority="57">
      <formula>AND(B$9&gt;=14/24,B$9&lt;20/24)</formula>
    </cfRule>
  </conditionalFormatting>
  <conditionalFormatting sqref="B11:AF54">
    <cfRule type="expression" dxfId="970" priority="41">
      <formula>B11&gt;$AG11</formula>
    </cfRule>
  </conditionalFormatting>
  <conditionalFormatting sqref="B53:AF54">
    <cfRule type="expression" dxfId="969" priority="37">
      <formula>B$9&gt;=20/24</formula>
    </cfRule>
    <cfRule type="expression" dxfId="968" priority="38">
      <formula>AND(B$9&gt;=14/24,B$9&lt;20/24)</formula>
    </cfRule>
    <cfRule type="expression" dxfId="967" priority="39">
      <formula>AND(B$9&gt;=8/24,B$9&lt;14/24)</formula>
    </cfRule>
    <cfRule type="expression" dxfId="966" priority="40">
      <formula>B$9&lt;8/24</formula>
    </cfRule>
  </conditionalFormatting>
  <conditionalFormatting sqref="B55:AF55">
    <cfRule type="expression" dxfId="965" priority="65">
      <formula>B55&gt;$AG55</formula>
    </cfRule>
  </conditionalFormatting>
  <conditionalFormatting sqref="B55:AF57">
    <cfRule type="expression" dxfId="964" priority="64">
      <formula>B$9&lt;8/24</formula>
    </cfRule>
    <cfRule type="expression" dxfId="963" priority="61">
      <formula>B$9&gt;=20/24</formula>
    </cfRule>
    <cfRule type="expression" dxfId="962" priority="62">
      <formula>AND(B$9&gt;=14/24,B$9&lt;20/24)</formula>
    </cfRule>
    <cfRule type="expression" dxfId="961" priority="63">
      <formula>AND(B$9&gt;=8/24,B$9&lt;14/24)</formula>
    </cfRule>
  </conditionalFormatting>
  <conditionalFormatting sqref="B56:AF61">
    <cfRule type="expression" dxfId="960" priority="60">
      <formula>B56&gt;$AG56</formula>
    </cfRule>
  </conditionalFormatting>
  <conditionalFormatting sqref="B59:AF61">
    <cfRule type="expression" dxfId="959" priority="73">
      <formula>AND(B$9&gt;=8/24,B$9&lt;14/24)</formula>
    </cfRule>
    <cfRule type="expression" dxfId="958" priority="74">
      <formula>B$9&lt;8/24</formula>
    </cfRule>
    <cfRule type="expression" dxfId="957" priority="72">
      <formula>AND(B$9&gt;=14/24,B$9&lt;20/24)</formula>
    </cfRule>
    <cfRule type="expression" dxfId="956" priority="71">
      <formula>B$9&gt;=20/24</formula>
    </cfRule>
  </conditionalFormatting>
  <conditionalFormatting sqref="B77:AF79">
    <cfRule type="expression" dxfId="955" priority="79">
      <formula>B$9&lt;8/24</formula>
    </cfRule>
    <cfRule type="expression" dxfId="954" priority="78">
      <formula>AND(B$9&gt;=8/24,B$9&lt;14/24)</formula>
    </cfRule>
    <cfRule type="expression" dxfId="953" priority="77">
      <formula>AND(B$9&gt;=14/24,B$9&lt;20/24)</formula>
    </cfRule>
    <cfRule type="expression" dxfId="952" priority="76">
      <formula>B$9&gt;=20/24</formula>
    </cfRule>
    <cfRule type="expression" dxfId="951" priority="75">
      <formula>B77&gt;$AG77</formula>
    </cfRule>
  </conditionalFormatting>
  <conditionalFormatting sqref="B81:AF99">
    <cfRule type="expression" dxfId="950" priority="22">
      <formula>B$9&lt;8/24</formula>
    </cfRule>
    <cfRule type="expression" dxfId="949" priority="19">
      <formula>B$9&gt;=20/24</formula>
    </cfRule>
    <cfRule type="expression" dxfId="948" priority="20">
      <formula>AND(B$9&gt;=14/24,B$9&lt;20/24)</formula>
    </cfRule>
    <cfRule type="expression" dxfId="947" priority="21">
      <formula>AND(B$9&gt;=8/24,B$9&lt;14/24)</formula>
    </cfRule>
  </conditionalFormatting>
  <conditionalFormatting sqref="B101:AF117">
    <cfRule type="expression" dxfId="946" priority="35">
      <formula>AND(B$9&gt;=8/24,B$9&lt;14/24)</formula>
    </cfRule>
    <cfRule type="expression" dxfId="945" priority="33">
      <formula>B$9&gt;=20/24</formula>
    </cfRule>
    <cfRule type="expression" dxfId="944" priority="34">
      <formula>AND(B$9&gt;=14/24,B$9&lt;20/24)</formula>
    </cfRule>
    <cfRule type="expression" dxfId="943" priority="36">
      <formula>B$9&lt;8/24</formula>
    </cfRule>
  </conditionalFormatting>
  <conditionalFormatting sqref="B119:AF137">
    <cfRule type="expression" dxfId="942" priority="18">
      <formula>B$9&lt;8/24</formula>
    </cfRule>
    <cfRule type="expression" dxfId="941" priority="17">
      <formula>AND(B$9&gt;=8/24,B$9&lt;14/24)</formula>
    </cfRule>
    <cfRule type="expression" dxfId="940" priority="15">
      <formula>B$9&gt;=20/24</formula>
    </cfRule>
    <cfRule type="expression" dxfId="939" priority="16">
      <formula>AND(B$9&gt;=14/24,B$9&lt;20/24)</formula>
    </cfRule>
  </conditionalFormatting>
  <conditionalFormatting sqref="B244:AF244 B246:B252 D246:AF252 U260:AF260">
    <cfRule type="expression" dxfId="938" priority="138">
      <formula>B$9&gt;=20/24</formula>
    </cfRule>
    <cfRule type="expression" dxfId="937" priority="139">
      <formula>AND(B$9&gt;=14/24,B$9&lt;20/24)</formula>
    </cfRule>
    <cfRule type="expression" dxfId="936" priority="140">
      <formula>AND(B$9&gt;=8/24,B$9&lt;14/24)</formula>
    </cfRule>
    <cfRule type="expression" dxfId="935" priority="141">
      <formula>B$9&lt;8/24</formula>
    </cfRule>
  </conditionalFormatting>
  <conditionalFormatting sqref="B62:AG62">
    <cfRule type="expression" dxfId="934" priority="82">
      <formula>AND(B$9&gt;=14/24,B$9&lt;20/24)</formula>
    </cfRule>
    <cfRule type="expression" dxfId="933" priority="81">
      <formula>B$9&gt;=20/24</formula>
    </cfRule>
    <cfRule type="expression" dxfId="932" priority="83">
      <formula>AND(B$9&gt;=8/24,B$9&lt;14/24)</formula>
    </cfRule>
    <cfRule type="expression" dxfId="931" priority="84">
      <formula>B$9&lt;8/24</formula>
    </cfRule>
    <cfRule type="expression" dxfId="930" priority="80">
      <formula>B62&gt;$AG62</formula>
    </cfRule>
  </conditionalFormatting>
  <conditionalFormatting sqref="B75:AG76 B80:AG80">
    <cfRule type="expression" dxfId="929" priority="66">
      <formula>B75&gt;$AG75</formula>
    </cfRule>
  </conditionalFormatting>
  <conditionalFormatting sqref="B80:AG80">
    <cfRule type="expression" dxfId="928" priority="67">
      <formula>B$9&gt;=20/24</formula>
    </cfRule>
    <cfRule type="expression" dxfId="927" priority="69">
      <formula>AND(B$9&gt;=8/24,B$9&lt;14/24)</formula>
    </cfRule>
    <cfRule type="expression" dxfId="926" priority="70">
      <formula>B$9&lt;8/24</formula>
    </cfRule>
    <cfRule type="expression" dxfId="925" priority="68">
      <formula>AND(B$9&gt;=14/24,B$9&lt;20/24)</formula>
    </cfRule>
  </conditionalFormatting>
  <conditionalFormatting sqref="F63:O65">
    <cfRule type="expression" dxfId="924" priority="122">
      <formula>F$9&lt;8/24</formula>
    </cfRule>
    <cfRule type="expression" dxfId="923" priority="121">
      <formula>AND(F$9&gt;=8/24,F$9&lt;14/24)</formula>
    </cfRule>
    <cfRule type="expression" dxfId="922" priority="120">
      <formula>AND(F$9&gt;=14/24,F$9&lt;20/24)</formula>
    </cfRule>
    <cfRule type="expression" dxfId="921" priority="119">
      <formula>F$9&gt;=20/24</formula>
    </cfRule>
  </conditionalFormatting>
  <conditionalFormatting sqref="F68:T68">
    <cfRule type="expression" dxfId="920" priority="96">
      <formula>F$9&gt;=20/24</formula>
    </cfRule>
    <cfRule type="expression" dxfId="919" priority="98">
      <formula>AND(F$9&gt;=8/24,F$9&lt;14/24)</formula>
    </cfRule>
    <cfRule type="expression" dxfId="918" priority="97">
      <formula>AND(F$9&gt;=14/24,F$9&lt;20/24)</formula>
    </cfRule>
    <cfRule type="expression" dxfId="917" priority="99">
      <formula>F$9&lt;8/24</formula>
    </cfRule>
  </conditionalFormatting>
  <conditionalFormatting sqref="F69:W74">
    <cfRule type="expression" dxfId="916" priority="88">
      <formula>AND(F$9&gt;=8/24,F$9&lt;14/24)</formula>
    </cfRule>
    <cfRule type="expression" dxfId="915" priority="89">
      <formula>F$9&lt;8/24</formula>
    </cfRule>
    <cfRule type="expression" dxfId="914" priority="86">
      <formula>F$9&gt;=20/24</formula>
    </cfRule>
    <cfRule type="expression" dxfId="913" priority="87">
      <formula>AND(F$9&gt;=14/24,F$9&lt;20/24)</formula>
    </cfRule>
  </conditionalFormatting>
  <conditionalFormatting sqref="M66:O67">
    <cfRule type="expression" dxfId="912" priority="27">
      <formula>M$9&lt;8/24</formula>
    </cfRule>
    <cfRule type="expression" dxfId="911" priority="26">
      <formula>AND(M$9&gt;=8/24,M$9&lt;14/24)</formula>
    </cfRule>
    <cfRule type="expression" dxfId="910" priority="25">
      <formula>AND(M$9&gt;=14/24,M$9&lt;20/24)</formula>
    </cfRule>
    <cfRule type="expression" dxfId="909" priority="24">
      <formula>M$9&gt;=20/24</formula>
    </cfRule>
  </conditionalFormatting>
  <conditionalFormatting sqref="N63:S67 T64:T67">
    <cfRule type="expression" dxfId="908" priority="124">
      <formula>AND(N$9&gt;=14/24,N$9&lt;20/24)</formula>
    </cfRule>
    <cfRule type="expression" dxfId="907" priority="126">
      <formula>N$9&lt;8/24</formula>
    </cfRule>
    <cfRule type="expression" dxfId="906" priority="125">
      <formula>AND(N$9&gt;=8/24,N$9&lt;14/24)</formula>
    </cfRule>
    <cfRule type="expression" dxfId="905" priority="123">
      <formula>N$9&gt;=20/24</formula>
    </cfRule>
  </conditionalFormatting>
  <conditionalFormatting sqref="O3:P3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904" priority="144">
      <formula>C$9&gt;=20/24</formula>
    </cfRule>
  </conditionalFormatting>
  <conditionalFormatting sqref="S8">
    <cfRule type="expression" dxfId="903" priority="131">
      <formula>U$9&gt;=20/24</formula>
    </cfRule>
    <cfRule type="expression" dxfId="902" priority="133">
      <formula>AND(U$9&gt;=8/24,U$9&lt;14/24)</formula>
    </cfRule>
    <cfRule type="expression" dxfId="901" priority="134">
      <formula>U$9&lt;8/24</formula>
    </cfRule>
    <cfRule type="expression" dxfId="900" priority="132">
      <formula>AND(U$9&gt;=14/24,U$9&lt;20/24)</formula>
    </cfRule>
  </conditionalFormatting>
  <conditionalFormatting sqref="S63:W68">
    <cfRule type="expression" dxfId="899" priority="90">
      <formula>S$9&gt;=20/24</formula>
    </cfRule>
    <cfRule type="expression" dxfId="898" priority="91">
      <formula>AND(S$9&gt;=14/24,S$9&lt;20/24)</formula>
    </cfRule>
    <cfRule type="expression" dxfId="897" priority="92">
      <formula>AND(S$9&gt;=8/24,S$9&lt;14/24)</formula>
    </cfRule>
    <cfRule type="expression" dxfId="896" priority="93">
      <formula>S$9&lt;8/24</formula>
    </cfRule>
  </conditionalFormatting>
  <conditionalFormatting sqref="T260">
    <cfRule type="expression" dxfId="895" priority="157">
      <formula>AND(AX$9&gt;=14/24,AX$9&lt;20/24)</formula>
    </cfRule>
    <cfRule type="expression" dxfId="894" priority="156">
      <formula>AX$9&gt;=20/24</formula>
    </cfRule>
    <cfRule type="expression" dxfId="893" priority="158">
      <formula>AND(AX$9&gt;=8/24,AX$9&lt;14/24)</formula>
    </cfRule>
    <cfRule type="expression" dxfId="892" priority="159">
      <formula>AX$9&lt;8/24</formula>
    </cfRule>
  </conditionalFormatting>
  <conditionalFormatting sqref="V3 AB3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X69:AA74">
    <cfRule type="expression" dxfId="891" priority="5">
      <formula>X$9&lt;8/24</formula>
    </cfRule>
    <cfRule type="expression" dxfId="890" priority="4">
      <formula>AND(X$9&gt;=8/24,X$9&lt;14/24)</formula>
    </cfRule>
    <cfRule type="expression" dxfId="889" priority="3">
      <formula>AND(X$9&gt;=14/24,X$9&lt;20/24)</formula>
    </cfRule>
    <cfRule type="expression" dxfId="888" priority="2">
      <formula>X$9&gt;=20/24</formula>
    </cfRule>
  </conditionalFormatting>
  <conditionalFormatting sqref="X63:AF74">
    <cfRule type="expression" dxfId="887" priority="1">
      <formula>X63&gt;$AG63</formula>
    </cfRule>
    <cfRule type="expression" dxfId="886" priority="6">
      <formula>X$9&gt;=20/24</formula>
    </cfRule>
    <cfRule type="expression" dxfId="885" priority="9">
      <formula>X$9&lt;8/24</formula>
    </cfRule>
    <cfRule type="expression" dxfId="884" priority="8">
      <formula>AND(X$9&gt;=8/24,X$9&lt;14/24)</formula>
    </cfRule>
    <cfRule type="expression" dxfId="883" priority="7">
      <formula>AND(X$9&gt;=14/24,X$9&lt;20/24)</formula>
    </cfRule>
  </conditionalFormatting>
  <conditionalFormatting sqref="AB8">
    <cfRule type="expression" dxfId="882" priority="127">
      <formula>AD$9&gt;=20/24</formula>
    </cfRule>
    <cfRule type="expression" dxfId="881" priority="128">
      <formula>AND(AD$9&gt;=14/24,AD$9&lt;20/24)</formula>
    </cfRule>
    <cfRule type="expression" dxfId="880" priority="129">
      <formula>AND(AD$9&gt;=8/24,AD$9&lt;14/24)</formula>
    </cfRule>
    <cfRule type="expression" dxfId="879" priority="130">
      <formula>AD$9&lt;8/24</formula>
    </cfRule>
  </conditionalFormatting>
  <conditionalFormatting sqref="AG58">
    <cfRule type="expression" dxfId="878" priority="114">
      <formula>AG58&gt;$AG58</formula>
    </cfRule>
  </conditionalFormatting>
  <conditionalFormatting sqref="AG97">
    <cfRule type="expression" dxfId="877" priority="115">
      <formula>AG$9&gt;=20/24</formula>
    </cfRule>
    <cfRule type="expression" dxfId="876" priority="116">
      <formula>AND(AG$9&gt;=14/24,AG$9&lt;20/24)</formula>
    </cfRule>
    <cfRule type="expression" dxfId="875" priority="117">
      <formula>AND(AG$9&gt;=8/24,AG$9&lt;14/24)</formula>
    </cfRule>
    <cfRule type="expression" dxfId="874" priority="118">
      <formula>AG$9&lt;8/24</formula>
    </cfRule>
  </conditionalFormatting>
  <conditionalFormatting sqref="AG260">
    <cfRule type="expression" dxfId="873" priority="151">
      <formula>B$9&lt;8/24</formula>
    </cfRule>
    <cfRule type="expression" dxfId="872" priority="150">
      <formula>AND(B$9&gt;=8/24,B$9&lt;14/24)</formula>
    </cfRule>
    <cfRule type="expression" dxfId="871" priority="149">
      <formula>AND(B$9&gt;=14/24,B$9&lt;20/24)</formula>
    </cfRule>
    <cfRule type="expression" dxfId="870" priority="148">
      <formula>B$9&gt;=20/24</formula>
    </cfRule>
  </conditionalFormatting>
  <conditionalFormatting sqref="AH260:AX260">
    <cfRule type="expression" dxfId="869" priority="153">
      <formula>AND(AG$9&gt;=14/24,AG$9&lt;20/24)</formula>
    </cfRule>
    <cfRule type="expression" dxfId="868" priority="154">
      <formula>AND(AG$9&gt;=8/24,AG$9&lt;14/24)</formula>
    </cfRule>
    <cfRule type="expression" dxfId="867" priority="155">
      <formula>AG$9&lt;8/24</formula>
    </cfRule>
    <cfRule type="expression" dxfId="866" priority="152">
      <formula>AG$9&gt;=20/24</formula>
    </cfRule>
  </conditionalFormatting>
  <conditionalFormatting sqref="AL4:AL6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865" priority="161">
      <formula>AJ$9&gt;=20/24</formula>
    </cfRule>
    <cfRule type="expression" dxfId="864" priority="162">
      <formula>AND(AJ$9&gt;=14/24,AJ$9&lt;20/24)</formula>
    </cfRule>
    <cfRule type="expression" dxfId="863" priority="163">
      <formula>AND(AJ$9&gt;=8/24,AJ$9&lt;14/24)</formula>
    </cfRule>
    <cfRule type="expression" dxfId="862" priority="164">
      <formula>AJ$9&lt;8/24</formula>
    </cfRule>
  </conditionalFormatting>
  <conditionalFormatting sqref="AL88:AN88 AL94:AN94">
    <cfRule type="expression" dxfId="861" priority="110">
      <formula>AL$9&lt;8/24</formula>
    </cfRule>
    <cfRule type="expression" dxfId="860" priority="107">
      <formula>AL$9&gt;=20/24</formula>
    </cfRule>
    <cfRule type="expression" dxfId="859" priority="109">
      <formula>AND(AL$9&gt;=8/24,AL$9&lt;14/24)</formula>
    </cfRule>
    <cfRule type="expression" dxfId="858" priority="108">
      <formula>AND(AL$9&gt;=14/24,AL$9&lt;20/24)</formula>
    </cfRule>
  </conditionalFormatting>
  <conditionalFormatting sqref="AN89:AN92">
    <cfRule type="expression" dxfId="857" priority="104">
      <formula>AND(AN$9&gt;=14/24,AN$9&lt;20/24)</formula>
    </cfRule>
    <cfRule type="expression" dxfId="856" priority="103">
      <formula>AN$9&gt;=20/24</formula>
    </cfRule>
    <cfRule type="expression" dxfId="855" priority="105">
      <formula>AND(AN$9&gt;=8/24,AN$9&lt;14/24)</formula>
    </cfRule>
    <cfRule type="expression" dxfId="854" priority="106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2144-8DDC-45F6-8AC9-344A99544356}">
  <sheetPr codeName="Sheet26"/>
  <dimension ref="A1:CJ293"/>
  <sheetViews>
    <sheetView zoomScaleNormal="100" workbookViewId="0">
      <pane xSplit="1" ySplit="10" topLeftCell="M74" activePane="bottomRight" state="frozen"/>
      <selection activeCell="P118" sqref="P118"/>
      <selection pane="topRight" activeCell="P118" sqref="P118"/>
      <selection pane="bottomLeft" activeCell="P118" sqref="P118"/>
      <selection pane="bottomRight" activeCell="AB83" activeCellId="6" sqref="C83:G83 I83 K83 M83:V83 X83 Z83 AB83:AF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2080/09/25</v>
      </c>
      <c r="C4" s="246"/>
      <c r="D4" s="246"/>
      <c r="E4" s="247" t="str">
        <f ca="1">"2080/"&amp;"09/"&amp;INT(MID(CELL("filename",G6),FIND("]",CELL("filename",G6))+1,200))</f>
        <v>2080/09/25</v>
      </c>
      <c r="F4" s="247"/>
      <c r="G4" s="247"/>
      <c r="H4" s="247" t="str">
        <f ca="1">TEXT(E4,"dddd")</f>
        <v>Wednesday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258.89999999999998</v>
      </c>
      <c r="C5" s="30">
        <f t="shared" si="0"/>
        <v>251</v>
      </c>
      <c r="D5" s="30">
        <f t="shared" si="0"/>
        <v>245.5</v>
      </c>
      <c r="E5" s="30">
        <f t="shared" si="0"/>
        <v>265</v>
      </c>
      <c r="F5" s="30">
        <f t="shared" si="0"/>
        <v>315</v>
      </c>
      <c r="G5" s="30">
        <f t="shared" si="0"/>
        <v>370</v>
      </c>
      <c r="H5" s="30">
        <f t="shared" si="0"/>
        <v>472</v>
      </c>
      <c r="I5" s="30">
        <f t="shared" si="0"/>
        <v>480.1</v>
      </c>
      <c r="J5" s="30">
        <f t="shared" si="0"/>
        <v>481.8</v>
      </c>
      <c r="K5" s="30">
        <f t="shared" si="0"/>
        <v>155</v>
      </c>
      <c r="L5" s="30">
        <f t="shared" si="0"/>
        <v>132.69999999999999</v>
      </c>
      <c r="M5" s="30">
        <f t="shared" si="0"/>
        <v>71.5</v>
      </c>
      <c r="N5" s="30">
        <f t="shared" si="0"/>
        <v>172.3</v>
      </c>
      <c r="O5" s="30">
        <f t="shared" si="0"/>
        <v>429.9</v>
      </c>
      <c r="P5" s="30">
        <f t="shared" si="0"/>
        <v>451</v>
      </c>
      <c r="Q5" s="30">
        <f t="shared" si="0"/>
        <v>475.5</v>
      </c>
      <c r="R5" s="30">
        <f t="shared" si="0"/>
        <v>474</v>
      </c>
      <c r="S5" s="30">
        <f t="shared" si="0"/>
        <v>513.1</v>
      </c>
      <c r="T5" s="30">
        <f t="shared" si="0"/>
        <v>540.6</v>
      </c>
      <c r="U5" s="30">
        <f t="shared" si="0"/>
        <v>252.20000000000002</v>
      </c>
      <c r="V5" s="30">
        <f t="shared" si="0"/>
        <v>444.79999999999995</v>
      </c>
      <c r="W5" s="30">
        <f t="shared" si="0"/>
        <v>313.60000000000002</v>
      </c>
      <c r="X5" s="30">
        <f t="shared" si="0"/>
        <v>304</v>
      </c>
      <c r="Y5" s="30">
        <f t="shared" si="0"/>
        <v>350.20000000000005</v>
      </c>
      <c r="Z5" s="30">
        <f t="shared" si="0"/>
        <v>381.5</v>
      </c>
      <c r="AA5" s="30">
        <f t="shared" si="0"/>
        <v>297</v>
      </c>
      <c r="AB5" s="30">
        <f t="shared" si="0"/>
        <v>366</v>
      </c>
      <c r="AC5" s="30">
        <f t="shared" si="0"/>
        <v>275</v>
      </c>
      <c r="AD5" s="30">
        <f t="shared" si="0"/>
        <v>261</v>
      </c>
      <c r="AE5" s="30">
        <f t="shared" si="0"/>
        <v>267</v>
      </c>
      <c r="AF5" s="30">
        <f>B92</f>
        <v>267.39999999999998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Load=971</v>
      </c>
      <c r="B7" s="35">
        <f>B100</f>
        <v>1011.24</v>
      </c>
      <c r="C7" s="35">
        <f t="shared" ref="C7:AF7" si="1">C100</f>
        <v>982.24</v>
      </c>
      <c r="D7" s="35">
        <f t="shared" si="1"/>
        <v>978.34</v>
      </c>
      <c r="E7" s="35">
        <f t="shared" si="1"/>
        <v>970.6400000000001</v>
      </c>
      <c r="F7" s="35">
        <f t="shared" si="1"/>
        <v>990.1400000000001</v>
      </c>
      <c r="G7" s="35">
        <f t="shared" si="1"/>
        <v>1055.1400000000001</v>
      </c>
      <c r="H7" s="35">
        <f t="shared" si="1"/>
        <v>1106.54</v>
      </c>
      <c r="I7" s="35">
        <f t="shared" si="1"/>
        <v>1254.6399999999999</v>
      </c>
      <c r="J7" s="35">
        <f t="shared" si="1"/>
        <v>1355.2399999999998</v>
      </c>
      <c r="K7" s="35">
        <f t="shared" si="1"/>
        <v>1480.04</v>
      </c>
      <c r="L7" s="35">
        <f t="shared" si="1"/>
        <v>1597.44</v>
      </c>
      <c r="M7" s="35">
        <f t="shared" si="1"/>
        <v>1662.0400000000002</v>
      </c>
      <c r="N7" s="35">
        <f t="shared" si="1"/>
        <v>1646.14</v>
      </c>
      <c r="O7" s="35">
        <f t="shared" si="1"/>
        <v>1562.34</v>
      </c>
      <c r="P7" s="35">
        <f t="shared" si="1"/>
        <v>1508.1399999999999</v>
      </c>
      <c r="Q7" s="35">
        <f t="shared" si="1"/>
        <v>1435.24</v>
      </c>
      <c r="R7" s="35">
        <f t="shared" si="1"/>
        <v>1414.2399999999998</v>
      </c>
      <c r="S7" s="35">
        <f t="shared" si="1"/>
        <v>1378.84</v>
      </c>
      <c r="T7" s="35">
        <f t="shared" si="1"/>
        <v>1388.6399999999999</v>
      </c>
      <c r="U7" s="35">
        <f t="shared" si="1"/>
        <v>1400.54</v>
      </c>
      <c r="V7" s="35">
        <f t="shared" si="1"/>
        <v>1425.54</v>
      </c>
      <c r="W7" s="35">
        <f t="shared" si="1"/>
        <v>1557.34</v>
      </c>
      <c r="X7" s="35">
        <f t="shared" si="1"/>
        <v>1788.1</v>
      </c>
      <c r="Y7" s="35">
        <f t="shared" si="1"/>
        <v>1751.5400000000002</v>
      </c>
      <c r="Z7" s="35">
        <f t="shared" si="1"/>
        <v>1671.7400000000002</v>
      </c>
      <c r="AA7" s="35">
        <f t="shared" si="1"/>
        <v>1625.74</v>
      </c>
      <c r="AB7" s="35">
        <f t="shared" si="1"/>
        <v>1584.6399999999999</v>
      </c>
      <c r="AC7" s="35">
        <f t="shared" si="1"/>
        <v>1481.04</v>
      </c>
      <c r="AD7" s="35">
        <f t="shared" si="1"/>
        <v>1325.54</v>
      </c>
      <c r="AE7" s="35">
        <f t="shared" si="1"/>
        <v>1189.94</v>
      </c>
      <c r="AF7" s="35">
        <f t="shared" si="1"/>
        <v>1050.04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36.1</v>
      </c>
      <c r="C11" s="45">
        <v>35.700000000000003</v>
      </c>
      <c r="D11" s="45">
        <v>35.700000000000003</v>
      </c>
      <c r="E11" s="45">
        <v>35.700000000000003</v>
      </c>
      <c r="F11" s="45">
        <v>35.700000000000003</v>
      </c>
      <c r="G11" s="45">
        <v>35.700000000000003</v>
      </c>
      <c r="H11" s="45">
        <v>33.4</v>
      </c>
      <c r="I11" s="45">
        <v>33.4</v>
      </c>
      <c r="J11" s="45">
        <v>33.4</v>
      </c>
      <c r="K11" s="45">
        <v>34.9</v>
      </c>
      <c r="L11" s="45">
        <v>34.6</v>
      </c>
      <c r="M11" s="45">
        <v>34.9</v>
      </c>
      <c r="N11" s="45">
        <v>34</v>
      </c>
      <c r="O11" s="45">
        <v>34</v>
      </c>
      <c r="P11" s="45">
        <v>34</v>
      </c>
      <c r="Q11" s="45">
        <v>34</v>
      </c>
      <c r="R11" s="45">
        <v>34</v>
      </c>
      <c r="S11" s="45">
        <v>34</v>
      </c>
      <c r="T11" s="45">
        <v>34</v>
      </c>
      <c r="U11" s="45">
        <v>34</v>
      </c>
      <c r="V11" s="45">
        <v>34</v>
      </c>
      <c r="W11" s="45">
        <v>34</v>
      </c>
      <c r="X11" s="45">
        <v>34</v>
      </c>
      <c r="Y11" s="45">
        <v>34</v>
      </c>
      <c r="Z11" s="45">
        <v>34</v>
      </c>
      <c r="AA11" s="45">
        <v>34</v>
      </c>
      <c r="AB11" s="45">
        <v>32.5</v>
      </c>
      <c r="AC11" s="45">
        <v>32.5</v>
      </c>
      <c r="AD11" s="45">
        <v>32.5</v>
      </c>
      <c r="AE11" s="45">
        <v>32.5</v>
      </c>
      <c r="AF11" s="45">
        <v>32.5</v>
      </c>
      <c r="AG11" s="46">
        <v>86</v>
      </c>
      <c r="AH11" s="47">
        <f t="shared" ref="AH11:AH84" si="2">MAX(B11:AF11)</f>
        <v>36.1</v>
      </c>
      <c r="AI11" s="48">
        <f t="shared" ref="AI11:AI84" si="3">MIN(B11:AF11)</f>
        <v>32.5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11</v>
      </c>
      <c r="C12" s="45">
        <v>11</v>
      </c>
      <c r="D12" s="45">
        <v>11</v>
      </c>
      <c r="E12" s="45">
        <v>11</v>
      </c>
      <c r="F12" s="45">
        <v>11</v>
      </c>
      <c r="G12" s="45">
        <v>11</v>
      </c>
      <c r="H12" s="45">
        <v>11</v>
      </c>
      <c r="I12" s="45">
        <v>11</v>
      </c>
      <c r="J12" s="45">
        <v>11</v>
      </c>
      <c r="K12" s="45">
        <v>11</v>
      </c>
      <c r="L12" s="45">
        <v>11</v>
      </c>
      <c r="M12" s="45">
        <v>11</v>
      </c>
      <c r="N12" s="45">
        <v>10.5</v>
      </c>
      <c r="O12" s="45">
        <v>10.5</v>
      </c>
      <c r="P12" s="45">
        <v>10.5</v>
      </c>
      <c r="Q12" s="45">
        <v>10.5</v>
      </c>
      <c r="R12" s="45">
        <v>10.5</v>
      </c>
      <c r="S12" s="45">
        <v>10.5</v>
      </c>
      <c r="T12" s="45">
        <v>10.5</v>
      </c>
      <c r="U12" s="45">
        <v>10.5</v>
      </c>
      <c r="V12" s="45">
        <v>10.5</v>
      </c>
      <c r="W12" s="45">
        <v>10.5</v>
      </c>
      <c r="X12" s="45">
        <v>10.5</v>
      </c>
      <c r="Y12" s="45">
        <v>10.5</v>
      </c>
      <c r="Z12" s="45">
        <v>10.5</v>
      </c>
      <c r="AA12" s="45">
        <v>10.5</v>
      </c>
      <c r="AB12" s="45">
        <v>10.5</v>
      </c>
      <c r="AC12" s="45">
        <v>10.5</v>
      </c>
      <c r="AD12" s="45">
        <v>10.5</v>
      </c>
      <c r="AE12" s="45">
        <v>10.5</v>
      </c>
      <c r="AF12" s="45">
        <v>10.5</v>
      </c>
      <c r="AG12" s="49">
        <v>54</v>
      </c>
      <c r="AH12" s="47">
        <f t="shared" si="2"/>
        <v>11</v>
      </c>
      <c r="AI12" s="48">
        <f t="shared" si="3"/>
        <v>10.5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</v>
      </c>
      <c r="C13" s="45">
        <v>15</v>
      </c>
      <c r="D13" s="45">
        <v>15</v>
      </c>
      <c r="E13" s="45">
        <v>15</v>
      </c>
      <c r="F13" s="45">
        <v>15</v>
      </c>
      <c r="G13" s="45">
        <v>15</v>
      </c>
      <c r="H13" s="45">
        <v>15</v>
      </c>
      <c r="I13" s="45">
        <v>15</v>
      </c>
      <c r="J13" s="45">
        <v>15</v>
      </c>
      <c r="K13" s="45">
        <v>15</v>
      </c>
      <c r="L13" s="45">
        <v>15</v>
      </c>
      <c r="M13" s="45">
        <v>15</v>
      </c>
      <c r="N13" s="45">
        <v>15</v>
      </c>
      <c r="O13" s="45">
        <v>15</v>
      </c>
      <c r="P13" s="45">
        <v>15</v>
      </c>
      <c r="Q13" s="45">
        <v>15</v>
      </c>
      <c r="R13" s="45">
        <v>15</v>
      </c>
      <c r="S13" s="45">
        <v>15</v>
      </c>
      <c r="T13" s="45">
        <v>15</v>
      </c>
      <c r="U13" s="45">
        <v>15</v>
      </c>
      <c r="V13" s="45">
        <v>15</v>
      </c>
      <c r="W13" s="45">
        <v>15</v>
      </c>
      <c r="X13" s="45">
        <v>15</v>
      </c>
      <c r="Y13" s="45">
        <v>15</v>
      </c>
      <c r="Z13" s="45">
        <v>15</v>
      </c>
      <c r="AA13" s="45">
        <v>15</v>
      </c>
      <c r="AB13" s="45">
        <v>15</v>
      </c>
      <c r="AC13" s="45">
        <v>15</v>
      </c>
      <c r="AD13" s="45">
        <v>15</v>
      </c>
      <c r="AE13" s="45">
        <v>15</v>
      </c>
      <c r="AF13" s="45">
        <v>15</v>
      </c>
      <c r="AG13" s="49">
        <v>54</v>
      </c>
      <c r="AH13" s="47">
        <f t="shared" si="2"/>
        <v>15</v>
      </c>
      <c r="AI13" s="48">
        <f t="shared" si="3"/>
        <v>15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18</v>
      </c>
      <c r="C14" s="45">
        <v>18</v>
      </c>
      <c r="D14" s="45">
        <v>18</v>
      </c>
      <c r="E14" s="45">
        <v>18</v>
      </c>
      <c r="F14" s="45">
        <v>18</v>
      </c>
      <c r="G14" s="45">
        <v>18</v>
      </c>
      <c r="H14" s="45">
        <v>17.5</v>
      </c>
      <c r="I14" s="45">
        <v>17.5</v>
      </c>
      <c r="J14" s="45">
        <v>17.5</v>
      </c>
      <c r="K14" s="45">
        <v>17.5</v>
      </c>
      <c r="L14" s="45">
        <v>17.5</v>
      </c>
      <c r="M14" s="45">
        <v>17.5</v>
      </c>
      <c r="N14" s="45">
        <v>17.5</v>
      </c>
      <c r="O14" s="45">
        <v>17.5</v>
      </c>
      <c r="P14" s="45">
        <v>17.5</v>
      </c>
      <c r="Q14" s="45">
        <v>17.5</v>
      </c>
      <c r="R14" s="45">
        <v>17.5</v>
      </c>
      <c r="S14" s="45">
        <v>17.5</v>
      </c>
      <c r="T14" s="45">
        <v>17.5</v>
      </c>
      <c r="U14" s="45">
        <v>17.5</v>
      </c>
      <c r="V14" s="45">
        <v>17.5</v>
      </c>
      <c r="W14" s="45">
        <v>17.5</v>
      </c>
      <c r="X14" s="45">
        <v>17.5</v>
      </c>
      <c r="Y14" s="45">
        <v>17.5</v>
      </c>
      <c r="Z14" s="45">
        <v>17.5</v>
      </c>
      <c r="AA14" s="45">
        <v>17.5</v>
      </c>
      <c r="AB14" s="45">
        <v>17.5</v>
      </c>
      <c r="AC14" s="45">
        <v>17.5</v>
      </c>
      <c r="AD14" s="45">
        <v>17.5</v>
      </c>
      <c r="AE14" s="45">
        <v>17.5</v>
      </c>
      <c r="AF14" s="45">
        <v>17.5</v>
      </c>
      <c r="AG14" s="46">
        <v>52.4</v>
      </c>
      <c r="AH14" s="47">
        <f t="shared" si="2"/>
        <v>18</v>
      </c>
      <c r="AI14" s="48">
        <f t="shared" si="3"/>
        <v>17.5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37.6</v>
      </c>
      <c r="C15" s="45">
        <v>37.299999999999997</v>
      </c>
      <c r="D15" s="45">
        <v>37.299999999999997</v>
      </c>
      <c r="E15" s="45">
        <v>37.299999999999997</v>
      </c>
      <c r="F15" s="45">
        <v>37.299999999999997</v>
      </c>
      <c r="G15" s="45">
        <v>37.299999999999997</v>
      </c>
      <c r="H15" s="45">
        <v>37.700000000000003</v>
      </c>
      <c r="I15" s="45">
        <v>37.700000000000003</v>
      </c>
      <c r="J15" s="45">
        <v>37.700000000000003</v>
      </c>
      <c r="K15" s="45">
        <v>37.700000000000003</v>
      </c>
      <c r="L15" s="45">
        <v>37.700000000000003</v>
      </c>
      <c r="M15" s="45">
        <v>37.700000000000003</v>
      </c>
      <c r="N15" s="45">
        <v>37.700000000000003</v>
      </c>
      <c r="O15" s="45">
        <v>37.700000000000003</v>
      </c>
      <c r="P15" s="45">
        <v>37.700000000000003</v>
      </c>
      <c r="Q15" s="45">
        <v>37.700000000000003</v>
      </c>
      <c r="R15" s="45">
        <v>37.700000000000003</v>
      </c>
      <c r="S15" s="45">
        <v>37.700000000000003</v>
      </c>
      <c r="T15" s="45">
        <v>37.700000000000003</v>
      </c>
      <c r="U15" s="45">
        <v>37.700000000000003</v>
      </c>
      <c r="V15" s="45">
        <v>37.700000000000003</v>
      </c>
      <c r="W15" s="45">
        <v>37.700000000000003</v>
      </c>
      <c r="X15" s="51">
        <v>37.700000000000003</v>
      </c>
      <c r="Y15" s="51">
        <v>37.700000000000003</v>
      </c>
      <c r="Z15" s="51">
        <v>37.700000000000003</v>
      </c>
      <c r="AA15" s="51">
        <v>37.700000000000003</v>
      </c>
      <c r="AB15" s="51">
        <v>37.700000000000003</v>
      </c>
      <c r="AC15" s="51">
        <v>37.700000000000003</v>
      </c>
      <c r="AD15" s="51">
        <v>37.700000000000003</v>
      </c>
      <c r="AE15" s="51">
        <v>37.700000000000003</v>
      </c>
      <c r="AF15" s="51">
        <v>37.700000000000003</v>
      </c>
      <c r="AG15" s="49">
        <v>50</v>
      </c>
      <c r="AH15" s="47">
        <f t="shared" si="2"/>
        <v>37.700000000000003</v>
      </c>
      <c r="AI15" s="48">
        <f t="shared" si="3"/>
        <v>37.299999999999997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19.899999999999999</v>
      </c>
      <c r="C16" s="45">
        <v>19.600000000000001</v>
      </c>
      <c r="D16" s="45">
        <v>19.600000000000001</v>
      </c>
      <c r="E16" s="45">
        <v>19.600000000000001</v>
      </c>
      <c r="F16" s="45">
        <v>19.600000000000001</v>
      </c>
      <c r="G16" s="45">
        <v>19.600000000000001</v>
      </c>
      <c r="H16" s="45">
        <v>18.899999999999999</v>
      </c>
      <c r="I16" s="45">
        <v>18.899999999999999</v>
      </c>
      <c r="J16" s="45">
        <v>18.899999999999999</v>
      </c>
      <c r="K16" s="45">
        <v>18.899999999999999</v>
      </c>
      <c r="L16" s="45">
        <v>18.899999999999999</v>
      </c>
      <c r="M16" s="45">
        <v>18.899999999999999</v>
      </c>
      <c r="N16" s="45">
        <v>18</v>
      </c>
      <c r="O16" s="45">
        <v>18</v>
      </c>
      <c r="P16" s="45">
        <v>18</v>
      </c>
      <c r="Q16" s="45">
        <v>18</v>
      </c>
      <c r="R16" s="45">
        <v>18</v>
      </c>
      <c r="S16" s="45">
        <v>18</v>
      </c>
      <c r="T16" s="45">
        <v>18</v>
      </c>
      <c r="U16" s="45">
        <v>18</v>
      </c>
      <c r="V16" s="45">
        <v>18</v>
      </c>
      <c r="W16" s="45">
        <v>18</v>
      </c>
      <c r="X16" s="45">
        <v>18</v>
      </c>
      <c r="Y16" s="45">
        <v>18</v>
      </c>
      <c r="Z16" s="45">
        <v>18</v>
      </c>
      <c r="AA16" s="45">
        <v>18</v>
      </c>
      <c r="AB16" s="45">
        <v>18</v>
      </c>
      <c r="AC16" s="45">
        <v>18</v>
      </c>
      <c r="AD16" s="45">
        <v>18</v>
      </c>
      <c r="AE16" s="45">
        <v>18</v>
      </c>
      <c r="AF16" s="45">
        <v>18</v>
      </c>
      <c r="AG16" s="49">
        <v>45</v>
      </c>
      <c r="AH16" s="47">
        <f t="shared" si="2"/>
        <v>19.899999999999999</v>
      </c>
      <c r="AI16" s="48">
        <f t="shared" si="3"/>
        <v>18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10.5</v>
      </c>
      <c r="C18" s="45">
        <v>10.5</v>
      </c>
      <c r="D18" s="45">
        <v>10.5</v>
      </c>
      <c r="E18" s="45">
        <v>10.5</v>
      </c>
      <c r="F18" s="45">
        <v>10.5</v>
      </c>
      <c r="G18" s="45">
        <v>10.5</v>
      </c>
      <c r="H18" s="45">
        <v>10</v>
      </c>
      <c r="I18" s="45">
        <v>10</v>
      </c>
      <c r="J18" s="45">
        <v>10</v>
      </c>
      <c r="K18" s="45">
        <v>10</v>
      </c>
      <c r="L18" s="45">
        <v>10</v>
      </c>
      <c r="M18" s="45">
        <v>10</v>
      </c>
      <c r="N18" s="45">
        <v>9.5</v>
      </c>
      <c r="O18" s="45">
        <v>9.5</v>
      </c>
      <c r="P18" s="45">
        <v>9.5</v>
      </c>
      <c r="Q18" s="45">
        <v>9.5</v>
      </c>
      <c r="R18" s="45">
        <v>9.5</v>
      </c>
      <c r="S18" s="45">
        <v>9.5</v>
      </c>
      <c r="T18" s="45">
        <v>9.5</v>
      </c>
      <c r="U18" s="45">
        <v>9.5</v>
      </c>
      <c r="V18" s="45">
        <v>9.5</v>
      </c>
      <c r="W18" s="45">
        <v>9.5</v>
      </c>
      <c r="X18" s="45">
        <v>9.5</v>
      </c>
      <c r="Y18" s="45">
        <v>9.5</v>
      </c>
      <c r="Z18" s="45">
        <v>9.5</v>
      </c>
      <c r="AA18" s="45">
        <v>9.5</v>
      </c>
      <c r="AB18" s="45">
        <v>9.5</v>
      </c>
      <c r="AC18" s="45">
        <v>9.5</v>
      </c>
      <c r="AD18" s="45">
        <v>9.5</v>
      </c>
      <c r="AE18" s="45">
        <v>9.5</v>
      </c>
      <c r="AF18" s="45">
        <v>9.5</v>
      </c>
      <c r="AG18" s="49">
        <v>42</v>
      </c>
      <c r="AH18" s="47">
        <f t="shared" si="2"/>
        <v>10.5</v>
      </c>
      <c r="AI18" s="48">
        <f t="shared" si="3"/>
        <v>9.5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10.3</v>
      </c>
      <c r="C22" s="45">
        <v>10.3</v>
      </c>
      <c r="D22" s="45">
        <v>10.3</v>
      </c>
      <c r="E22" s="45">
        <v>10.3</v>
      </c>
      <c r="F22" s="45">
        <v>10.3</v>
      </c>
      <c r="G22" s="45">
        <v>10.3</v>
      </c>
      <c r="H22" s="45">
        <v>10.3</v>
      </c>
      <c r="I22" s="45">
        <v>10.3</v>
      </c>
      <c r="J22" s="45">
        <v>10.3</v>
      </c>
      <c r="K22" s="45">
        <v>10.3</v>
      </c>
      <c r="L22" s="45">
        <v>10.3</v>
      </c>
      <c r="M22" s="45">
        <v>10.3</v>
      </c>
      <c r="N22" s="45">
        <v>10.3</v>
      </c>
      <c r="O22" s="45">
        <v>10.3</v>
      </c>
      <c r="P22" s="45">
        <v>10.3</v>
      </c>
      <c r="Q22" s="45">
        <v>10.3</v>
      </c>
      <c r="R22" s="45">
        <v>10.3</v>
      </c>
      <c r="S22" s="45">
        <v>10.3</v>
      </c>
      <c r="T22" s="45">
        <v>10.3</v>
      </c>
      <c r="U22" s="45">
        <v>10.3</v>
      </c>
      <c r="V22" s="45">
        <v>10.3</v>
      </c>
      <c r="W22" s="45">
        <v>10.3</v>
      </c>
      <c r="X22" s="45">
        <v>10.3</v>
      </c>
      <c r="Y22" s="45">
        <v>10.3</v>
      </c>
      <c r="Z22" s="45">
        <v>10.3</v>
      </c>
      <c r="AA22" s="45">
        <v>10.3</v>
      </c>
      <c r="AB22" s="45">
        <v>10.3</v>
      </c>
      <c r="AC22" s="45">
        <v>10.3</v>
      </c>
      <c r="AD22" s="45">
        <v>10.3</v>
      </c>
      <c r="AE22" s="45">
        <v>10.3</v>
      </c>
      <c r="AF22" s="45">
        <v>10.3</v>
      </c>
      <c r="AG22" s="52">
        <v>30</v>
      </c>
      <c r="AH22" s="47">
        <f t="shared" si="2"/>
        <v>10.3</v>
      </c>
      <c r="AI22" s="48">
        <f t="shared" si="3"/>
        <v>10.3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11.7</v>
      </c>
      <c r="C24" s="45">
        <v>10.8</v>
      </c>
      <c r="D24" s="45">
        <v>10.8</v>
      </c>
      <c r="E24" s="45">
        <v>10.8</v>
      </c>
      <c r="F24" s="45">
        <v>10.8</v>
      </c>
      <c r="G24" s="45">
        <v>10.8</v>
      </c>
      <c r="H24" s="45">
        <v>10.8</v>
      </c>
      <c r="I24" s="45">
        <v>10.8</v>
      </c>
      <c r="J24" s="45">
        <v>10.8</v>
      </c>
      <c r="K24" s="45">
        <v>10.8</v>
      </c>
      <c r="L24" s="45">
        <v>10.8</v>
      </c>
      <c r="M24" s="45">
        <v>10.8</v>
      </c>
      <c r="N24" s="45">
        <v>10.8</v>
      </c>
      <c r="O24" s="45">
        <v>10.8</v>
      </c>
      <c r="P24" s="45">
        <v>10.8</v>
      </c>
      <c r="Q24" s="45">
        <v>10.8</v>
      </c>
      <c r="R24" s="45">
        <v>10.8</v>
      </c>
      <c r="S24" s="45">
        <v>10.8</v>
      </c>
      <c r="T24" s="45">
        <v>10.8</v>
      </c>
      <c r="U24" s="45">
        <v>10.8</v>
      </c>
      <c r="V24" s="45">
        <v>10.8</v>
      </c>
      <c r="W24" s="45">
        <v>10.8</v>
      </c>
      <c r="X24" s="45">
        <v>10.8</v>
      </c>
      <c r="Y24" s="45">
        <v>10.8</v>
      </c>
      <c r="Z24" s="45">
        <v>10.8</v>
      </c>
      <c r="AA24" s="45">
        <v>10.8</v>
      </c>
      <c r="AB24" s="45">
        <v>10.8</v>
      </c>
      <c r="AC24" s="45">
        <v>10.8</v>
      </c>
      <c r="AD24" s="45">
        <v>10.8</v>
      </c>
      <c r="AE24" s="45">
        <v>10.8</v>
      </c>
      <c r="AF24" s="45">
        <v>10.8</v>
      </c>
      <c r="AG24" s="49">
        <v>28</v>
      </c>
      <c r="AH24" s="47">
        <f t="shared" si="2"/>
        <v>11.7</v>
      </c>
      <c r="AI24" s="48">
        <f t="shared" si="3"/>
        <v>10.8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9</v>
      </c>
      <c r="E25" s="45">
        <v>9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9</v>
      </c>
      <c r="N25" s="45">
        <v>9</v>
      </c>
      <c r="O25" s="45">
        <v>9</v>
      </c>
      <c r="P25" s="45">
        <v>9</v>
      </c>
      <c r="Q25" s="45">
        <v>9</v>
      </c>
      <c r="R25" s="45">
        <v>9</v>
      </c>
      <c r="S25" s="45">
        <v>9</v>
      </c>
      <c r="T25" s="45">
        <v>9</v>
      </c>
      <c r="U25" s="45">
        <v>9</v>
      </c>
      <c r="V25" s="45">
        <v>9</v>
      </c>
      <c r="W25" s="45">
        <v>9</v>
      </c>
      <c r="X25" s="45">
        <v>9</v>
      </c>
      <c r="Y25" s="45">
        <v>9</v>
      </c>
      <c r="Z25" s="45">
        <v>9</v>
      </c>
      <c r="AA25" s="45">
        <v>9</v>
      </c>
      <c r="AB25" s="45">
        <v>9</v>
      </c>
      <c r="AC25" s="45">
        <v>9</v>
      </c>
      <c r="AD25" s="45">
        <v>9</v>
      </c>
      <c r="AE25" s="45">
        <v>9</v>
      </c>
      <c r="AF25" s="45">
        <v>9</v>
      </c>
      <c r="AG25" s="52">
        <v>30</v>
      </c>
      <c r="AH25" s="47">
        <f t="shared" si="2"/>
        <v>9</v>
      </c>
      <c r="AI25" s="48">
        <f t="shared" si="3"/>
        <v>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10.4</v>
      </c>
      <c r="C26" s="45">
        <v>10.7</v>
      </c>
      <c r="D26" s="45">
        <v>10.7</v>
      </c>
      <c r="E26" s="45">
        <v>10.7</v>
      </c>
      <c r="F26" s="45">
        <v>10.7</v>
      </c>
      <c r="G26" s="45">
        <v>10.7</v>
      </c>
      <c r="H26" s="45">
        <v>10.7</v>
      </c>
      <c r="I26" s="45">
        <v>10.7</v>
      </c>
      <c r="J26" s="45">
        <v>10.7</v>
      </c>
      <c r="K26" s="45">
        <v>10.7</v>
      </c>
      <c r="L26" s="45">
        <v>10.7</v>
      </c>
      <c r="M26" s="45">
        <v>10.7</v>
      </c>
      <c r="N26" s="45">
        <v>10.7</v>
      </c>
      <c r="O26" s="45">
        <v>10.7</v>
      </c>
      <c r="P26" s="45">
        <v>10.7</v>
      </c>
      <c r="Q26" s="45">
        <v>10.7</v>
      </c>
      <c r="R26" s="45">
        <v>10.7</v>
      </c>
      <c r="S26" s="45">
        <v>10.7</v>
      </c>
      <c r="T26" s="45">
        <v>10.7</v>
      </c>
      <c r="U26" s="45">
        <v>10.7</v>
      </c>
      <c r="V26" s="45">
        <v>10.7</v>
      </c>
      <c r="W26" s="45">
        <v>10.7</v>
      </c>
      <c r="X26" s="45">
        <v>10.7</v>
      </c>
      <c r="Y26" s="45">
        <v>10.7</v>
      </c>
      <c r="Z26" s="45">
        <v>10.7</v>
      </c>
      <c r="AA26" s="45">
        <v>10.7</v>
      </c>
      <c r="AB26" s="45">
        <v>10.7</v>
      </c>
      <c r="AC26" s="45">
        <v>10.7</v>
      </c>
      <c r="AD26" s="45">
        <v>10.7</v>
      </c>
      <c r="AE26" s="45">
        <v>10.7</v>
      </c>
      <c r="AF26" s="45">
        <v>10.7</v>
      </c>
      <c r="AG26" s="49">
        <v>25</v>
      </c>
      <c r="AH26" s="47">
        <f t="shared" si="2"/>
        <v>10.7</v>
      </c>
      <c r="AI26" s="48">
        <f t="shared" si="3"/>
        <v>10.4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</v>
      </c>
      <c r="C29" s="45">
        <v>10.1</v>
      </c>
      <c r="D29" s="45">
        <v>10.1</v>
      </c>
      <c r="E29" s="45">
        <v>10.1</v>
      </c>
      <c r="F29" s="45">
        <v>10.1</v>
      </c>
      <c r="G29" s="45">
        <v>10.1</v>
      </c>
      <c r="H29" s="45">
        <v>10.1</v>
      </c>
      <c r="I29" s="45">
        <v>10.1</v>
      </c>
      <c r="J29" s="45">
        <v>10.1</v>
      </c>
      <c r="K29" s="45">
        <v>10.1</v>
      </c>
      <c r="L29" s="45">
        <v>10.1</v>
      </c>
      <c r="M29" s="45">
        <v>10.1</v>
      </c>
      <c r="N29" s="45">
        <v>10.1</v>
      </c>
      <c r="O29" s="45">
        <v>10.1</v>
      </c>
      <c r="P29" s="45">
        <v>10.1</v>
      </c>
      <c r="Q29" s="45">
        <v>10.1</v>
      </c>
      <c r="R29" s="45">
        <v>10.1</v>
      </c>
      <c r="S29" s="45">
        <v>10.1</v>
      </c>
      <c r="T29" s="45">
        <v>10.1</v>
      </c>
      <c r="U29" s="45">
        <v>10.1</v>
      </c>
      <c r="V29" s="45">
        <v>10.1</v>
      </c>
      <c r="W29" s="45">
        <v>10.1</v>
      </c>
      <c r="X29" s="45">
        <v>10.1</v>
      </c>
      <c r="Y29" s="45">
        <v>10.1</v>
      </c>
      <c r="Z29" s="45">
        <v>10.1</v>
      </c>
      <c r="AA29" s="45">
        <v>10.1</v>
      </c>
      <c r="AB29" s="45">
        <v>10.1</v>
      </c>
      <c r="AC29" s="45">
        <v>10.1</v>
      </c>
      <c r="AD29" s="45">
        <v>10.1</v>
      </c>
      <c r="AE29" s="45">
        <v>10.1</v>
      </c>
      <c r="AF29" s="45">
        <v>10.1</v>
      </c>
      <c r="AG29" s="49">
        <v>25</v>
      </c>
      <c r="AH29" s="47">
        <f t="shared" si="2"/>
        <v>10.1</v>
      </c>
      <c r="AI29" s="48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10.3</v>
      </c>
      <c r="C30" s="45">
        <v>10.4</v>
      </c>
      <c r="D30" s="45">
        <v>10.4</v>
      </c>
      <c r="E30" s="45">
        <v>10.4</v>
      </c>
      <c r="F30" s="45">
        <v>10.4</v>
      </c>
      <c r="G30" s="45">
        <v>10.4</v>
      </c>
      <c r="H30" s="45">
        <v>10.4</v>
      </c>
      <c r="I30" s="45">
        <v>10.4</v>
      </c>
      <c r="J30" s="45">
        <v>10.4</v>
      </c>
      <c r="K30" s="45">
        <v>10.4</v>
      </c>
      <c r="L30" s="45">
        <v>10.4</v>
      </c>
      <c r="M30" s="45">
        <v>10.4</v>
      </c>
      <c r="N30" s="45">
        <v>10.4</v>
      </c>
      <c r="O30" s="45">
        <v>10.4</v>
      </c>
      <c r="P30" s="45">
        <v>10.4</v>
      </c>
      <c r="Q30" s="45">
        <v>10.4</v>
      </c>
      <c r="R30" s="45">
        <v>10.4</v>
      </c>
      <c r="S30" s="45">
        <v>10.4</v>
      </c>
      <c r="T30" s="45">
        <v>10.4</v>
      </c>
      <c r="U30" s="45">
        <v>10.4</v>
      </c>
      <c r="V30" s="45">
        <v>10.4</v>
      </c>
      <c r="W30" s="45">
        <v>10.4</v>
      </c>
      <c r="X30" s="45">
        <v>10.4</v>
      </c>
      <c r="Y30" s="45">
        <v>10.4</v>
      </c>
      <c r="Z30" s="45">
        <v>10.4</v>
      </c>
      <c r="AA30" s="45">
        <v>10.4</v>
      </c>
      <c r="AB30" s="45">
        <v>10.4</v>
      </c>
      <c r="AC30" s="45">
        <v>10.4</v>
      </c>
      <c r="AD30" s="45">
        <v>10.4</v>
      </c>
      <c r="AE30" s="45">
        <v>10.4</v>
      </c>
      <c r="AF30" s="45">
        <v>10.4</v>
      </c>
      <c r="AG30" s="49">
        <v>23.5</v>
      </c>
      <c r="AH30" s="47">
        <f t="shared" si="2"/>
        <v>10.4</v>
      </c>
      <c r="AI30" s="48">
        <f t="shared" si="3"/>
        <v>10.3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11.4</v>
      </c>
      <c r="C34" s="45">
        <v>10.199999999999999</v>
      </c>
      <c r="D34" s="45">
        <v>10.199999999999999</v>
      </c>
      <c r="E34" s="45">
        <v>10.199999999999999</v>
      </c>
      <c r="F34" s="45">
        <v>10.199999999999999</v>
      </c>
      <c r="G34" s="45">
        <v>10.199999999999999</v>
      </c>
      <c r="H34" s="45">
        <v>10.199999999999999</v>
      </c>
      <c r="I34" s="45">
        <v>10.199999999999999</v>
      </c>
      <c r="J34" s="45">
        <v>10.199999999999999</v>
      </c>
      <c r="K34" s="45">
        <v>10.199999999999999</v>
      </c>
      <c r="L34" s="45">
        <v>10.199999999999999</v>
      </c>
      <c r="M34" s="45">
        <v>10.199999999999999</v>
      </c>
      <c r="N34" s="45">
        <v>10.199999999999999</v>
      </c>
      <c r="O34" s="45">
        <v>10.199999999999999</v>
      </c>
      <c r="P34" s="45">
        <v>10.199999999999999</v>
      </c>
      <c r="Q34" s="45">
        <v>10.199999999999999</v>
      </c>
      <c r="R34" s="45">
        <v>10.199999999999999</v>
      </c>
      <c r="S34" s="45">
        <v>10.199999999999999</v>
      </c>
      <c r="T34" s="45">
        <v>10.199999999999999</v>
      </c>
      <c r="U34" s="45">
        <v>10.199999999999999</v>
      </c>
      <c r="V34" s="45">
        <v>10.199999999999999</v>
      </c>
      <c r="W34" s="45">
        <v>10.199999999999999</v>
      </c>
      <c r="X34" s="45">
        <v>10.199999999999999</v>
      </c>
      <c r="Y34" s="45">
        <v>10.199999999999999</v>
      </c>
      <c r="Z34" s="45">
        <v>10.199999999999999</v>
      </c>
      <c r="AA34" s="45">
        <v>10.199999999999999</v>
      </c>
      <c r="AB34" s="45">
        <v>10.199999999999999</v>
      </c>
      <c r="AC34" s="45">
        <v>10.199999999999999</v>
      </c>
      <c r="AD34" s="45">
        <v>10.199999999999999</v>
      </c>
      <c r="AE34" s="45">
        <v>10.199999999999999</v>
      </c>
      <c r="AF34" s="45">
        <v>10.199999999999999</v>
      </c>
      <c r="AG34" s="49">
        <v>22</v>
      </c>
      <c r="AH34" s="47">
        <f t="shared" si="2"/>
        <v>11.4</v>
      </c>
      <c r="AI34" s="48">
        <f t="shared" si="3"/>
        <v>10.199999999999999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1">
        <f>7.8+22.7</f>
        <v>30.5</v>
      </c>
      <c r="C57" s="51">
        <f>7.5+21.2</f>
        <v>28.7</v>
      </c>
      <c r="D57" s="51">
        <v>29.4</v>
      </c>
      <c r="E57" s="51">
        <v>29.8</v>
      </c>
      <c r="F57" s="51">
        <v>29.8</v>
      </c>
      <c r="G57" s="51">
        <v>29.8</v>
      </c>
      <c r="H57" s="51">
        <v>28.8</v>
      </c>
      <c r="I57" s="51">
        <v>28.8</v>
      </c>
      <c r="J57" s="51">
        <v>28.8</v>
      </c>
      <c r="K57" s="51">
        <v>28.8</v>
      </c>
      <c r="L57" s="51">
        <v>28.8</v>
      </c>
      <c r="M57" s="51">
        <v>28.8</v>
      </c>
      <c r="N57" s="51">
        <v>28.8</v>
      </c>
      <c r="O57" s="51">
        <v>28.2</v>
      </c>
      <c r="P57" s="51">
        <v>28.2</v>
      </c>
      <c r="Q57" s="51">
        <f>7.8+22.9</f>
        <v>30.7</v>
      </c>
      <c r="R57" s="51">
        <f>7.8+22.9</f>
        <v>30.7</v>
      </c>
      <c r="S57" s="51">
        <v>26.7</v>
      </c>
      <c r="T57" s="51">
        <v>26.7</v>
      </c>
      <c r="U57" s="51">
        <v>26.7</v>
      </c>
      <c r="V57" s="51">
        <v>26.7</v>
      </c>
      <c r="W57" s="51">
        <v>26.7</v>
      </c>
      <c r="X57" s="57">
        <v>23</v>
      </c>
      <c r="Y57" s="57">
        <v>23</v>
      </c>
      <c r="Z57" s="57">
        <v>23</v>
      </c>
      <c r="AA57" s="57">
        <v>23</v>
      </c>
      <c r="AB57" s="57">
        <f>19.9+6.7</f>
        <v>26.599999999999998</v>
      </c>
      <c r="AC57" s="57">
        <f>19.9+6.7</f>
        <v>26.599999999999998</v>
      </c>
      <c r="AD57" s="57">
        <f>19.9+6.7</f>
        <v>26.599999999999998</v>
      </c>
      <c r="AE57" s="57">
        <f>19.9+6.7</f>
        <v>26.599999999999998</v>
      </c>
      <c r="AF57" s="57">
        <f>19.9+6.7</f>
        <v>26.599999999999998</v>
      </c>
      <c r="AG57" s="55">
        <v>240</v>
      </c>
      <c r="AH57" s="47">
        <f t="shared" si="2"/>
        <v>30.7</v>
      </c>
      <c r="AI57" s="48">
        <f t="shared" si="3"/>
        <v>23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589.5</v>
      </c>
      <c r="C58" s="60">
        <f t="shared" si="4"/>
        <v>586.90000000000009</v>
      </c>
      <c r="D58" s="60">
        <f t="shared" ref="D58:E58" si="5">SUM(D11:D56)</f>
        <v>586.90000000000009</v>
      </c>
      <c r="E58" s="60">
        <f t="shared" si="5"/>
        <v>586.90000000000009</v>
      </c>
      <c r="F58" s="60">
        <f t="shared" ref="F58:G58" si="6">SUM(F11:F56)</f>
        <v>586.90000000000009</v>
      </c>
      <c r="G58" s="60">
        <f t="shared" si="6"/>
        <v>586.90000000000009</v>
      </c>
      <c r="H58" s="60">
        <f t="shared" ref="H58:AB58" si="7">SUM(H11:H56)</f>
        <v>583.29999999999995</v>
      </c>
      <c r="I58" s="60">
        <f t="shared" ref="I58:J58" si="8">SUM(I11:I56)</f>
        <v>583.29999999999995</v>
      </c>
      <c r="J58" s="60">
        <f t="shared" si="8"/>
        <v>583.29999999999995</v>
      </c>
      <c r="K58" s="60">
        <f t="shared" si="7"/>
        <v>584.79999999999995</v>
      </c>
      <c r="L58" s="60">
        <f t="shared" ref="L58:M58" si="9">SUM(L11:L56)</f>
        <v>584.5</v>
      </c>
      <c r="M58" s="60">
        <f t="shared" si="9"/>
        <v>584.79999999999995</v>
      </c>
      <c r="N58" s="60">
        <f t="shared" si="7"/>
        <v>582</v>
      </c>
      <c r="O58" s="60">
        <f t="shared" si="7"/>
        <v>582</v>
      </c>
      <c r="P58" s="60">
        <f t="shared" si="7"/>
        <v>582</v>
      </c>
      <c r="Q58" s="60">
        <f t="shared" si="7"/>
        <v>582</v>
      </c>
      <c r="R58" s="60">
        <f t="shared" si="7"/>
        <v>582</v>
      </c>
      <c r="S58" s="60">
        <f t="shared" si="7"/>
        <v>582</v>
      </c>
      <c r="T58" s="60">
        <f t="shared" si="7"/>
        <v>582</v>
      </c>
      <c r="U58" s="60">
        <f t="shared" si="7"/>
        <v>582</v>
      </c>
      <c r="V58" s="60">
        <f t="shared" si="7"/>
        <v>582</v>
      </c>
      <c r="W58" s="60">
        <f t="shared" si="7"/>
        <v>582</v>
      </c>
      <c r="X58" s="60">
        <f t="shared" si="7"/>
        <v>582</v>
      </c>
      <c r="Y58" s="60">
        <f t="shared" si="7"/>
        <v>582</v>
      </c>
      <c r="Z58" s="60">
        <f t="shared" si="7"/>
        <v>582</v>
      </c>
      <c r="AA58" s="60">
        <f t="shared" si="7"/>
        <v>582</v>
      </c>
      <c r="AB58" s="60">
        <f t="shared" si="7"/>
        <v>580.5</v>
      </c>
      <c r="AC58" s="60">
        <f t="shared" ref="AC58:AD58" si="10">SUM(AC11:AC56)</f>
        <v>580.5</v>
      </c>
      <c r="AD58" s="60">
        <f t="shared" si="10"/>
        <v>580.5</v>
      </c>
      <c r="AE58" s="60">
        <f t="shared" ref="AE58:AF58" si="11">SUM(AE11:AE56)</f>
        <v>580.5</v>
      </c>
      <c r="AF58" s="60">
        <f t="shared" si="11"/>
        <v>580.5</v>
      </c>
      <c r="AG58" s="61">
        <f>SUM(AG14:AG56)</f>
        <v>1042.4000000000001</v>
      </c>
      <c r="AH58" s="47">
        <f t="shared" si="2"/>
        <v>589.5</v>
      </c>
      <c r="AI58" s="48">
        <f t="shared" si="3"/>
        <v>580.5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30</v>
      </c>
      <c r="L59" s="45">
        <v>410</v>
      </c>
      <c r="M59" s="45">
        <v>410</v>
      </c>
      <c r="N59" s="63">
        <v>456</v>
      </c>
      <c r="O59" s="63">
        <v>210</v>
      </c>
      <c r="P59" s="63">
        <v>45</v>
      </c>
      <c r="Q59" s="63">
        <v>0</v>
      </c>
      <c r="R59" s="63">
        <v>15</v>
      </c>
      <c r="S59" s="63">
        <v>0</v>
      </c>
      <c r="T59" s="63">
        <v>0</v>
      </c>
      <c r="U59" s="63">
        <v>0</v>
      </c>
      <c r="V59" s="45">
        <v>180</v>
      </c>
      <c r="W59" s="45">
        <v>60</v>
      </c>
      <c r="X59" s="45">
        <v>275</v>
      </c>
      <c r="Y59" s="45">
        <v>240</v>
      </c>
      <c r="Z59" s="45">
        <v>170</v>
      </c>
      <c r="AA59" s="45">
        <v>150</v>
      </c>
      <c r="AB59" s="45">
        <v>210</v>
      </c>
      <c r="AC59" s="45">
        <v>120</v>
      </c>
      <c r="AD59" s="45">
        <v>140</v>
      </c>
      <c r="AE59" s="45">
        <v>50</v>
      </c>
      <c r="AF59" s="45">
        <v>0</v>
      </c>
      <c r="AG59" s="52">
        <v>456</v>
      </c>
      <c r="AH59" s="47">
        <f t="shared" si="2"/>
        <v>456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34.6</v>
      </c>
      <c r="C60" s="65">
        <v>34.6</v>
      </c>
      <c r="D60" s="65">
        <v>34.6</v>
      </c>
      <c r="E60" s="65">
        <v>34.6</v>
      </c>
      <c r="F60" s="65">
        <v>34.6</v>
      </c>
      <c r="G60" s="65">
        <v>34.6</v>
      </c>
      <c r="H60" s="65">
        <v>34.6</v>
      </c>
      <c r="I60" s="65">
        <v>34.6</v>
      </c>
      <c r="J60" s="65">
        <v>34.6</v>
      </c>
      <c r="K60" s="65">
        <v>34.6</v>
      </c>
      <c r="L60" s="65">
        <v>34.6</v>
      </c>
      <c r="M60" s="65">
        <v>34.6</v>
      </c>
      <c r="N60" s="65">
        <v>34.6</v>
      </c>
      <c r="O60" s="65">
        <v>34.6</v>
      </c>
      <c r="P60" s="65">
        <v>34.6</v>
      </c>
      <c r="Q60" s="65">
        <v>34.6</v>
      </c>
      <c r="R60" s="65">
        <v>34.6</v>
      </c>
      <c r="S60" s="65">
        <v>34.6</v>
      </c>
      <c r="T60" s="65">
        <v>34.6</v>
      </c>
      <c r="U60" s="65">
        <v>34.6</v>
      </c>
      <c r="V60" s="65">
        <v>34.6</v>
      </c>
      <c r="W60" s="65">
        <v>34.6</v>
      </c>
      <c r="X60" s="65">
        <v>34.6</v>
      </c>
      <c r="Y60" s="65">
        <v>34.6</v>
      </c>
      <c r="Z60" s="65">
        <v>34.6</v>
      </c>
      <c r="AA60" s="65">
        <v>34.6</v>
      </c>
      <c r="AB60" s="65">
        <v>34.6</v>
      </c>
      <c r="AC60" s="65">
        <v>34.6</v>
      </c>
      <c r="AD60" s="65">
        <v>34.6</v>
      </c>
      <c r="AE60" s="65">
        <v>34.6</v>
      </c>
      <c r="AF60" s="65">
        <v>34.6</v>
      </c>
      <c r="AG60" s="55">
        <v>60</v>
      </c>
      <c r="AH60" s="47">
        <f t="shared" si="2"/>
        <v>34.6</v>
      </c>
      <c r="AI60" s="48">
        <f t="shared" si="3"/>
        <v>34.6</v>
      </c>
      <c r="AK60" s="50"/>
    </row>
    <row r="61" spans="1:88" ht="15.75" thickBot="1" x14ac:dyDescent="0.3">
      <c r="A61" s="66" t="s">
        <v>61</v>
      </c>
      <c r="B61" s="67">
        <v>12.1</v>
      </c>
      <c r="C61" s="67">
        <v>12.2</v>
      </c>
      <c r="D61" s="67">
        <v>12.2</v>
      </c>
      <c r="E61" s="67">
        <v>12.2</v>
      </c>
      <c r="F61" s="67">
        <v>12.2</v>
      </c>
      <c r="G61" s="67">
        <v>12.2</v>
      </c>
      <c r="H61" s="67">
        <v>12.2</v>
      </c>
      <c r="I61" s="67">
        <v>12.2</v>
      </c>
      <c r="J61" s="67">
        <v>12.2</v>
      </c>
      <c r="K61" s="67">
        <v>13.5</v>
      </c>
      <c r="L61" s="67">
        <v>13.5</v>
      </c>
      <c r="M61" s="67">
        <v>13.5</v>
      </c>
      <c r="N61" s="67">
        <v>13.4</v>
      </c>
      <c r="O61" s="67">
        <v>13.4</v>
      </c>
      <c r="P61" s="67">
        <v>13.5</v>
      </c>
      <c r="Q61" s="67">
        <v>13.5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20.100000000000001</v>
      </c>
      <c r="Y61" s="67">
        <v>20.100000000000001</v>
      </c>
      <c r="Z61" s="67">
        <v>20.100000000000001</v>
      </c>
      <c r="AA61" s="67">
        <v>20.100000000000001</v>
      </c>
      <c r="AB61" s="67">
        <v>16.2</v>
      </c>
      <c r="AC61" s="67">
        <v>16.2</v>
      </c>
      <c r="AD61" s="67">
        <v>16.2</v>
      </c>
      <c r="AE61" s="67">
        <v>16.2</v>
      </c>
      <c r="AF61" s="67">
        <v>16.2</v>
      </c>
      <c r="AG61" s="68">
        <v>22.1</v>
      </c>
      <c r="AH61" s="47">
        <f t="shared" si="2"/>
        <v>20.100000000000001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C62" si="12">SUM(B59:B61)</f>
        <v>46.7</v>
      </c>
      <c r="C62" s="60">
        <f t="shared" si="12"/>
        <v>46.8</v>
      </c>
      <c r="D62" s="60">
        <f t="shared" ref="D62:E62" si="13">SUM(D59:D61)</f>
        <v>46.8</v>
      </c>
      <c r="E62" s="60">
        <f t="shared" si="13"/>
        <v>46.8</v>
      </c>
      <c r="F62" s="60">
        <f t="shared" ref="F62:G62" si="14">SUM(F59:F61)</f>
        <v>46.8</v>
      </c>
      <c r="G62" s="60">
        <f t="shared" si="14"/>
        <v>46.8</v>
      </c>
      <c r="H62" s="60">
        <f t="shared" ref="H62:AG62" si="15">SUM(H59:H61)</f>
        <v>46.8</v>
      </c>
      <c r="I62" s="60">
        <f t="shared" ref="I62:J62" si="16">SUM(I59:I61)</f>
        <v>46.8</v>
      </c>
      <c r="J62" s="60">
        <f t="shared" si="16"/>
        <v>46.8</v>
      </c>
      <c r="K62" s="60">
        <f t="shared" si="15"/>
        <v>78.099999999999994</v>
      </c>
      <c r="L62" s="60">
        <f t="shared" ref="L62:M62" si="17">SUM(L59:L61)</f>
        <v>458.1</v>
      </c>
      <c r="M62" s="60">
        <f t="shared" si="17"/>
        <v>458.1</v>
      </c>
      <c r="N62" s="60">
        <f t="shared" si="15"/>
        <v>504</v>
      </c>
      <c r="O62" s="60">
        <f t="shared" si="15"/>
        <v>258</v>
      </c>
      <c r="P62" s="60">
        <f t="shared" si="15"/>
        <v>93.1</v>
      </c>
      <c r="Q62" s="60">
        <f t="shared" si="15"/>
        <v>48.1</v>
      </c>
      <c r="R62" s="60">
        <f t="shared" si="15"/>
        <v>59.8</v>
      </c>
      <c r="S62" s="60">
        <f t="shared" si="15"/>
        <v>44.8</v>
      </c>
      <c r="T62" s="60">
        <f t="shared" si="15"/>
        <v>44.8</v>
      </c>
      <c r="U62" s="60">
        <f t="shared" si="15"/>
        <v>44.8</v>
      </c>
      <c r="V62" s="60">
        <f t="shared" si="15"/>
        <v>224.79999999999998</v>
      </c>
      <c r="W62" s="60">
        <f t="shared" si="15"/>
        <v>104.8</v>
      </c>
      <c r="X62" s="60">
        <f t="shared" si="15"/>
        <v>329.70000000000005</v>
      </c>
      <c r="Y62" s="60">
        <f t="shared" si="15"/>
        <v>294.70000000000005</v>
      </c>
      <c r="Z62" s="60">
        <f t="shared" si="15"/>
        <v>224.7</v>
      </c>
      <c r="AA62" s="60">
        <f t="shared" si="15"/>
        <v>204.7</v>
      </c>
      <c r="AB62" s="60">
        <f t="shared" si="15"/>
        <v>260.8</v>
      </c>
      <c r="AC62" s="60">
        <f t="shared" ref="AC62:AD62" si="18">SUM(AC59:AC61)</f>
        <v>170.79999999999998</v>
      </c>
      <c r="AD62" s="60">
        <f t="shared" si="18"/>
        <v>190.79999999999998</v>
      </c>
      <c r="AE62" s="60">
        <f t="shared" ref="AE62:AF62" si="19">SUM(AE59:AE61)</f>
        <v>100.8</v>
      </c>
      <c r="AF62" s="60">
        <f t="shared" si="19"/>
        <v>50.8</v>
      </c>
      <c r="AG62" s="61">
        <f t="shared" si="15"/>
        <v>538.1</v>
      </c>
      <c r="AH62" s="47">
        <f t="shared" si="2"/>
        <v>504</v>
      </c>
      <c r="AI62" s="48">
        <f t="shared" si="3"/>
        <v>44.8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60</v>
      </c>
      <c r="K63" s="45">
        <v>98.6</v>
      </c>
      <c r="L63" s="45">
        <v>145</v>
      </c>
      <c r="M63" s="45">
        <v>145</v>
      </c>
      <c r="N63" s="45">
        <v>145</v>
      </c>
      <c r="O63" s="45">
        <v>130</v>
      </c>
      <c r="P63" s="45">
        <v>101.7</v>
      </c>
      <c r="Q63" s="45">
        <v>121.7</v>
      </c>
      <c r="R63" s="45">
        <v>93.3</v>
      </c>
      <c r="S63" s="45">
        <v>93.3</v>
      </c>
      <c r="T63" s="45">
        <v>81</v>
      </c>
      <c r="U63" s="45">
        <v>61</v>
      </c>
      <c r="V63" s="45">
        <v>92.1</v>
      </c>
      <c r="W63" s="45">
        <v>92.1</v>
      </c>
      <c r="X63" s="45">
        <v>143.30000000000001</v>
      </c>
      <c r="Y63" s="45">
        <v>143.30000000000001</v>
      </c>
      <c r="Z63" s="45">
        <v>132.30000000000001</v>
      </c>
      <c r="AA63" s="45">
        <v>122</v>
      </c>
      <c r="AB63" s="45">
        <v>92.2</v>
      </c>
      <c r="AC63" s="45">
        <v>80</v>
      </c>
      <c r="AD63" s="45">
        <v>80</v>
      </c>
      <c r="AE63" s="45">
        <v>60</v>
      </c>
      <c r="AF63" s="45">
        <v>0</v>
      </c>
      <c r="AG63" s="52">
        <v>144</v>
      </c>
      <c r="AH63" s="47">
        <f t="shared" si="2"/>
        <v>145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45.6</v>
      </c>
      <c r="K64" s="65">
        <v>48.5</v>
      </c>
      <c r="L64" s="65">
        <v>70</v>
      </c>
      <c r="M64" s="65">
        <v>69.3</v>
      </c>
      <c r="N64" s="65">
        <v>69.3</v>
      </c>
      <c r="O64" s="65">
        <v>69.7</v>
      </c>
      <c r="P64" s="65">
        <v>43.9</v>
      </c>
      <c r="Q64" s="65">
        <v>50</v>
      </c>
      <c r="R64" s="65">
        <v>47.4</v>
      </c>
      <c r="S64" s="65">
        <v>34.200000000000003</v>
      </c>
      <c r="T64" s="65">
        <v>26.1</v>
      </c>
      <c r="U64" s="65">
        <v>35</v>
      </c>
      <c r="V64" s="65">
        <v>44.4</v>
      </c>
      <c r="W64" s="65">
        <v>44.4</v>
      </c>
      <c r="X64" s="45">
        <v>70.3</v>
      </c>
      <c r="Y64" s="45">
        <v>70.3</v>
      </c>
      <c r="Z64" s="45">
        <v>51.1</v>
      </c>
      <c r="AA64" s="45">
        <v>51.1</v>
      </c>
      <c r="AB64" s="45">
        <v>51.8</v>
      </c>
      <c r="AC64" s="45">
        <v>35.5</v>
      </c>
      <c r="AD64" s="45">
        <v>35.5</v>
      </c>
      <c r="AE64" s="45">
        <v>35.5</v>
      </c>
      <c r="AF64" s="45">
        <v>25</v>
      </c>
      <c r="AG64" s="55">
        <v>70</v>
      </c>
      <c r="AH64" s="47">
        <f t="shared" si="2"/>
        <v>70.3</v>
      </c>
      <c r="AI64" s="48">
        <f t="shared" si="3"/>
        <v>0</v>
      </c>
      <c r="AK64" s="50"/>
    </row>
    <row r="65" spans="1:41" x14ac:dyDescent="0.25">
      <c r="A65" s="54" t="s">
        <v>65</v>
      </c>
      <c r="B65" s="45">
        <v>16.899999999999999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46.1</v>
      </c>
      <c r="J65" s="45">
        <v>33</v>
      </c>
      <c r="K65" s="65">
        <v>63.8</v>
      </c>
      <c r="L65" s="65">
        <v>67.400000000000006</v>
      </c>
      <c r="M65" s="65">
        <v>68.3</v>
      </c>
      <c r="N65" s="65">
        <v>68.3</v>
      </c>
      <c r="O65" s="65">
        <v>63.7</v>
      </c>
      <c r="P65" s="65">
        <v>52.4</v>
      </c>
      <c r="Q65" s="65">
        <v>61.5</v>
      </c>
      <c r="R65" s="65">
        <v>36</v>
      </c>
      <c r="S65" s="65">
        <v>36</v>
      </c>
      <c r="T65" s="65">
        <v>35</v>
      </c>
      <c r="U65" s="65">
        <v>41</v>
      </c>
      <c r="V65" s="65">
        <v>52.7</v>
      </c>
      <c r="W65" s="65">
        <v>52.7</v>
      </c>
      <c r="X65" s="45">
        <v>68.3</v>
      </c>
      <c r="Y65" s="45">
        <v>68.3</v>
      </c>
      <c r="Z65" s="45">
        <v>52.4</v>
      </c>
      <c r="AA65" s="45">
        <v>68.2</v>
      </c>
      <c r="AB65" s="45">
        <v>67.099999999999994</v>
      </c>
      <c r="AC65" s="45">
        <v>66.599999999999994</v>
      </c>
      <c r="AD65" s="45">
        <v>66.599999999999994</v>
      </c>
      <c r="AE65" s="45">
        <v>55</v>
      </c>
      <c r="AF65" s="45">
        <v>34</v>
      </c>
      <c r="AG65" s="55">
        <v>69</v>
      </c>
      <c r="AH65" s="47">
        <f t="shared" si="2"/>
        <v>68.3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48.3</v>
      </c>
      <c r="C66" s="45">
        <v>48.3</v>
      </c>
      <c r="D66" s="45">
        <v>48.3</v>
      </c>
      <c r="E66" s="45">
        <v>46.1</v>
      </c>
      <c r="F66" s="45">
        <v>46.1</v>
      </c>
      <c r="G66" s="45">
        <v>46.1</v>
      </c>
      <c r="H66" s="45">
        <v>46.1</v>
      </c>
      <c r="I66" s="45">
        <v>46.1</v>
      </c>
      <c r="J66" s="45">
        <v>46.1</v>
      </c>
      <c r="K66" s="57">
        <v>49.1</v>
      </c>
      <c r="L66" s="57">
        <v>49.1</v>
      </c>
      <c r="M66" s="65">
        <v>49.1</v>
      </c>
      <c r="N66" s="65">
        <v>49.1</v>
      </c>
      <c r="O66" s="65">
        <v>48.9</v>
      </c>
      <c r="P66" s="65">
        <v>47.4</v>
      </c>
      <c r="Q66" s="65">
        <v>48.3</v>
      </c>
      <c r="R66" s="65">
        <v>48.1</v>
      </c>
      <c r="S66" s="65">
        <v>46.4</v>
      </c>
      <c r="T66" s="65">
        <v>42</v>
      </c>
      <c r="U66" s="65">
        <v>47</v>
      </c>
      <c r="V66" s="65">
        <v>44.1</v>
      </c>
      <c r="W66" s="65">
        <v>44.1</v>
      </c>
      <c r="X66" s="45">
        <v>44.1</v>
      </c>
      <c r="Y66" s="45">
        <v>44.1</v>
      </c>
      <c r="Z66" s="45">
        <v>44.1</v>
      </c>
      <c r="AA66" s="45">
        <v>44.1</v>
      </c>
      <c r="AB66" s="45">
        <v>48.3</v>
      </c>
      <c r="AC66" s="45">
        <v>51.4</v>
      </c>
      <c r="AD66" s="45">
        <v>51.4</v>
      </c>
      <c r="AE66" s="45">
        <v>51.4</v>
      </c>
      <c r="AF66" s="45">
        <v>48</v>
      </c>
      <c r="AG66" s="55">
        <v>60</v>
      </c>
      <c r="AH66" s="47">
        <f t="shared" si="2"/>
        <v>51.4</v>
      </c>
      <c r="AI66" s="48">
        <f t="shared" si="3"/>
        <v>42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15</v>
      </c>
      <c r="H67" s="45">
        <v>15</v>
      </c>
      <c r="I67" s="45">
        <v>15</v>
      </c>
      <c r="J67" s="45">
        <v>15</v>
      </c>
      <c r="K67" s="57">
        <v>30</v>
      </c>
      <c r="L67" s="57">
        <v>23</v>
      </c>
      <c r="M67" s="65">
        <v>28</v>
      </c>
      <c r="N67" s="65">
        <v>28</v>
      </c>
      <c r="O67" s="65">
        <v>28</v>
      </c>
      <c r="P67" s="65">
        <v>15</v>
      </c>
      <c r="Q67" s="65">
        <v>10</v>
      </c>
      <c r="R67" s="65">
        <v>10</v>
      </c>
      <c r="S67" s="65">
        <v>10</v>
      </c>
      <c r="T67" s="65">
        <v>10</v>
      </c>
      <c r="U67" s="65">
        <v>0</v>
      </c>
      <c r="V67" s="65">
        <v>10</v>
      </c>
      <c r="W67" s="65">
        <v>10</v>
      </c>
      <c r="X67" s="45">
        <v>15</v>
      </c>
      <c r="Y67" s="45">
        <v>23</v>
      </c>
      <c r="Z67" s="45">
        <v>23</v>
      </c>
      <c r="AA67" s="45">
        <v>15</v>
      </c>
      <c r="AB67" s="45">
        <v>10</v>
      </c>
      <c r="AC67" s="45">
        <v>0</v>
      </c>
      <c r="AD67" s="45">
        <v>0</v>
      </c>
      <c r="AE67" s="45">
        <v>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</v>
      </c>
      <c r="L68" s="65">
        <v>0</v>
      </c>
      <c r="M68" s="65">
        <v>1</v>
      </c>
      <c r="N68" s="65">
        <v>3.2</v>
      </c>
      <c r="O68" s="65">
        <v>7.4</v>
      </c>
      <c r="P68" s="65">
        <v>15.9</v>
      </c>
      <c r="Q68" s="65">
        <v>16.5</v>
      </c>
      <c r="R68" s="65">
        <v>16</v>
      </c>
      <c r="S68" s="65">
        <v>12</v>
      </c>
      <c r="T68" s="65">
        <v>8.5</v>
      </c>
      <c r="U68" s="65">
        <v>3</v>
      </c>
      <c r="V68" s="65">
        <v>0.4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16.5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4.5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9.6999999999999993</v>
      </c>
      <c r="C71" s="65">
        <v>9.6999999999999993</v>
      </c>
      <c r="D71" s="65">
        <v>9.6999999999999993</v>
      </c>
      <c r="E71" s="65">
        <v>9.6999999999999993</v>
      </c>
      <c r="F71" s="65">
        <v>9.6999999999999993</v>
      </c>
      <c r="G71" s="65">
        <v>9.6999999999999993</v>
      </c>
      <c r="H71" s="65">
        <v>9.6999999999999993</v>
      </c>
      <c r="I71" s="65">
        <v>9.6999999999999993</v>
      </c>
      <c r="J71" s="65">
        <v>9.6999999999999993</v>
      </c>
      <c r="K71" s="65">
        <v>9.6999999999999993</v>
      </c>
      <c r="L71" s="65">
        <v>9.6999999999999993</v>
      </c>
      <c r="M71" s="65">
        <v>9.6999999999999993</v>
      </c>
      <c r="N71" s="65">
        <v>9.6999999999999993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9.9</v>
      </c>
      <c r="AI71" s="48">
        <f t="shared" si="3"/>
        <v>9.6999999999999993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4.7</v>
      </c>
      <c r="C72" s="65">
        <v>4.5999999999999996</v>
      </c>
      <c r="D72" s="65">
        <v>4.5999999999999996</v>
      </c>
      <c r="E72" s="65">
        <v>4.5999999999999996</v>
      </c>
      <c r="F72" s="65">
        <v>4.5999999999999996</v>
      </c>
      <c r="G72" s="65">
        <v>4.5999999999999996</v>
      </c>
      <c r="H72" s="65">
        <v>4.5999999999999996</v>
      </c>
      <c r="I72" s="65">
        <v>4.5999999999999996</v>
      </c>
      <c r="J72" s="65">
        <v>4.5999999999999996</v>
      </c>
      <c r="K72" s="65">
        <v>4.5999999999999996</v>
      </c>
      <c r="L72" s="65">
        <v>4.5999999999999996</v>
      </c>
      <c r="M72" s="65">
        <v>5</v>
      </c>
      <c r="N72" s="65">
        <v>5</v>
      </c>
      <c r="O72" s="65">
        <v>5.2</v>
      </c>
      <c r="P72" s="65">
        <v>5.2</v>
      </c>
      <c r="Q72" s="65">
        <v>5.2</v>
      </c>
      <c r="R72" s="65">
        <v>5.2</v>
      </c>
      <c r="S72" s="65">
        <v>5.2</v>
      </c>
      <c r="T72" s="65">
        <v>5.2</v>
      </c>
      <c r="U72" s="65">
        <v>5.2</v>
      </c>
      <c r="V72" s="65">
        <v>4.8</v>
      </c>
      <c r="W72" s="65">
        <v>4.8</v>
      </c>
      <c r="X72" s="65">
        <v>4.8</v>
      </c>
      <c r="Y72" s="65">
        <v>4.8</v>
      </c>
      <c r="Z72" s="65">
        <v>4.8</v>
      </c>
      <c r="AA72" s="65">
        <v>4.8</v>
      </c>
      <c r="AB72" s="65">
        <v>4.8</v>
      </c>
      <c r="AC72" s="65">
        <v>4.8</v>
      </c>
      <c r="AD72" s="65">
        <v>4.8</v>
      </c>
      <c r="AE72" s="65">
        <v>4.8</v>
      </c>
      <c r="AF72" s="65">
        <v>4.8</v>
      </c>
      <c r="AG72" s="55">
        <v>14</v>
      </c>
      <c r="AH72" s="47">
        <f t="shared" si="2"/>
        <v>5.2</v>
      </c>
      <c r="AI72" s="48">
        <f t="shared" si="3"/>
        <v>4.5999999999999996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5.5</v>
      </c>
      <c r="P73" s="65">
        <v>5.5</v>
      </c>
      <c r="Q73" s="65">
        <v>5.5</v>
      </c>
      <c r="R73" s="65">
        <v>5.5</v>
      </c>
      <c r="S73" s="65">
        <v>5.5</v>
      </c>
      <c r="T73" s="65">
        <v>5.5</v>
      </c>
      <c r="U73" s="65">
        <v>5.5</v>
      </c>
      <c r="V73" s="65">
        <v>5.5</v>
      </c>
      <c r="W73" s="65">
        <v>5.5</v>
      </c>
      <c r="X73" s="65">
        <v>5.5</v>
      </c>
      <c r="Y73" s="65">
        <v>5.5</v>
      </c>
      <c r="Z73" s="65">
        <v>5.5</v>
      </c>
      <c r="AA73" s="65">
        <v>5.5</v>
      </c>
      <c r="AB73" s="65">
        <v>5.5</v>
      </c>
      <c r="AC73" s="65">
        <v>5.5</v>
      </c>
      <c r="AD73" s="65">
        <v>5.5</v>
      </c>
      <c r="AE73" s="65">
        <v>5.5</v>
      </c>
      <c r="AF73" s="65">
        <v>5.5</v>
      </c>
      <c r="AG73" s="55">
        <v>10.050000000000001</v>
      </c>
      <c r="AH73" s="47">
        <f t="shared" si="2"/>
        <v>5.5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C76" si="20">SUM(B63:B75)</f>
        <v>110.64</v>
      </c>
      <c r="C76" s="60">
        <f t="shared" si="20"/>
        <v>93.64</v>
      </c>
      <c r="D76" s="60">
        <f t="shared" ref="D76:AG76" si="21">SUM(D63:D75)</f>
        <v>93.64</v>
      </c>
      <c r="E76" s="60">
        <f t="shared" ref="E76" si="22">SUM(E63:E75)</f>
        <v>91.44</v>
      </c>
      <c r="F76" s="60">
        <f t="shared" si="21"/>
        <v>91.44</v>
      </c>
      <c r="G76" s="60">
        <f t="shared" si="21"/>
        <v>106.44</v>
      </c>
      <c r="H76" s="60">
        <f t="shared" si="21"/>
        <v>106.44</v>
      </c>
      <c r="I76" s="60">
        <f t="shared" ref="I76:J76" si="23">SUM(I63:I75)</f>
        <v>152.54</v>
      </c>
      <c r="J76" s="60">
        <f t="shared" si="23"/>
        <v>245.03999999999996</v>
      </c>
      <c r="K76" s="60">
        <f t="shared" si="21"/>
        <v>335.34000000000003</v>
      </c>
      <c r="L76" s="60">
        <f t="shared" ref="L76:M76" si="24">SUM(L63:L75)</f>
        <v>399.84000000000003</v>
      </c>
      <c r="M76" s="60">
        <f t="shared" si="24"/>
        <v>406.44000000000005</v>
      </c>
      <c r="N76" s="60">
        <f t="shared" si="21"/>
        <v>408.64000000000004</v>
      </c>
      <c r="O76" s="60">
        <f t="shared" si="21"/>
        <v>393.83999999999992</v>
      </c>
      <c r="P76" s="60">
        <f t="shared" si="21"/>
        <v>322.43999999999994</v>
      </c>
      <c r="Q76" s="60">
        <f t="shared" si="21"/>
        <v>354.14</v>
      </c>
      <c r="R76" s="60">
        <f t="shared" si="21"/>
        <v>296.93999999999994</v>
      </c>
      <c r="S76" s="60">
        <f t="shared" si="21"/>
        <v>278.04000000000002</v>
      </c>
      <c r="T76" s="60">
        <f t="shared" si="21"/>
        <v>248.73999999999998</v>
      </c>
      <c r="U76" s="60">
        <f t="shared" si="21"/>
        <v>233.14</v>
      </c>
      <c r="V76" s="60">
        <f t="shared" si="21"/>
        <v>289.44</v>
      </c>
      <c r="W76" s="60">
        <f t="shared" si="21"/>
        <v>289.03999999999996</v>
      </c>
      <c r="X76" s="60">
        <f t="shared" si="21"/>
        <v>386.70000000000005</v>
      </c>
      <c r="Y76" s="60">
        <f t="shared" si="21"/>
        <v>394.74000000000007</v>
      </c>
      <c r="Z76" s="60">
        <f t="shared" si="21"/>
        <v>348.64000000000004</v>
      </c>
      <c r="AA76" s="60">
        <f t="shared" si="21"/>
        <v>346.14000000000004</v>
      </c>
      <c r="AB76" s="60">
        <f t="shared" si="21"/>
        <v>315.14</v>
      </c>
      <c r="AC76" s="60">
        <f t="shared" ref="AC76:AD76" si="25">SUM(AC63:AC75)</f>
        <v>279.24</v>
      </c>
      <c r="AD76" s="60">
        <f t="shared" si="25"/>
        <v>279.24</v>
      </c>
      <c r="AE76" s="60">
        <f t="shared" ref="AE76:AF76" si="26">SUM(AE63:AE75)</f>
        <v>247.64000000000001</v>
      </c>
      <c r="AF76" s="60">
        <f t="shared" si="26"/>
        <v>152.74</v>
      </c>
      <c r="AG76" s="61">
        <f t="shared" si="21"/>
        <v>489.91</v>
      </c>
      <c r="AH76" s="47">
        <f t="shared" si="2"/>
        <v>408.64000000000004</v>
      </c>
      <c r="AI76" s="48">
        <f t="shared" si="3"/>
        <v>91.44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/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59.2</v>
      </c>
      <c r="P77" s="45">
        <v>19.899999999999999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40</v>
      </c>
      <c r="W77" s="45">
        <v>34.299999999999997</v>
      </c>
      <c r="X77" s="45">
        <v>59.2</v>
      </c>
      <c r="Y77" s="45">
        <v>59.2</v>
      </c>
      <c r="Z77" s="45">
        <v>50.1</v>
      </c>
      <c r="AA77" s="45">
        <v>20.2</v>
      </c>
      <c r="AB77" s="45">
        <v>29.6</v>
      </c>
      <c r="AC77" s="45">
        <v>20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59.2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/>
      <c r="E78" s="65"/>
      <c r="F78" s="65"/>
      <c r="G78" s="65"/>
      <c r="H78" s="65"/>
      <c r="I78" s="65"/>
      <c r="J78" s="65"/>
      <c r="K78" s="65"/>
      <c r="L78" s="65"/>
      <c r="M78" s="65">
        <v>0</v>
      </c>
      <c r="N78" s="65">
        <v>0</v>
      </c>
      <c r="O78" s="65">
        <v>27.1</v>
      </c>
      <c r="P78" s="65">
        <v>7.9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27.2</v>
      </c>
      <c r="W78" s="65">
        <v>16.399999999999999</v>
      </c>
      <c r="X78" s="65">
        <v>27.1</v>
      </c>
      <c r="Y78" s="65">
        <v>27.1</v>
      </c>
      <c r="Z78" s="65">
        <v>26.4</v>
      </c>
      <c r="AA78" s="65">
        <v>8.1999999999999993</v>
      </c>
      <c r="AB78" s="65">
        <v>15.8</v>
      </c>
      <c r="AC78" s="65">
        <v>10.6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27.2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/>
      <c r="E79" s="67"/>
      <c r="F79" s="67"/>
      <c r="G79" s="67"/>
      <c r="H79" s="67"/>
      <c r="I79" s="67"/>
      <c r="J79" s="67"/>
      <c r="K79" s="67"/>
      <c r="L79" s="67"/>
      <c r="M79" s="67">
        <v>0</v>
      </c>
      <c r="N79" s="67">
        <v>0</v>
      </c>
      <c r="O79" s="67">
        <v>9.9</v>
      </c>
      <c r="P79" s="67">
        <v>2.9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9.9</v>
      </c>
      <c r="W79" s="67">
        <v>6</v>
      </c>
      <c r="X79" s="67">
        <v>9.8000000000000007</v>
      </c>
      <c r="Y79" s="67">
        <v>9.8000000000000007</v>
      </c>
      <c r="Z79" s="67">
        <v>9.6999999999999993</v>
      </c>
      <c r="AA79" s="67">
        <v>3</v>
      </c>
      <c r="AB79" s="67">
        <v>5.8</v>
      </c>
      <c r="AC79" s="67">
        <v>3.9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9.9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27">B77+B78+B79</f>
        <v>0</v>
      </c>
      <c r="C80" s="60">
        <f t="shared" si="27"/>
        <v>0</v>
      </c>
      <c r="D80" s="60">
        <f t="shared" ref="D80:AB80" si="28">D77+D78+D79</f>
        <v>0</v>
      </c>
      <c r="E80" s="60">
        <f t="shared" ref="E80" si="29">E77+E78+E79</f>
        <v>0</v>
      </c>
      <c r="F80" s="60">
        <f t="shared" si="28"/>
        <v>0</v>
      </c>
      <c r="G80" s="60">
        <f t="shared" si="28"/>
        <v>0</v>
      </c>
      <c r="H80" s="60">
        <f t="shared" si="28"/>
        <v>0</v>
      </c>
      <c r="I80" s="60">
        <f t="shared" ref="I80:J80" si="30">I77+I78+I79</f>
        <v>0</v>
      </c>
      <c r="J80" s="60">
        <f t="shared" si="30"/>
        <v>0</v>
      </c>
      <c r="K80" s="60">
        <f t="shared" si="28"/>
        <v>0</v>
      </c>
      <c r="L80" s="60">
        <f t="shared" ref="L80:M80" si="31">L77+L78+L79</f>
        <v>0</v>
      </c>
      <c r="M80" s="60">
        <f t="shared" si="31"/>
        <v>0</v>
      </c>
      <c r="N80" s="60">
        <f t="shared" si="28"/>
        <v>0</v>
      </c>
      <c r="O80" s="60">
        <f t="shared" si="28"/>
        <v>96.200000000000017</v>
      </c>
      <c r="P80" s="60">
        <f t="shared" si="28"/>
        <v>30.699999999999996</v>
      </c>
      <c r="Q80" s="60">
        <f t="shared" si="28"/>
        <v>0</v>
      </c>
      <c r="R80" s="60">
        <f t="shared" si="28"/>
        <v>0</v>
      </c>
      <c r="S80" s="60">
        <f t="shared" si="28"/>
        <v>0</v>
      </c>
      <c r="T80" s="60">
        <f t="shared" si="28"/>
        <v>0</v>
      </c>
      <c r="U80" s="60">
        <f t="shared" si="28"/>
        <v>0</v>
      </c>
      <c r="V80" s="60">
        <f t="shared" si="28"/>
        <v>77.100000000000009</v>
      </c>
      <c r="W80" s="60">
        <f t="shared" si="28"/>
        <v>56.699999999999996</v>
      </c>
      <c r="X80" s="60">
        <f t="shared" si="28"/>
        <v>96.100000000000009</v>
      </c>
      <c r="Y80" s="60">
        <f t="shared" si="28"/>
        <v>96.100000000000009</v>
      </c>
      <c r="Z80" s="60">
        <f t="shared" si="28"/>
        <v>86.2</v>
      </c>
      <c r="AA80" s="60">
        <f t="shared" si="28"/>
        <v>31.4</v>
      </c>
      <c r="AB80" s="60">
        <f t="shared" si="28"/>
        <v>51.2</v>
      </c>
      <c r="AC80" s="60">
        <f t="shared" ref="AC80:AD80" si="32">AC77+AC78+AC79</f>
        <v>34.5</v>
      </c>
      <c r="AD80" s="60">
        <f t="shared" si="32"/>
        <v>0</v>
      </c>
      <c r="AE80" s="60">
        <f t="shared" ref="AE80:AF80" si="33">AE77+AE78+AE79</f>
        <v>0</v>
      </c>
      <c r="AF80" s="60">
        <f t="shared" si="33"/>
        <v>0</v>
      </c>
      <c r="AG80" s="61">
        <f>SUM(AG77:AG79)</f>
        <v>106</v>
      </c>
      <c r="AH80" s="47">
        <f t="shared" si="2"/>
        <v>96.200000000000017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65.900000000000006</v>
      </c>
      <c r="C81" s="45">
        <v>71</v>
      </c>
      <c r="D81" s="45">
        <v>70</v>
      </c>
      <c r="E81" s="45">
        <v>69</v>
      </c>
      <c r="F81" s="45">
        <v>63</v>
      </c>
      <c r="G81" s="45">
        <v>60</v>
      </c>
      <c r="H81" s="45">
        <v>54</v>
      </c>
      <c r="I81" s="45">
        <v>74</v>
      </c>
      <c r="J81" s="45">
        <v>72.099999999999994</v>
      </c>
      <c r="K81" s="45">
        <v>69.8</v>
      </c>
      <c r="L81" s="45">
        <v>52</v>
      </c>
      <c r="M81" s="45">
        <v>49.7</v>
      </c>
      <c r="N81" s="45">
        <v>47.4</v>
      </c>
      <c r="O81" s="45">
        <v>39</v>
      </c>
      <c r="P81" s="45">
        <v>58.9</v>
      </c>
      <c r="Q81" s="45">
        <v>62</v>
      </c>
      <c r="R81" s="45">
        <v>69.5</v>
      </c>
      <c r="S81" s="45">
        <v>70</v>
      </c>
      <c r="T81" s="45">
        <v>64.099999999999994</v>
      </c>
      <c r="U81" s="45">
        <v>59.6</v>
      </c>
      <c r="V81" s="45">
        <v>56.9</v>
      </c>
      <c r="W81" s="45">
        <v>62.4</v>
      </c>
      <c r="X81" s="45">
        <v>64.599999999999994</v>
      </c>
      <c r="Y81" s="45">
        <v>59</v>
      </c>
      <c r="Z81" s="45">
        <v>53.1</v>
      </c>
      <c r="AA81" s="45">
        <v>56.5</v>
      </c>
      <c r="AB81" s="45">
        <v>57.5</v>
      </c>
      <c r="AC81" s="45">
        <v>66</v>
      </c>
      <c r="AD81" s="45">
        <v>60</v>
      </c>
      <c r="AE81" s="45">
        <v>56</v>
      </c>
      <c r="AF81" s="45">
        <v>55</v>
      </c>
      <c r="AG81" s="52"/>
      <c r="AH81" s="47">
        <f t="shared" si="2"/>
        <v>74</v>
      </c>
      <c r="AI81" s="48">
        <f t="shared" si="3"/>
        <v>39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201.5</v>
      </c>
      <c r="C83" s="65">
        <v>187.9</v>
      </c>
      <c r="D83" s="65">
        <v>181</v>
      </c>
      <c r="E83" s="65">
        <v>176.5</v>
      </c>
      <c r="F83" s="65">
        <v>202</v>
      </c>
      <c r="G83" s="65">
        <v>255</v>
      </c>
      <c r="H83" s="65">
        <v>316</v>
      </c>
      <c r="I83" s="65">
        <v>398</v>
      </c>
      <c r="J83" s="65">
        <v>408</v>
      </c>
      <c r="K83" s="65">
        <v>412</v>
      </c>
      <c r="L83" s="65">
        <v>103</v>
      </c>
      <c r="M83" s="65">
        <v>83</v>
      </c>
      <c r="N83" s="65">
        <v>24.1</v>
      </c>
      <c r="O83" s="65">
        <v>133.30000000000001</v>
      </c>
      <c r="P83" s="65">
        <v>371</v>
      </c>
      <c r="Q83" s="65">
        <v>389</v>
      </c>
      <c r="R83" s="65">
        <v>406</v>
      </c>
      <c r="S83" s="65">
        <v>404</v>
      </c>
      <c r="T83" s="65">
        <v>449</v>
      </c>
      <c r="U83" s="65">
        <v>481</v>
      </c>
      <c r="V83" s="65">
        <v>195.3</v>
      </c>
      <c r="W83" s="65">
        <v>382.4</v>
      </c>
      <c r="X83" s="65">
        <v>249</v>
      </c>
      <c r="Y83" s="65">
        <v>245</v>
      </c>
      <c r="Z83" s="65">
        <v>297.10000000000002</v>
      </c>
      <c r="AA83" s="65">
        <v>325</v>
      </c>
      <c r="AB83" s="65">
        <v>239.5</v>
      </c>
      <c r="AC83" s="65">
        <v>300</v>
      </c>
      <c r="AD83" s="65">
        <v>215</v>
      </c>
      <c r="AE83" s="65">
        <v>205</v>
      </c>
      <c r="AF83" s="65">
        <v>212</v>
      </c>
      <c r="AG83" s="75"/>
      <c r="AH83" s="47">
        <f t="shared" si="2"/>
        <v>481</v>
      </c>
      <c r="AI83" s="48">
        <f t="shared" si="3"/>
        <v>24.1</v>
      </c>
      <c r="AK83" s="50"/>
    </row>
    <row r="84" spans="1:40" x14ac:dyDescent="0.25">
      <c r="A84" s="54" t="s">
        <v>84</v>
      </c>
      <c r="B84" s="76"/>
      <c r="C84" s="76"/>
      <c r="D84" s="65"/>
      <c r="E84" s="65"/>
      <c r="F84" s="76"/>
      <c r="G84" s="76"/>
      <c r="H84" s="76"/>
      <c r="I84" s="76"/>
      <c r="J84" s="76"/>
      <c r="K84" s="76"/>
      <c r="L84" s="76"/>
      <c r="M84" s="76">
        <v>0</v>
      </c>
      <c r="N84" s="76">
        <v>0</v>
      </c>
      <c r="O84" s="76">
        <v>0</v>
      </c>
      <c r="P84" s="76">
        <v>0</v>
      </c>
      <c r="Q84" s="76">
        <v>0</v>
      </c>
      <c r="R84" s="76">
        <v>0</v>
      </c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4">MAX(B85:AF85)</f>
        <v>0</v>
      </c>
      <c r="AI85" s="48">
        <f t="shared" ref="AI85:AI130" si="35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4"/>
        <v>0</v>
      </c>
      <c r="AI86" s="48">
        <f t="shared" si="35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4"/>
        <v>0</v>
      </c>
      <c r="AI87" s="48">
        <f t="shared" si="35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4"/>
        <v>0</v>
      </c>
      <c r="AI88" s="48">
        <f t="shared" si="35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4"/>
        <v>0</v>
      </c>
      <c r="AI89" s="48">
        <f t="shared" si="35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4"/>
        <v>0</v>
      </c>
      <c r="AI90" s="48">
        <f t="shared" si="35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4"/>
        <v>0</v>
      </c>
      <c r="AI91" s="48">
        <f t="shared" si="35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36">SUMIF(B81:B91,"&gt;0")</f>
        <v>267.39999999999998</v>
      </c>
      <c r="C92" s="60">
        <f t="shared" si="36"/>
        <v>258.89999999999998</v>
      </c>
      <c r="D92" s="60">
        <f t="shared" ref="D92:AB92" si="37">SUMIF(D81:D91,"&gt;0")</f>
        <v>251</v>
      </c>
      <c r="E92" s="60">
        <f t="shared" si="37"/>
        <v>245.5</v>
      </c>
      <c r="F92" s="60">
        <f t="shared" si="37"/>
        <v>265</v>
      </c>
      <c r="G92" s="60">
        <f t="shared" si="37"/>
        <v>315</v>
      </c>
      <c r="H92" s="60">
        <f t="shared" si="37"/>
        <v>370</v>
      </c>
      <c r="I92" s="60">
        <f t="shared" si="37"/>
        <v>472</v>
      </c>
      <c r="J92" s="60">
        <f t="shared" si="37"/>
        <v>480.1</v>
      </c>
      <c r="K92" s="60">
        <f t="shared" si="37"/>
        <v>481.8</v>
      </c>
      <c r="L92" s="60">
        <f t="shared" si="37"/>
        <v>155</v>
      </c>
      <c r="M92" s="60">
        <f t="shared" si="37"/>
        <v>132.69999999999999</v>
      </c>
      <c r="N92" s="60">
        <f t="shared" si="37"/>
        <v>71.5</v>
      </c>
      <c r="O92" s="60">
        <f t="shared" si="37"/>
        <v>172.3</v>
      </c>
      <c r="P92" s="60">
        <f t="shared" si="37"/>
        <v>429.9</v>
      </c>
      <c r="Q92" s="60">
        <f t="shared" si="37"/>
        <v>451</v>
      </c>
      <c r="R92" s="60">
        <f t="shared" si="37"/>
        <v>475.5</v>
      </c>
      <c r="S92" s="60">
        <f t="shared" si="37"/>
        <v>474</v>
      </c>
      <c r="T92" s="60">
        <f t="shared" si="37"/>
        <v>513.1</v>
      </c>
      <c r="U92" s="60">
        <f t="shared" si="37"/>
        <v>540.6</v>
      </c>
      <c r="V92" s="60">
        <f t="shared" si="37"/>
        <v>252.20000000000002</v>
      </c>
      <c r="W92" s="60">
        <f t="shared" si="37"/>
        <v>444.79999999999995</v>
      </c>
      <c r="X92" s="60">
        <f t="shared" si="37"/>
        <v>313.60000000000002</v>
      </c>
      <c r="Y92" s="60">
        <f t="shared" si="37"/>
        <v>304</v>
      </c>
      <c r="Z92" s="60">
        <f t="shared" si="37"/>
        <v>350.20000000000005</v>
      </c>
      <c r="AA92" s="60">
        <f t="shared" si="37"/>
        <v>381.5</v>
      </c>
      <c r="AB92" s="60">
        <f t="shared" si="37"/>
        <v>297</v>
      </c>
      <c r="AC92" s="60">
        <f t="shared" ref="AC92:AD92" si="38">SUMIF(AC81:AC91,"&gt;0")</f>
        <v>366</v>
      </c>
      <c r="AD92" s="60">
        <f t="shared" si="38"/>
        <v>275</v>
      </c>
      <c r="AE92" s="60">
        <f t="shared" ref="AE92:AF92" si="39">SUMIF(AE81:AE91,"&gt;0")</f>
        <v>261</v>
      </c>
      <c r="AF92" s="60">
        <f t="shared" si="39"/>
        <v>267</v>
      </c>
      <c r="AG92" s="88">
        <f>SUM(AG81:AG91)</f>
        <v>0</v>
      </c>
      <c r="AH92" s="47">
        <f t="shared" si="34"/>
        <v>540.6</v>
      </c>
      <c r="AI92" s="48">
        <f t="shared" si="35"/>
        <v>71.5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4"/>
        <v>0</v>
      </c>
      <c r="AI93" s="48">
        <f t="shared" si="35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4"/>
        <v>0</v>
      </c>
      <c r="AI94" s="48">
        <f t="shared" si="35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4"/>
        <v>0</v>
      </c>
      <c r="AI95" s="48">
        <f t="shared" si="35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4"/>
        <v>0</v>
      </c>
      <c r="AI96" s="48">
        <f t="shared" si="35"/>
        <v>0</v>
      </c>
    </row>
    <row r="97" spans="1:37" ht="15.75" thickBot="1" x14ac:dyDescent="0.3">
      <c r="A97" s="74" t="s">
        <v>100</v>
      </c>
      <c r="B97" s="95">
        <f t="shared" ref="B97:C97" si="40">B58+B62+B80+B76+B92+B96</f>
        <v>1014.24</v>
      </c>
      <c r="C97" s="95">
        <f t="shared" si="40"/>
        <v>986.24</v>
      </c>
      <c r="D97" s="95">
        <f t="shared" ref="D97:AG97" si="41">D58+D62+D80+D76+D92+D96</f>
        <v>978.34</v>
      </c>
      <c r="E97" s="95">
        <f t="shared" si="41"/>
        <v>970.6400000000001</v>
      </c>
      <c r="F97" s="95">
        <f t="shared" si="41"/>
        <v>990.1400000000001</v>
      </c>
      <c r="G97" s="95">
        <f t="shared" si="41"/>
        <v>1055.1400000000001</v>
      </c>
      <c r="H97" s="95">
        <f t="shared" si="41"/>
        <v>1106.54</v>
      </c>
      <c r="I97" s="95">
        <f t="shared" si="41"/>
        <v>1254.6399999999999</v>
      </c>
      <c r="J97" s="95">
        <f t="shared" si="41"/>
        <v>1355.2399999999998</v>
      </c>
      <c r="K97" s="95">
        <f t="shared" si="41"/>
        <v>1480.04</v>
      </c>
      <c r="L97" s="95">
        <f t="shared" si="41"/>
        <v>1597.44</v>
      </c>
      <c r="M97" s="95">
        <f t="shared" si="41"/>
        <v>1582.0400000000002</v>
      </c>
      <c r="N97" s="95">
        <f t="shared" si="41"/>
        <v>1566.14</v>
      </c>
      <c r="O97" s="95">
        <f t="shared" si="41"/>
        <v>1502.34</v>
      </c>
      <c r="P97" s="95">
        <f t="shared" si="41"/>
        <v>1458.1399999999999</v>
      </c>
      <c r="Q97" s="95">
        <f t="shared" si="41"/>
        <v>1435.24</v>
      </c>
      <c r="R97" s="95">
        <f t="shared" si="41"/>
        <v>1414.2399999999998</v>
      </c>
      <c r="S97" s="95">
        <f t="shared" si="41"/>
        <v>1378.84</v>
      </c>
      <c r="T97" s="95">
        <f t="shared" si="41"/>
        <v>1388.6399999999999</v>
      </c>
      <c r="U97" s="95">
        <f t="shared" si="41"/>
        <v>1400.54</v>
      </c>
      <c r="V97" s="95">
        <f t="shared" si="41"/>
        <v>1425.54</v>
      </c>
      <c r="W97" s="95">
        <f t="shared" si="41"/>
        <v>1477.34</v>
      </c>
      <c r="X97" s="95">
        <f t="shared" si="41"/>
        <v>1708.1</v>
      </c>
      <c r="Y97" s="95">
        <f t="shared" si="41"/>
        <v>1671.5400000000002</v>
      </c>
      <c r="Z97" s="95">
        <f t="shared" si="41"/>
        <v>1591.7400000000002</v>
      </c>
      <c r="AA97" s="95">
        <f t="shared" si="41"/>
        <v>1545.74</v>
      </c>
      <c r="AB97" s="95">
        <f t="shared" si="41"/>
        <v>1504.6399999999999</v>
      </c>
      <c r="AC97" s="95">
        <f t="shared" ref="AC97:AD97" si="42">AC58+AC62+AC80+AC76+AC92+AC96</f>
        <v>1431.04</v>
      </c>
      <c r="AD97" s="95">
        <f t="shared" si="42"/>
        <v>1325.54</v>
      </c>
      <c r="AE97" s="95">
        <f t="shared" ref="AE97:AF97" si="43">AE58+AE62+AE80+AE76+AE92+AE96</f>
        <v>1189.94</v>
      </c>
      <c r="AF97" s="95">
        <f t="shared" si="43"/>
        <v>1051.04</v>
      </c>
      <c r="AG97" s="61">
        <f t="shared" si="41"/>
        <v>2231.81</v>
      </c>
      <c r="AH97" s="47">
        <f t="shared" si="34"/>
        <v>1708.1</v>
      </c>
      <c r="AI97" s="48">
        <f t="shared" si="35"/>
        <v>970.6400000000001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>
        <v>80</v>
      </c>
      <c r="N98" s="97">
        <v>80</v>
      </c>
      <c r="O98" s="97">
        <v>60</v>
      </c>
      <c r="P98" s="97">
        <v>50</v>
      </c>
      <c r="Q98" s="97">
        <v>0</v>
      </c>
      <c r="R98" s="97"/>
      <c r="S98" s="97"/>
      <c r="T98" s="97"/>
      <c r="U98" s="97"/>
      <c r="V98" s="97"/>
      <c r="W98" s="97">
        <v>80</v>
      </c>
      <c r="X98" s="97">
        <v>80</v>
      </c>
      <c r="Y98" s="97">
        <v>80</v>
      </c>
      <c r="Z98" s="97">
        <v>80</v>
      </c>
      <c r="AA98" s="97">
        <v>80</v>
      </c>
      <c r="AB98" s="97">
        <v>80</v>
      </c>
      <c r="AC98" s="97">
        <v>50</v>
      </c>
      <c r="AD98" s="97">
        <v>0</v>
      </c>
      <c r="AE98" s="97">
        <v>0</v>
      </c>
      <c r="AF98" s="97">
        <v>0</v>
      </c>
      <c r="AG98" s="88"/>
      <c r="AH98" s="47">
        <f t="shared" si="34"/>
        <v>80</v>
      </c>
      <c r="AI98" s="48">
        <f t="shared" si="35"/>
        <v>0</v>
      </c>
    </row>
    <row r="99" spans="1:37" ht="15.75" thickBot="1" x14ac:dyDescent="0.3">
      <c r="A99" s="74" t="s">
        <v>102</v>
      </c>
      <c r="B99" s="95">
        <f t="shared" ref="B99:C99" si="44">B97+B98</f>
        <v>1014.24</v>
      </c>
      <c r="C99" s="95">
        <f t="shared" si="44"/>
        <v>986.24</v>
      </c>
      <c r="D99" s="95">
        <f t="shared" ref="D99:AB99" si="45">D97+D98</f>
        <v>978.34</v>
      </c>
      <c r="E99" s="95">
        <f t="shared" si="45"/>
        <v>970.6400000000001</v>
      </c>
      <c r="F99" s="95">
        <f t="shared" si="45"/>
        <v>990.1400000000001</v>
      </c>
      <c r="G99" s="95">
        <f t="shared" si="45"/>
        <v>1055.1400000000001</v>
      </c>
      <c r="H99" s="95">
        <f t="shared" si="45"/>
        <v>1106.54</v>
      </c>
      <c r="I99" s="95">
        <f t="shared" si="45"/>
        <v>1254.6399999999999</v>
      </c>
      <c r="J99" s="95">
        <f t="shared" si="45"/>
        <v>1355.2399999999998</v>
      </c>
      <c r="K99" s="95">
        <f t="shared" si="45"/>
        <v>1480.04</v>
      </c>
      <c r="L99" s="95">
        <f t="shared" si="45"/>
        <v>1597.44</v>
      </c>
      <c r="M99" s="95">
        <f t="shared" si="45"/>
        <v>1662.0400000000002</v>
      </c>
      <c r="N99" s="95">
        <f t="shared" si="45"/>
        <v>1646.14</v>
      </c>
      <c r="O99" s="95">
        <f t="shared" si="45"/>
        <v>1562.34</v>
      </c>
      <c r="P99" s="95">
        <f t="shared" si="45"/>
        <v>1508.1399999999999</v>
      </c>
      <c r="Q99" s="95">
        <f t="shared" si="45"/>
        <v>1435.24</v>
      </c>
      <c r="R99" s="95">
        <f t="shared" si="45"/>
        <v>1414.2399999999998</v>
      </c>
      <c r="S99" s="95">
        <f t="shared" si="45"/>
        <v>1378.84</v>
      </c>
      <c r="T99" s="95">
        <f t="shared" si="45"/>
        <v>1388.6399999999999</v>
      </c>
      <c r="U99" s="95">
        <f t="shared" si="45"/>
        <v>1400.54</v>
      </c>
      <c r="V99" s="95">
        <f t="shared" si="45"/>
        <v>1425.54</v>
      </c>
      <c r="W99" s="95">
        <f t="shared" si="45"/>
        <v>1557.34</v>
      </c>
      <c r="X99" s="95">
        <f t="shared" si="45"/>
        <v>1788.1</v>
      </c>
      <c r="Y99" s="95">
        <f t="shared" si="45"/>
        <v>1751.5400000000002</v>
      </c>
      <c r="Z99" s="95">
        <f t="shared" si="45"/>
        <v>1671.7400000000002</v>
      </c>
      <c r="AA99" s="95">
        <f t="shared" si="45"/>
        <v>1625.74</v>
      </c>
      <c r="AB99" s="95">
        <f t="shared" si="45"/>
        <v>1584.6399999999999</v>
      </c>
      <c r="AC99" s="95">
        <f t="shared" ref="AC99:AD99" si="46">AC97+AC98</f>
        <v>1481.04</v>
      </c>
      <c r="AD99" s="95">
        <f t="shared" si="46"/>
        <v>1325.54</v>
      </c>
      <c r="AE99" s="95">
        <f t="shared" ref="AE99:AF99" si="47">AE97+AE98</f>
        <v>1189.94</v>
      </c>
      <c r="AF99" s="95">
        <f t="shared" si="47"/>
        <v>1051.04</v>
      </c>
      <c r="AG99" s="88">
        <f>AG96+AG92+AG80+AG76+AG58+AG98</f>
        <v>1693.71</v>
      </c>
      <c r="AH99" s="47">
        <f t="shared" si="34"/>
        <v>1788.1</v>
      </c>
      <c r="AI99" s="48">
        <f t="shared" si="35"/>
        <v>970.6400000000001</v>
      </c>
    </row>
    <row r="100" spans="1:37" ht="15.75" thickBot="1" x14ac:dyDescent="0.3">
      <c r="A100" s="74" t="s">
        <v>103</v>
      </c>
      <c r="B100" s="95">
        <f t="shared" ref="B100:C100" si="48">B99-(B107)</f>
        <v>1011.24</v>
      </c>
      <c r="C100" s="95">
        <f t="shared" si="48"/>
        <v>982.24</v>
      </c>
      <c r="D100" s="95">
        <f t="shared" ref="D100:M100" si="49">D99-(D107)</f>
        <v>978.34</v>
      </c>
      <c r="E100" s="95">
        <f t="shared" si="49"/>
        <v>970.6400000000001</v>
      </c>
      <c r="F100" s="95">
        <f t="shared" si="49"/>
        <v>990.1400000000001</v>
      </c>
      <c r="G100" s="95">
        <f t="shared" si="49"/>
        <v>1055.1400000000001</v>
      </c>
      <c r="H100" s="95">
        <f t="shared" si="49"/>
        <v>1106.54</v>
      </c>
      <c r="I100" s="95">
        <f t="shared" si="49"/>
        <v>1254.6399999999999</v>
      </c>
      <c r="J100" s="95">
        <f t="shared" si="49"/>
        <v>1355.2399999999998</v>
      </c>
      <c r="K100" s="95">
        <f t="shared" si="49"/>
        <v>1480.04</v>
      </c>
      <c r="L100" s="95">
        <f t="shared" si="49"/>
        <v>1597.44</v>
      </c>
      <c r="M100" s="95">
        <f t="shared" si="49"/>
        <v>1662.0400000000002</v>
      </c>
      <c r="N100" s="95">
        <f>N99-(N107)</f>
        <v>1646.14</v>
      </c>
      <c r="O100" s="95">
        <f t="shared" ref="O100:AB100" si="50">O99-(O107)</f>
        <v>1562.34</v>
      </c>
      <c r="P100" s="95">
        <f t="shared" si="50"/>
        <v>1508.1399999999999</v>
      </c>
      <c r="Q100" s="95">
        <f t="shared" si="50"/>
        <v>1435.24</v>
      </c>
      <c r="R100" s="95">
        <f t="shared" si="50"/>
        <v>1414.2399999999998</v>
      </c>
      <c r="S100" s="95">
        <f t="shared" si="50"/>
        <v>1378.84</v>
      </c>
      <c r="T100" s="95">
        <f t="shared" si="50"/>
        <v>1388.6399999999999</v>
      </c>
      <c r="U100" s="95">
        <f t="shared" si="50"/>
        <v>1400.54</v>
      </c>
      <c r="V100" s="95">
        <f t="shared" si="50"/>
        <v>1425.54</v>
      </c>
      <c r="W100" s="95">
        <f t="shared" si="50"/>
        <v>1557.34</v>
      </c>
      <c r="X100" s="95">
        <f t="shared" si="50"/>
        <v>1788.1</v>
      </c>
      <c r="Y100" s="95">
        <f t="shared" si="50"/>
        <v>1751.5400000000002</v>
      </c>
      <c r="Z100" s="95">
        <f t="shared" si="50"/>
        <v>1671.7400000000002</v>
      </c>
      <c r="AA100" s="95">
        <f t="shared" si="50"/>
        <v>1625.74</v>
      </c>
      <c r="AB100" s="95">
        <f t="shared" si="50"/>
        <v>1584.6399999999999</v>
      </c>
      <c r="AC100" s="95">
        <f t="shared" ref="AC100:AD100" si="51">AC99-(AC107)</f>
        <v>1481.04</v>
      </c>
      <c r="AD100" s="95">
        <f t="shared" si="51"/>
        <v>1325.54</v>
      </c>
      <c r="AE100" s="95">
        <f t="shared" ref="AE100:AF100" si="52">AE99-(AE107)</f>
        <v>1189.94</v>
      </c>
      <c r="AF100" s="95">
        <f t="shared" si="52"/>
        <v>1050.04</v>
      </c>
      <c r="AG100" s="88"/>
      <c r="AH100" s="47">
        <f t="shared" si="34"/>
        <v>1788.1</v>
      </c>
      <c r="AI100" s="48">
        <f t="shared" si="35"/>
        <v>970.6400000000001</v>
      </c>
    </row>
    <row r="101" spans="1:37" x14ac:dyDescent="0.25">
      <c r="A101" s="44" t="s">
        <v>84</v>
      </c>
      <c r="B101" s="76">
        <f t="shared" ref="B101:C101" si="53">IF(B84&lt;0,B84*-1,0)</f>
        <v>0</v>
      </c>
      <c r="C101" s="76">
        <f t="shared" si="53"/>
        <v>0</v>
      </c>
      <c r="D101" s="76">
        <f t="shared" ref="D101:AB101" si="54">IF(D84&lt;0,D84*-1,0)</f>
        <v>0</v>
      </c>
      <c r="E101" s="76">
        <f t="shared" si="54"/>
        <v>0</v>
      </c>
      <c r="F101" s="76">
        <f t="shared" si="54"/>
        <v>0</v>
      </c>
      <c r="G101" s="76">
        <f t="shared" si="54"/>
        <v>0</v>
      </c>
      <c r="H101" s="76">
        <f t="shared" si="54"/>
        <v>0</v>
      </c>
      <c r="I101" s="76">
        <f t="shared" si="54"/>
        <v>0</v>
      </c>
      <c r="J101" s="76">
        <f t="shared" si="54"/>
        <v>0</v>
      </c>
      <c r="K101" s="76">
        <f t="shared" si="54"/>
        <v>0</v>
      </c>
      <c r="L101" s="76">
        <f t="shared" si="54"/>
        <v>0</v>
      </c>
      <c r="M101" s="76">
        <f t="shared" si="54"/>
        <v>0</v>
      </c>
      <c r="N101" s="76">
        <f t="shared" si="54"/>
        <v>0</v>
      </c>
      <c r="O101" s="76">
        <f t="shared" si="54"/>
        <v>0</v>
      </c>
      <c r="P101" s="76">
        <f t="shared" si="54"/>
        <v>0</v>
      </c>
      <c r="Q101" s="76">
        <f t="shared" si="54"/>
        <v>0</v>
      </c>
      <c r="R101" s="76">
        <f t="shared" si="54"/>
        <v>0</v>
      </c>
      <c r="S101" s="76">
        <f t="shared" si="54"/>
        <v>0</v>
      </c>
      <c r="T101" s="76">
        <f t="shared" si="54"/>
        <v>0</v>
      </c>
      <c r="U101" s="76">
        <f t="shared" si="54"/>
        <v>0</v>
      </c>
      <c r="V101" s="76">
        <f t="shared" si="54"/>
        <v>0</v>
      </c>
      <c r="W101" s="76">
        <f t="shared" si="54"/>
        <v>0</v>
      </c>
      <c r="X101" s="76">
        <f t="shared" si="54"/>
        <v>0</v>
      </c>
      <c r="Y101" s="76">
        <f t="shared" si="54"/>
        <v>0</v>
      </c>
      <c r="Z101" s="76">
        <f t="shared" si="54"/>
        <v>0</v>
      </c>
      <c r="AA101" s="76">
        <f t="shared" si="54"/>
        <v>0</v>
      </c>
      <c r="AB101" s="76">
        <f t="shared" si="54"/>
        <v>0</v>
      </c>
      <c r="AC101" s="76">
        <f t="shared" ref="AC101:AD101" si="55">IF(AC84&lt;0,AC84*-1,0)</f>
        <v>0</v>
      </c>
      <c r="AD101" s="76">
        <f t="shared" si="55"/>
        <v>0</v>
      </c>
      <c r="AE101" s="76">
        <f t="shared" ref="AE101:AF101" si="56">IF(AE84&lt;0,AE84*-1,0)</f>
        <v>0</v>
      </c>
      <c r="AF101" s="76">
        <f t="shared" si="56"/>
        <v>0</v>
      </c>
      <c r="AG101" s="52"/>
      <c r="AH101" s="47">
        <f t="shared" si="34"/>
        <v>0</v>
      </c>
      <c r="AI101" s="48">
        <f t="shared" si="35"/>
        <v>0</v>
      </c>
    </row>
    <row r="102" spans="1:37" x14ac:dyDescent="0.25">
      <c r="A102" s="54" t="s">
        <v>82</v>
      </c>
      <c r="B102" s="76">
        <f t="shared" ref="B102:C102" si="57">IF(B82&lt;0,B82*-1,0)</f>
        <v>0</v>
      </c>
      <c r="C102" s="76">
        <f t="shared" si="57"/>
        <v>0</v>
      </c>
      <c r="D102" s="76">
        <f t="shared" ref="D102:AB102" si="58">IF(D82&lt;0,D82*-1,0)</f>
        <v>0</v>
      </c>
      <c r="E102" s="76">
        <f t="shared" si="58"/>
        <v>0</v>
      </c>
      <c r="F102" s="76">
        <f t="shared" si="58"/>
        <v>0</v>
      </c>
      <c r="G102" s="76">
        <f t="shared" si="58"/>
        <v>0</v>
      </c>
      <c r="H102" s="76">
        <f t="shared" si="58"/>
        <v>0</v>
      </c>
      <c r="I102" s="76">
        <f t="shared" si="58"/>
        <v>0</v>
      </c>
      <c r="J102" s="76">
        <f t="shared" si="58"/>
        <v>0</v>
      </c>
      <c r="K102" s="76">
        <f t="shared" si="58"/>
        <v>0</v>
      </c>
      <c r="L102" s="76">
        <f t="shared" si="58"/>
        <v>0</v>
      </c>
      <c r="M102" s="76">
        <f t="shared" si="58"/>
        <v>0</v>
      </c>
      <c r="N102" s="76">
        <f t="shared" si="58"/>
        <v>0</v>
      </c>
      <c r="O102" s="76">
        <f t="shared" si="58"/>
        <v>0</v>
      </c>
      <c r="P102" s="76">
        <f t="shared" si="58"/>
        <v>0</v>
      </c>
      <c r="Q102" s="76">
        <f t="shared" si="58"/>
        <v>0</v>
      </c>
      <c r="R102" s="76">
        <f t="shared" si="58"/>
        <v>0</v>
      </c>
      <c r="S102" s="76">
        <f t="shared" si="58"/>
        <v>0</v>
      </c>
      <c r="T102" s="76">
        <f t="shared" si="58"/>
        <v>0</v>
      </c>
      <c r="U102" s="76">
        <f t="shared" si="58"/>
        <v>0</v>
      </c>
      <c r="V102" s="76">
        <f t="shared" si="58"/>
        <v>0</v>
      </c>
      <c r="W102" s="76">
        <f t="shared" si="58"/>
        <v>0</v>
      </c>
      <c r="X102" s="76">
        <f t="shared" si="58"/>
        <v>0</v>
      </c>
      <c r="Y102" s="76">
        <f t="shared" si="58"/>
        <v>0</v>
      </c>
      <c r="Z102" s="76">
        <f t="shared" si="58"/>
        <v>0</v>
      </c>
      <c r="AA102" s="76">
        <f t="shared" si="58"/>
        <v>0</v>
      </c>
      <c r="AB102" s="76">
        <f t="shared" si="58"/>
        <v>0</v>
      </c>
      <c r="AC102" s="76">
        <f t="shared" ref="AC102:AD102" si="59">IF(AC82&lt;0,AC82*-1,0)</f>
        <v>0</v>
      </c>
      <c r="AD102" s="76">
        <f t="shared" si="59"/>
        <v>0</v>
      </c>
      <c r="AE102" s="76">
        <f t="shared" ref="AE102:AF102" si="60">IF(AE82&lt;0,AE82*-1,0)</f>
        <v>0</v>
      </c>
      <c r="AF102" s="76">
        <f t="shared" si="60"/>
        <v>0</v>
      </c>
      <c r="AG102" s="55"/>
      <c r="AH102" s="47">
        <f t="shared" si="34"/>
        <v>0</v>
      </c>
      <c r="AI102" s="48">
        <f t="shared" si="35"/>
        <v>0</v>
      </c>
    </row>
    <row r="103" spans="1:37" x14ac:dyDescent="0.25">
      <c r="A103" s="84" t="s">
        <v>104</v>
      </c>
      <c r="B103" s="76">
        <f t="shared" ref="B103:C103" si="61">IF(B85&lt;0,B85*-1,0)</f>
        <v>0</v>
      </c>
      <c r="C103" s="76">
        <f t="shared" si="61"/>
        <v>0</v>
      </c>
      <c r="D103" s="76">
        <f t="shared" ref="D103:AB103" si="62">IF(D85&lt;0,D85*-1,0)</f>
        <v>0</v>
      </c>
      <c r="E103" s="76">
        <f t="shared" si="62"/>
        <v>0</v>
      </c>
      <c r="F103" s="76">
        <f t="shared" si="62"/>
        <v>0</v>
      </c>
      <c r="G103" s="76">
        <f t="shared" si="62"/>
        <v>0</v>
      </c>
      <c r="H103" s="76">
        <f t="shared" si="62"/>
        <v>0</v>
      </c>
      <c r="I103" s="76">
        <f t="shared" si="62"/>
        <v>0</v>
      </c>
      <c r="J103" s="76">
        <f t="shared" si="62"/>
        <v>0</v>
      </c>
      <c r="K103" s="76">
        <f t="shared" si="62"/>
        <v>0</v>
      </c>
      <c r="L103" s="76">
        <f t="shared" si="62"/>
        <v>0</v>
      </c>
      <c r="M103" s="76">
        <f t="shared" si="62"/>
        <v>0</v>
      </c>
      <c r="N103" s="76">
        <f t="shared" si="62"/>
        <v>0</v>
      </c>
      <c r="O103" s="76">
        <f t="shared" si="62"/>
        <v>0</v>
      </c>
      <c r="P103" s="76">
        <f t="shared" si="62"/>
        <v>0</v>
      </c>
      <c r="Q103" s="76">
        <f t="shared" si="62"/>
        <v>0</v>
      </c>
      <c r="R103" s="76">
        <f t="shared" si="62"/>
        <v>0</v>
      </c>
      <c r="S103" s="76">
        <f t="shared" si="62"/>
        <v>0</v>
      </c>
      <c r="T103" s="76">
        <f t="shared" si="62"/>
        <v>0</v>
      </c>
      <c r="U103" s="76">
        <f t="shared" si="62"/>
        <v>0</v>
      </c>
      <c r="V103" s="76">
        <f t="shared" si="62"/>
        <v>0</v>
      </c>
      <c r="W103" s="76">
        <f t="shared" si="62"/>
        <v>0</v>
      </c>
      <c r="X103" s="76">
        <f t="shared" si="62"/>
        <v>0</v>
      </c>
      <c r="Y103" s="76">
        <f t="shared" si="62"/>
        <v>0</v>
      </c>
      <c r="Z103" s="76">
        <f t="shared" si="62"/>
        <v>0</v>
      </c>
      <c r="AA103" s="76">
        <f t="shared" si="62"/>
        <v>0</v>
      </c>
      <c r="AB103" s="76">
        <f t="shared" si="62"/>
        <v>0</v>
      </c>
      <c r="AC103" s="76">
        <f t="shared" ref="AC103:AD103" si="63">IF(AC85&lt;0,AC85*-1,0)</f>
        <v>0</v>
      </c>
      <c r="AD103" s="76">
        <f t="shared" si="63"/>
        <v>0</v>
      </c>
      <c r="AE103" s="76">
        <f t="shared" ref="AE103:AF103" si="64">IF(AE85&lt;0,AE85*-1,0)</f>
        <v>0</v>
      </c>
      <c r="AF103" s="76">
        <f t="shared" si="64"/>
        <v>0</v>
      </c>
      <c r="AG103" s="98"/>
      <c r="AH103" s="47">
        <f t="shared" si="34"/>
        <v>0</v>
      </c>
      <c r="AI103" s="48">
        <f t="shared" si="35"/>
        <v>0</v>
      </c>
    </row>
    <row r="104" spans="1:37" x14ac:dyDescent="0.25">
      <c r="A104" s="84" t="s">
        <v>105</v>
      </c>
      <c r="B104" s="76">
        <f t="shared" ref="B104:C104" si="65">IF(B83&lt;0,B83*-1,0)</f>
        <v>0</v>
      </c>
      <c r="C104" s="76">
        <f t="shared" si="65"/>
        <v>0</v>
      </c>
      <c r="D104" s="76">
        <f t="shared" ref="D104:AB104" si="66">IF(D83&lt;0,D83*-1,0)</f>
        <v>0</v>
      </c>
      <c r="E104" s="76">
        <f t="shared" si="66"/>
        <v>0</v>
      </c>
      <c r="F104" s="76">
        <f t="shared" si="66"/>
        <v>0</v>
      </c>
      <c r="G104" s="76">
        <f t="shared" si="66"/>
        <v>0</v>
      </c>
      <c r="H104" s="76">
        <f t="shared" si="66"/>
        <v>0</v>
      </c>
      <c r="I104" s="76">
        <f t="shared" si="66"/>
        <v>0</v>
      </c>
      <c r="J104" s="76">
        <f t="shared" si="66"/>
        <v>0</v>
      </c>
      <c r="K104" s="76">
        <f t="shared" si="66"/>
        <v>0</v>
      </c>
      <c r="L104" s="76">
        <f t="shared" si="66"/>
        <v>0</v>
      </c>
      <c r="M104" s="76">
        <f t="shared" si="66"/>
        <v>0</v>
      </c>
      <c r="N104" s="76">
        <f t="shared" si="66"/>
        <v>0</v>
      </c>
      <c r="O104" s="76">
        <f t="shared" si="66"/>
        <v>0</v>
      </c>
      <c r="P104" s="76">
        <f t="shared" si="66"/>
        <v>0</v>
      </c>
      <c r="Q104" s="76">
        <f t="shared" si="66"/>
        <v>0</v>
      </c>
      <c r="R104" s="76">
        <f t="shared" si="66"/>
        <v>0</v>
      </c>
      <c r="S104" s="76">
        <f t="shared" si="66"/>
        <v>0</v>
      </c>
      <c r="T104" s="76">
        <f t="shared" si="66"/>
        <v>0</v>
      </c>
      <c r="U104" s="76">
        <f t="shared" si="66"/>
        <v>0</v>
      </c>
      <c r="V104" s="76">
        <f t="shared" si="66"/>
        <v>0</v>
      </c>
      <c r="W104" s="76">
        <f t="shared" si="66"/>
        <v>0</v>
      </c>
      <c r="X104" s="76">
        <f t="shared" si="66"/>
        <v>0</v>
      </c>
      <c r="Y104" s="76">
        <f t="shared" si="66"/>
        <v>0</v>
      </c>
      <c r="Z104" s="76">
        <f t="shared" si="66"/>
        <v>0</v>
      </c>
      <c r="AA104" s="76">
        <f t="shared" si="66"/>
        <v>0</v>
      </c>
      <c r="AB104" s="76">
        <f t="shared" si="66"/>
        <v>0</v>
      </c>
      <c r="AC104" s="76">
        <f t="shared" ref="AC104:AD104" si="67">IF(AC83&lt;0,AC83*-1,0)</f>
        <v>0</v>
      </c>
      <c r="AD104" s="76">
        <f t="shared" si="67"/>
        <v>0</v>
      </c>
      <c r="AE104" s="76">
        <f t="shared" ref="AE104:AF104" si="68">IF(AE83&lt;0,AE83*-1,0)</f>
        <v>0</v>
      </c>
      <c r="AF104" s="76">
        <f t="shared" si="68"/>
        <v>0</v>
      </c>
      <c r="AG104" s="98"/>
      <c r="AH104" s="47">
        <f t="shared" si="34"/>
        <v>0</v>
      </c>
      <c r="AI104" s="48">
        <f t="shared" si="35"/>
        <v>0</v>
      </c>
    </row>
    <row r="105" spans="1:37" x14ac:dyDescent="0.25">
      <c r="A105" s="84" t="s">
        <v>81</v>
      </c>
      <c r="B105" s="76">
        <f t="shared" ref="B105:C105" si="69">IF(B81&lt;0,B81*-1,0)</f>
        <v>0</v>
      </c>
      <c r="C105" s="76">
        <f t="shared" si="69"/>
        <v>0</v>
      </c>
      <c r="D105" s="76">
        <f t="shared" ref="D105:AB105" si="70">IF(D81&lt;0,D81*-1,0)</f>
        <v>0</v>
      </c>
      <c r="E105" s="76">
        <f t="shared" si="70"/>
        <v>0</v>
      </c>
      <c r="F105" s="76">
        <f t="shared" si="70"/>
        <v>0</v>
      </c>
      <c r="G105" s="76">
        <f t="shared" si="70"/>
        <v>0</v>
      </c>
      <c r="H105" s="76">
        <f t="shared" si="70"/>
        <v>0</v>
      </c>
      <c r="I105" s="76">
        <f t="shared" si="70"/>
        <v>0</v>
      </c>
      <c r="J105" s="76">
        <f t="shared" si="70"/>
        <v>0</v>
      </c>
      <c r="K105" s="76">
        <f t="shared" si="70"/>
        <v>0</v>
      </c>
      <c r="L105" s="76">
        <f t="shared" si="70"/>
        <v>0</v>
      </c>
      <c r="M105" s="76">
        <f t="shared" si="70"/>
        <v>0</v>
      </c>
      <c r="N105" s="76">
        <f t="shared" si="70"/>
        <v>0</v>
      </c>
      <c r="O105" s="76">
        <f t="shared" si="70"/>
        <v>0</v>
      </c>
      <c r="P105" s="76">
        <f t="shared" si="70"/>
        <v>0</v>
      </c>
      <c r="Q105" s="76">
        <f t="shared" si="70"/>
        <v>0</v>
      </c>
      <c r="R105" s="76">
        <f t="shared" si="70"/>
        <v>0</v>
      </c>
      <c r="S105" s="76">
        <f t="shared" si="70"/>
        <v>0</v>
      </c>
      <c r="T105" s="76">
        <f t="shared" si="70"/>
        <v>0</v>
      </c>
      <c r="U105" s="76">
        <f t="shared" si="70"/>
        <v>0</v>
      </c>
      <c r="V105" s="76">
        <f t="shared" si="70"/>
        <v>0</v>
      </c>
      <c r="W105" s="76">
        <f t="shared" si="70"/>
        <v>0</v>
      </c>
      <c r="X105" s="76">
        <f t="shared" si="70"/>
        <v>0</v>
      </c>
      <c r="Y105" s="76">
        <f t="shared" si="70"/>
        <v>0</v>
      </c>
      <c r="Z105" s="76">
        <f t="shared" si="70"/>
        <v>0</v>
      </c>
      <c r="AA105" s="76">
        <f t="shared" si="70"/>
        <v>0</v>
      </c>
      <c r="AB105" s="76">
        <f t="shared" si="70"/>
        <v>0</v>
      </c>
      <c r="AC105" s="76">
        <f t="shared" ref="AC105:AD105" si="71">IF(AC81&lt;0,AC81*-1,0)</f>
        <v>0</v>
      </c>
      <c r="AD105" s="76">
        <f t="shared" si="71"/>
        <v>0</v>
      </c>
      <c r="AE105" s="76">
        <f t="shared" ref="AE105:AF105" si="72">IF(AE81&lt;0,AE81*-1,0)</f>
        <v>0</v>
      </c>
      <c r="AF105" s="76">
        <f t="shared" si="72"/>
        <v>0</v>
      </c>
      <c r="AG105" s="98"/>
      <c r="AH105" s="47">
        <f t="shared" si="34"/>
        <v>0</v>
      </c>
      <c r="AI105" s="48">
        <f t="shared" si="35"/>
        <v>0</v>
      </c>
    </row>
    <row r="106" spans="1:37" ht="15.75" thickBot="1" x14ac:dyDescent="0.3">
      <c r="A106" s="84" t="s">
        <v>106</v>
      </c>
      <c r="B106" s="94">
        <v>3</v>
      </c>
      <c r="C106" s="94">
        <v>4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1</v>
      </c>
      <c r="AG106" s="85"/>
      <c r="AH106" s="47">
        <f t="shared" si="34"/>
        <v>4</v>
      </c>
      <c r="AI106" s="48">
        <f t="shared" si="35"/>
        <v>0</v>
      </c>
    </row>
    <row r="107" spans="1:37" ht="15.75" thickBot="1" x14ac:dyDescent="0.3">
      <c r="A107" s="99" t="s">
        <v>107</v>
      </c>
      <c r="B107" s="60">
        <f t="shared" ref="B107:C107" si="73">SUM(B101:B106)</f>
        <v>3</v>
      </c>
      <c r="C107" s="60">
        <f t="shared" si="73"/>
        <v>4</v>
      </c>
      <c r="D107" s="60">
        <f t="shared" ref="D107:AB107" si="74">SUM(D101:D106)</f>
        <v>0</v>
      </c>
      <c r="E107" s="60">
        <f t="shared" si="74"/>
        <v>0</v>
      </c>
      <c r="F107" s="60">
        <f t="shared" si="74"/>
        <v>0</v>
      </c>
      <c r="G107" s="60">
        <f t="shared" si="74"/>
        <v>0</v>
      </c>
      <c r="H107" s="60">
        <f t="shared" si="74"/>
        <v>0</v>
      </c>
      <c r="I107" s="60">
        <f t="shared" si="74"/>
        <v>0</v>
      </c>
      <c r="J107" s="60">
        <f t="shared" si="74"/>
        <v>0</v>
      </c>
      <c r="K107" s="60">
        <f t="shared" si="74"/>
        <v>0</v>
      </c>
      <c r="L107" s="60">
        <f t="shared" si="74"/>
        <v>0</v>
      </c>
      <c r="M107" s="60">
        <f t="shared" si="74"/>
        <v>0</v>
      </c>
      <c r="N107" s="60">
        <f t="shared" si="74"/>
        <v>0</v>
      </c>
      <c r="O107" s="60">
        <f t="shared" si="74"/>
        <v>0</v>
      </c>
      <c r="P107" s="60">
        <f t="shared" si="74"/>
        <v>0</v>
      </c>
      <c r="Q107" s="60">
        <f t="shared" si="74"/>
        <v>0</v>
      </c>
      <c r="R107" s="60">
        <f t="shared" si="74"/>
        <v>0</v>
      </c>
      <c r="S107" s="60">
        <f t="shared" si="74"/>
        <v>0</v>
      </c>
      <c r="T107" s="60">
        <f t="shared" si="74"/>
        <v>0</v>
      </c>
      <c r="U107" s="60">
        <f t="shared" si="74"/>
        <v>0</v>
      </c>
      <c r="V107" s="60">
        <f t="shared" si="74"/>
        <v>0</v>
      </c>
      <c r="W107" s="60">
        <f t="shared" si="74"/>
        <v>0</v>
      </c>
      <c r="X107" s="60">
        <f t="shared" si="74"/>
        <v>0</v>
      </c>
      <c r="Y107" s="60">
        <f t="shared" si="74"/>
        <v>0</v>
      </c>
      <c r="Z107" s="60">
        <f t="shared" si="74"/>
        <v>0</v>
      </c>
      <c r="AA107" s="60">
        <f t="shared" si="74"/>
        <v>0</v>
      </c>
      <c r="AB107" s="60">
        <f t="shared" si="74"/>
        <v>0</v>
      </c>
      <c r="AC107" s="60">
        <f t="shared" ref="AC107:AD107" si="75">SUM(AC101:AC106)</f>
        <v>0</v>
      </c>
      <c r="AD107" s="60">
        <f t="shared" si="75"/>
        <v>0</v>
      </c>
      <c r="AE107" s="60">
        <f t="shared" ref="AE107:AF107" si="76">SUM(AE101:AE106)</f>
        <v>0</v>
      </c>
      <c r="AF107" s="60">
        <f t="shared" si="76"/>
        <v>1</v>
      </c>
      <c r="AG107" s="88"/>
      <c r="AH107" s="47">
        <f t="shared" si="34"/>
        <v>4</v>
      </c>
      <c r="AI107" s="48">
        <f t="shared" si="35"/>
        <v>0</v>
      </c>
      <c r="AK107" s="50"/>
    </row>
    <row r="108" spans="1:37" ht="15.75" thickBot="1" x14ac:dyDescent="0.3">
      <c r="A108" s="74" t="s">
        <v>108</v>
      </c>
      <c r="B108" s="60">
        <f t="shared" ref="B108:C108" si="77">B92-B107</f>
        <v>264.39999999999998</v>
      </c>
      <c r="C108" s="60">
        <f t="shared" si="77"/>
        <v>254.89999999999998</v>
      </c>
      <c r="D108" s="60">
        <f t="shared" ref="D108:AB108" si="78">D92-D107</f>
        <v>251</v>
      </c>
      <c r="E108" s="60">
        <f t="shared" si="78"/>
        <v>245.5</v>
      </c>
      <c r="F108" s="60">
        <f t="shared" si="78"/>
        <v>265</v>
      </c>
      <c r="G108" s="60">
        <f t="shared" si="78"/>
        <v>315</v>
      </c>
      <c r="H108" s="60">
        <f t="shared" si="78"/>
        <v>370</v>
      </c>
      <c r="I108" s="60">
        <f t="shared" si="78"/>
        <v>472</v>
      </c>
      <c r="J108" s="60">
        <f t="shared" si="78"/>
        <v>480.1</v>
      </c>
      <c r="K108" s="60">
        <f t="shared" si="78"/>
        <v>481.8</v>
      </c>
      <c r="L108" s="60">
        <f t="shared" si="78"/>
        <v>155</v>
      </c>
      <c r="M108" s="60">
        <f t="shared" si="78"/>
        <v>132.69999999999999</v>
      </c>
      <c r="N108" s="60">
        <f t="shared" si="78"/>
        <v>71.5</v>
      </c>
      <c r="O108" s="60">
        <f t="shared" si="78"/>
        <v>172.3</v>
      </c>
      <c r="P108" s="60">
        <f t="shared" si="78"/>
        <v>429.9</v>
      </c>
      <c r="Q108" s="60">
        <f t="shared" si="78"/>
        <v>451</v>
      </c>
      <c r="R108" s="60">
        <f t="shared" si="78"/>
        <v>475.5</v>
      </c>
      <c r="S108" s="60">
        <f t="shared" si="78"/>
        <v>474</v>
      </c>
      <c r="T108" s="60">
        <f t="shared" si="78"/>
        <v>513.1</v>
      </c>
      <c r="U108" s="60">
        <f t="shared" si="78"/>
        <v>540.6</v>
      </c>
      <c r="V108" s="60">
        <f t="shared" si="78"/>
        <v>252.20000000000002</v>
      </c>
      <c r="W108" s="60">
        <f t="shared" si="78"/>
        <v>444.79999999999995</v>
      </c>
      <c r="X108" s="60">
        <f t="shared" si="78"/>
        <v>313.60000000000002</v>
      </c>
      <c r="Y108" s="60">
        <f t="shared" si="78"/>
        <v>304</v>
      </c>
      <c r="Z108" s="60">
        <f t="shared" si="78"/>
        <v>350.20000000000005</v>
      </c>
      <c r="AA108" s="60">
        <f t="shared" si="78"/>
        <v>381.5</v>
      </c>
      <c r="AB108" s="60">
        <f t="shared" si="78"/>
        <v>297</v>
      </c>
      <c r="AC108" s="60">
        <f t="shared" ref="AC108:AD108" si="79">AC92-AC107</f>
        <v>366</v>
      </c>
      <c r="AD108" s="60">
        <f t="shared" si="79"/>
        <v>275</v>
      </c>
      <c r="AE108" s="60">
        <f t="shared" ref="AE108:AF108" si="80">AE92-AE107</f>
        <v>261</v>
      </c>
      <c r="AF108" s="60">
        <f t="shared" si="80"/>
        <v>266</v>
      </c>
      <c r="AG108" s="88"/>
      <c r="AH108" s="47">
        <f t="shared" si="34"/>
        <v>540.6</v>
      </c>
      <c r="AI108" s="48">
        <f t="shared" si="35"/>
        <v>71.5</v>
      </c>
    </row>
    <row r="109" spans="1:37" x14ac:dyDescent="0.25">
      <c r="A109" s="100" t="s">
        <v>109</v>
      </c>
      <c r="B109" s="101">
        <v>50.08</v>
      </c>
      <c r="C109" s="101">
        <v>49.97</v>
      </c>
      <c r="D109" s="101">
        <v>49.95</v>
      </c>
      <c r="E109" s="101">
        <v>49.98</v>
      </c>
      <c r="F109" s="101">
        <v>49.98</v>
      </c>
      <c r="G109" s="101">
        <v>50.018000000000001</v>
      </c>
      <c r="H109" s="101">
        <v>49.978000000000002</v>
      </c>
      <c r="I109" s="101">
        <v>50.045000000000002</v>
      </c>
      <c r="J109" s="101">
        <v>50.058999999999997</v>
      </c>
      <c r="K109" s="101">
        <v>50.113</v>
      </c>
      <c r="L109" s="101">
        <v>50.01</v>
      </c>
      <c r="M109" s="101">
        <v>50.02</v>
      </c>
      <c r="N109" s="101">
        <v>50.09</v>
      </c>
      <c r="O109" s="101">
        <v>50.040999999999997</v>
      </c>
      <c r="P109" s="101">
        <v>50.072000000000003</v>
      </c>
      <c r="Q109" s="101">
        <v>50.05</v>
      </c>
      <c r="R109" s="101">
        <v>49.930999999999997</v>
      </c>
      <c r="S109" s="101">
        <v>50.027999999999999</v>
      </c>
      <c r="T109" s="101">
        <v>50.026000000000003</v>
      </c>
      <c r="U109" s="101">
        <v>50.027999999999999</v>
      </c>
      <c r="V109" s="101">
        <v>50.011000000000003</v>
      </c>
      <c r="W109" s="101">
        <v>49.970999999999997</v>
      </c>
      <c r="X109" s="101">
        <v>50.01</v>
      </c>
      <c r="Y109" s="101">
        <v>49.984000000000002</v>
      </c>
      <c r="Z109" s="101">
        <v>49.984000000000002</v>
      </c>
      <c r="AA109" s="101">
        <v>49.984000000000002</v>
      </c>
      <c r="AB109" s="101">
        <v>49.975999999999999</v>
      </c>
      <c r="AC109" s="101">
        <v>50.02</v>
      </c>
      <c r="AD109" s="101">
        <v>49.927</v>
      </c>
      <c r="AE109" s="101">
        <v>50.06</v>
      </c>
      <c r="AF109" s="101">
        <v>50.01</v>
      </c>
      <c r="AG109" s="102"/>
      <c r="AH109" s="47">
        <f t="shared" si="34"/>
        <v>50.113</v>
      </c>
      <c r="AI109" s="48">
        <f t="shared" si="35"/>
        <v>49.927</v>
      </c>
    </row>
    <row r="110" spans="1:37" x14ac:dyDescent="0.25">
      <c r="A110" s="103" t="s">
        <v>110</v>
      </c>
      <c r="B110" s="65">
        <v>132.4</v>
      </c>
      <c r="C110" s="65">
        <v>132.4</v>
      </c>
      <c r="D110" s="65">
        <v>133.1</v>
      </c>
      <c r="E110" s="65">
        <v>132.69999999999999</v>
      </c>
      <c r="F110" s="65">
        <v>132.69999999999999</v>
      </c>
      <c r="G110" s="65">
        <v>131</v>
      </c>
      <c r="H110" s="65">
        <v>129.5</v>
      </c>
      <c r="I110" s="65">
        <v>127.1</v>
      </c>
      <c r="J110" s="65">
        <v>126.4</v>
      </c>
      <c r="K110" s="65">
        <v>125.9</v>
      </c>
      <c r="L110" s="65">
        <v>124.4</v>
      </c>
      <c r="M110" s="65">
        <v>123.8</v>
      </c>
      <c r="N110" s="65">
        <v>124.5</v>
      </c>
      <c r="O110" s="65">
        <v>128.1</v>
      </c>
      <c r="P110" s="65">
        <v>126.4</v>
      </c>
      <c r="Q110" s="65">
        <v>126.1</v>
      </c>
      <c r="R110" s="65">
        <v>126.7</v>
      </c>
      <c r="S110" s="65">
        <v>126.5</v>
      </c>
      <c r="T110" s="65">
        <v>125.1</v>
      </c>
      <c r="U110" s="65">
        <v>125</v>
      </c>
      <c r="V110" s="65">
        <v>130.19999999999999</v>
      </c>
      <c r="W110" s="65">
        <v>128.5</v>
      </c>
      <c r="X110" s="65">
        <v>127.1</v>
      </c>
      <c r="Y110" s="65">
        <v>129.1</v>
      </c>
      <c r="Z110" s="65">
        <v>129.1</v>
      </c>
      <c r="AA110" s="65">
        <v>128.19999999999999</v>
      </c>
      <c r="AB110" s="65">
        <v>130.30000000000001</v>
      </c>
      <c r="AC110" s="65">
        <v>131</v>
      </c>
      <c r="AD110" s="65">
        <v>130</v>
      </c>
      <c r="AE110" s="65">
        <v>130</v>
      </c>
      <c r="AF110" s="65">
        <v>132</v>
      </c>
      <c r="AG110" s="104"/>
      <c r="AH110" s="47">
        <f t="shared" si="34"/>
        <v>133.1</v>
      </c>
      <c r="AI110" s="48">
        <f t="shared" si="35"/>
        <v>123.8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4"/>
        <v>0</v>
      </c>
      <c r="AI111" s="48">
        <f t="shared" si="35"/>
        <v>0</v>
      </c>
    </row>
    <row r="112" spans="1:37" x14ac:dyDescent="0.25">
      <c r="A112" s="103" t="s">
        <v>112</v>
      </c>
      <c r="B112" s="65">
        <v>130.9</v>
      </c>
      <c r="C112" s="65">
        <v>131.69999999999999</v>
      </c>
      <c r="D112" s="65">
        <v>130.19999999999999</v>
      </c>
      <c r="E112" s="65">
        <v>130.6</v>
      </c>
      <c r="F112" s="65">
        <v>130.6</v>
      </c>
      <c r="G112" s="65">
        <v>129.19999999999999</v>
      </c>
      <c r="H112" s="65">
        <v>130.30000000000001</v>
      </c>
      <c r="I112" s="65">
        <v>128</v>
      </c>
      <c r="J112" s="65">
        <v>127</v>
      </c>
      <c r="K112" s="65">
        <v>125</v>
      </c>
      <c r="L112" s="65">
        <v>125.8</v>
      </c>
      <c r="M112" s="65">
        <v>126.4</v>
      </c>
      <c r="N112" s="65">
        <v>128.6</v>
      </c>
      <c r="O112" s="65">
        <v>130.9</v>
      </c>
      <c r="P112" s="65">
        <v>129</v>
      </c>
      <c r="Q112" s="65">
        <v>131</v>
      </c>
      <c r="R112" s="65">
        <v>130</v>
      </c>
      <c r="S112" s="65">
        <v>129</v>
      </c>
      <c r="T112" s="65">
        <v>128</v>
      </c>
      <c r="U112" s="65">
        <v>127.8</v>
      </c>
      <c r="V112" s="65">
        <v>129.19999999999999</v>
      </c>
      <c r="W112" s="65">
        <v>128.4</v>
      </c>
      <c r="X112" s="65">
        <v>128.69999999999999</v>
      </c>
      <c r="Y112" s="65">
        <v>128.69999999999999</v>
      </c>
      <c r="Z112" s="65">
        <v>132</v>
      </c>
      <c r="AA112" s="65">
        <v>130.9</v>
      </c>
      <c r="AB112" s="65">
        <v>132.1</v>
      </c>
      <c r="AC112" s="65">
        <v>131</v>
      </c>
      <c r="AD112" s="65">
        <v>131</v>
      </c>
      <c r="AE112" s="65">
        <v>131</v>
      </c>
      <c r="AF112" s="65">
        <v>129</v>
      </c>
      <c r="AG112" s="104"/>
      <c r="AH112" s="47">
        <f t="shared" si="34"/>
        <v>132.1</v>
      </c>
      <c r="AI112" s="48">
        <f t="shared" si="35"/>
        <v>125</v>
      </c>
    </row>
    <row r="113" spans="1:35" x14ac:dyDescent="0.25">
      <c r="A113" s="105" t="s">
        <v>113</v>
      </c>
      <c r="B113" s="65">
        <v>132.80000000000001</v>
      </c>
      <c r="C113" s="65">
        <v>133.6</v>
      </c>
      <c r="D113" s="65">
        <v>132.5</v>
      </c>
      <c r="E113" s="65">
        <v>134</v>
      </c>
      <c r="F113" s="65">
        <v>134</v>
      </c>
      <c r="G113" s="65">
        <v>132.69999999999999</v>
      </c>
      <c r="H113" s="65">
        <v>133.5</v>
      </c>
      <c r="I113" s="65">
        <v>130.1</v>
      </c>
      <c r="J113" s="65">
        <v>129.5</v>
      </c>
      <c r="K113" s="65">
        <v>129.30000000000001</v>
      </c>
      <c r="L113" s="65">
        <v>128.1</v>
      </c>
      <c r="M113" s="65">
        <v>128.5</v>
      </c>
      <c r="N113" s="65">
        <v>129.69999999999999</v>
      </c>
      <c r="O113" s="65">
        <v>132.1</v>
      </c>
      <c r="P113" s="65">
        <v>130.4</v>
      </c>
      <c r="Q113" s="65">
        <v>133.4</v>
      </c>
      <c r="R113" s="65">
        <v>132.69999999999999</v>
      </c>
      <c r="S113" s="65">
        <v>131.30000000000001</v>
      </c>
      <c r="T113" s="65">
        <v>129.6</v>
      </c>
      <c r="U113" s="65">
        <v>129.80000000000001</v>
      </c>
      <c r="V113" s="65">
        <v>130.4</v>
      </c>
      <c r="W113" s="65">
        <v>129.30000000000001</v>
      </c>
      <c r="X113" s="65">
        <v>128.30000000000001</v>
      </c>
      <c r="Y113" s="65">
        <v>128.30000000000001</v>
      </c>
      <c r="Z113" s="65">
        <v>133.1</v>
      </c>
      <c r="AA113" s="65">
        <v>132.80000000000001</v>
      </c>
      <c r="AB113" s="65">
        <v>133.69999999999999</v>
      </c>
      <c r="AC113" s="65">
        <v>133</v>
      </c>
      <c r="AD113" s="65">
        <v>132</v>
      </c>
      <c r="AE113" s="65">
        <v>132</v>
      </c>
      <c r="AF113" s="65">
        <v>130</v>
      </c>
      <c r="AG113" s="104"/>
      <c r="AH113" s="47">
        <f t="shared" si="34"/>
        <v>134</v>
      </c>
      <c r="AI113" s="48">
        <f t="shared" si="35"/>
        <v>128.1</v>
      </c>
    </row>
    <row r="114" spans="1:35" x14ac:dyDescent="0.25">
      <c r="A114" s="105" t="s">
        <v>114</v>
      </c>
      <c r="B114" s="106">
        <v>136.9</v>
      </c>
      <c r="C114" s="106">
        <v>136.5</v>
      </c>
      <c r="D114" s="106">
        <v>136.80000000000001</v>
      </c>
      <c r="E114" s="106">
        <v>136.4</v>
      </c>
      <c r="F114" s="106">
        <v>136.4</v>
      </c>
      <c r="G114" s="106">
        <v>135</v>
      </c>
      <c r="H114" s="106">
        <v>133.69999999999999</v>
      </c>
      <c r="I114" s="106">
        <v>132.6</v>
      </c>
      <c r="J114" s="106">
        <v>132.30000000000001</v>
      </c>
      <c r="K114" s="106">
        <v>133.1</v>
      </c>
      <c r="L114" s="106">
        <v>132.69999999999999</v>
      </c>
      <c r="M114" s="106">
        <v>132.4</v>
      </c>
      <c r="N114" s="106">
        <v>132.19999999999999</v>
      </c>
      <c r="O114" s="106">
        <v>134</v>
      </c>
      <c r="P114" s="106">
        <v>132.69999999999999</v>
      </c>
      <c r="Q114" s="106">
        <v>134</v>
      </c>
      <c r="R114" s="106">
        <v>133.80000000000001</v>
      </c>
      <c r="S114" s="106">
        <v>133.30000000000001</v>
      </c>
      <c r="T114" s="106">
        <v>131.19999999999999</v>
      </c>
      <c r="U114" s="106">
        <v>130.80000000000001</v>
      </c>
      <c r="V114" s="106">
        <v>135.80000000000001</v>
      </c>
      <c r="W114" s="106">
        <v>136.1</v>
      </c>
      <c r="X114" s="106">
        <v>133.30000000000001</v>
      </c>
      <c r="Y114" s="106">
        <v>133.30000000000001</v>
      </c>
      <c r="Z114" s="106">
        <v>136.4</v>
      </c>
      <c r="AA114" s="106">
        <v>135</v>
      </c>
      <c r="AB114" s="106">
        <v>135.5</v>
      </c>
      <c r="AC114" s="106">
        <v>136</v>
      </c>
      <c r="AD114" s="106">
        <v>136</v>
      </c>
      <c r="AE114" s="106">
        <v>136</v>
      </c>
      <c r="AF114" s="106">
        <v>136.6</v>
      </c>
      <c r="AG114" s="107"/>
      <c r="AH114" s="47">
        <f t="shared" si="34"/>
        <v>136.9</v>
      </c>
      <c r="AI114" s="48">
        <f t="shared" si="35"/>
        <v>130.80000000000001</v>
      </c>
    </row>
    <row r="115" spans="1:35" x14ac:dyDescent="0.25">
      <c r="A115" s="103" t="s">
        <v>115</v>
      </c>
      <c r="B115" s="65">
        <v>129.5</v>
      </c>
      <c r="C115" s="65">
        <v>126.6</v>
      </c>
      <c r="D115" s="65">
        <v>133.30000000000001</v>
      </c>
      <c r="E115" s="65">
        <v>130</v>
      </c>
      <c r="F115" s="65">
        <v>130</v>
      </c>
      <c r="G115" s="65">
        <v>128.5</v>
      </c>
      <c r="H115" s="65">
        <v>132.9</v>
      </c>
      <c r="I115" s="65">
        <v>134.4</v>
      </c>
      <c r="J115" s="65">
        <v>126.4</v>
      </c>
      <c r="K115" s="65">
        <v>131.5</v>
      </c>
      <c r="L115" s="65">
        <v>132.9</v>
      </c>
      <c r="M115" s="65">
        <v>129.4</v>
      </c>
      <c r="N115" s="65">
        <v>131.6</v>
      </c>
      <c r="O115" s="65">
        <v>133.4</v>
      </c>
      <c r="P115" s="65">
        <v>129.30000000000001</v>
      </c>
      <c r="Q115" s="65">
        <v>131.6</v>
      </c>
      <c r="R115" s="65">
        <v>130.69999999999999</v>
      </c>
      <c r="S115" s="65">
        <v>128.9</v>
      </c>
      <c r="T115" s="65">
        <v>132.5</v>
      </c>
      <c r="U115" s="65">
        <v>126.1</v>
      </c>
      <c r="V115" s="65">
        <v>126.7</v>
      </c>
      <c r="W115" s="65">
        <v>126.2</v>
      </c>
      <c r="X115" s="65">
        <v>130.9</v>
      </c>
      <c r="Y115" s="65">
        <v>130.9</v>
      </c>
      <c r="Z115" s="65">
        <v>130.6</v>
      </c>
      <c r="AA115" s="65">
        <v>131.4</v>
      </c>
      <c r="AB115" s="65">
        <v>132.30000000000001</v>
      </c>
      <c r="AC115" s="65">
        <v>131</v>
      </c>
      <c r="AD115" s="65">
        <v>127</v>
      </c>
      <c r="AE115" s="65">
        <v>127</v>
      </c>
      <c r="AF115" s="65">
        <v>130</v>
      </c>
      <c r="AG115" s="104"/>
      <c r="AH115" s="47">
        <f t="shared" si="34"/>
        <v>134.4</v>
      </c>
      <c r="AI115" s="48">
        <f t="shared" si="35"/>
        <v>126.1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4"/>
        <v>0</v>
      </c>
      <c r="AI116" s="48">
        <f t="shared" si="35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4"/>
        <v>0</v>
      </c>
      <c r="AI117" s="48">
        <f t="shared" si="35"/>
        <v>0</v>
      </c>
    </row>
    <row r="118" spans="1:35" ht="15.75" thickBot="1" x14ac:dyDescent="0.3">
      <c r="A118" s="110" t="s">
        <v>118</v>
      </c>
      <c r="B118" s="111">
        <f>SUM(B22,B28,B31:B32,B66,B68:B69,B71,B73,B119:B123,B155,B161,B167,B176,B178,B190,B197,B200:B201,B208,B210,B212,B216:B218,B220:B222,B227,B233:B234,B236:B238,B246,B251)</f>
        <v>102.29999999999998</v>
      </c>
      <c r="C118" s="111">
        <f>SUM(C22,C28,C31:C32,C66,C68:C69,C71,C73,C119:C123,C155,C161,C167,C176,C178,C190,C197,C200:C201,C208,C210,C212,C216:C218,C220:C222,C227,C233:C234,C236:C238,C246,C251)</f>
        <v>101.5</v>
      </c>
      <c r="D118" s="111">
        <f t="shared" ref="D118:O118" si="81">SUM(D22,D28,D31:D32,D66,D68:D69,D71,D73,D119:D123,D155,D161,D167,D176,D178,D190,D197,D200:D201,D208,D210,D212,D216:D218,D220:D222,D227,D233:D234,D236:D238,D246,D251)</f>
        <v>81.739999999999995</v>
      </c>
      <c r="E118" s="111">
        <f t="shared" si="81"/>
        <v>78.440000000000012</v>
      </c>
      <c r="F118" s="111">
        <f t="shared" si="81"/>
        <v>90.740000000000009</v>
      </c>
      <c r="G118" s="111">
        <f t="shared" si="81"/>
        <v>99.04</v>
      </c>
      <c r="H118" s="111">
        <f t="shared" si="81"/>
        <v>123.04</v>
      </c>
      <c r="I118" s="111">
        <f t="shared" si="81"/>
        <v>152.44</v>
      </c>
      <c r="J118" s="111">
        <f t="shared" si="81"/>
        <v>177.24</v>
      </c>
      <c r="K118" s="111">
        <f t="shared" si="81"/>
        <v>322.24000000000007</v>
      </c>
      <c r="L118" s="111">
        <f t="shared" si="81"/>
        <v>376.58300000000003</v>
      </c>
      <c r="M118" s="111">
        <f t="shared" si="81"/>
        <v>321.79000000000002</v>
      </c>
      <c r="N118" s="111">
        <f t="shared" si="81"/>
        <v>307.35199999999998</v>
      </c>
      <c r="O118" s="111">
        <f t="shared" si="81"/>
        <v>235.13799999999998</v>
      </c>
      <c r="P118" s="111">
        <v>42</v>
      </c>
      <c r="Q118" s="111">
        <f t="shared" ref="Q118:AF118" si="82">SUM(Q22,Q28,Q31:Q32,Q66,Q68:Q69,Q71,Q73,Q119:Q123,Q155,Q161,Q167,Q176,Q178,Q190,Q197,Q200:Q201,Q208,Q210,Q212,Q216:Q218,Q220:Q222,Q227,Q233:Q234,Q236:Q238,Q246,Q251)</f>
        <v>246.68</v>
      </c>
      <c r="R118" s="111">
        <f t="shared" si="82"/>
        <v>250.339</v>
      </c>
      <c r="S118" s="111">
        <f t="shared" si="82"/>
        <v>231.79000000000002</v>
      </c>
      <c r="T118" s="111">
        <f t="shared" si="82"/>
        <v>244.54000000000002</v>
      </c>
      <c r="U118" s="111">
        <f t="shared" si="82"/>
        <v>253.79999999999998</v>
      </c>
      <c r="V118" s="111">
        <f t="shared" si="82"/>
        <v>242.94</v>
      </c>
      <c r="W118" s="111">
        <f t="shared" si="82"/>
        <v>270.92</v>
      </c>
      <c r="X118" s="111">
        <f t="shared" si="82"/>
        <v>309.28000000000003</v>
      </c>
      <c r="Y118" s="111">
        <f t="shared" si="82"/>
        <v>324.98000000000008</v>
      </c>
      <c r="Z118" s="111">
        <f t="shared" si="82"/>
        <v>331.7</v>
      </c>
      <c r="AA118" s="111">
        <f t="shared" si="82"/>
        <v>326.64000000000004</v>
      </c>
      <c r="AB118" s="111">
        <f t="shared" si="82"/>
        <v>302.83999999999997</v>
      </c>
      <c r="AC118" s="111">
        <f t="shared" si="82"/>
        <v>290.54000000000002</v>
      </c>
      <c r="AD118" s="111">
        <f t="shared" si="82"/>
        <v>231.54000000000002</v>
      </c>
      <c r="AE118" s="111">
        <f t="shared" si="82"/>
        <v>231.54000000000002</v>
      </c>
      <c r="AF118" s="111">
        <f t="shared" si="82"/>
        <v>116.13999999999999</v>
      </c>
      <c r="AG118" s="112"/>
      <c r="AH118" s="47">
        <f t="shared" si="34"/>
        <v>376.58300000000003</v>
      </c>
      <c r="AI118" s="48">
        <f t="shared" si="35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>
        <f>190/5</f>
        <v>38</v>
      </c>
      <c r="L119" s="113">
        <v>39</v>
      </c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34"/>
        <v>39</v>
      </c>
      <c r="AI119" s="48">
        <f t="shared" si="35"/>
        <v>38</v>
      </c>
    </row>
    <row r="120" spans="1:35" x14ac:dyDescent="0.25">
      <c r="A120" s="182" t="s">
        <v>120</v>
      </c>
      <c r="B120" s="115">
        <v>6.6</v>
      </c>
      <c r="C120" s="115">
        <v>0.6</v>
      </c>
      <c r="D120" s="115">
        <v>-1.3</v>
      </c>
      <c r="E120" s="115">
        <v>-1.6</v>
      </c>
      <c r="F120" s="115">
        <v>-5</v>
      </c>
      <c r="G120" s="115">
        <v>-9</v>
      </c>
      <c r="H120" s="115">
        <v>-16.5</v>
      </c>
      <c r="I120" s="115">
        <v>6.2</v>
      </c>
      <c r="J120" s="115">
        <v>12</v>
      </c>
      <c r="K120" s="115">
        <v>33.9</v>
      </c>
      <c r="L120" s="115">
        <v>43.4</v>
      </c>
      <c r="M120" s="115">
        <v>51.4</v>
      </c>
      <c r="N120" s="115">
        <v>44.1</v>
      </c>
      <c r="O120" s="115">
        <v>53</v>
      </c>
      <c r="P120" s="115">
        <v>34.9</v>
      </c>
      <c r="Q120" s="115">
        <v>52.1</v>
      </c>
      <c r="R120" s="115">
        <v>34.700000000000003</v>
      </c>
      <c r="S120" s="115">
        <v>37</v>
      </c>
      <c r="T120" s="115">
        <v>25.1</v>
      </c>
      <c r="U120" s="115">
        <v>22.9</v>
      </c>
      <c r="V120" s="115">
        <v>34.5</v>
      </c>
      <c r="W120" s="115">
        <v>30.4</v>
      </c>
      <c r="X120" s="115">
        <v>41.6</v>
      </c>
      <c r="Y120" s="115">
        <v>35.299999999999997</v>
      </c>
      <c r="Z120" s="115">
        <v>35.299999999999997</v>
      </c>
      <c r="AA120" s="115">
        <v>46</v>
      </c>
      <c r="AB120" s="115">
        <v>41.2</v>
      </c>
      <c r="AC120" s="115">
        <v>36</v>
      </c>
      <c r="AD120" s="115">
        <v>46</v>
      </c>
      <c r="AE120" s="115">
        <v>46</v>
      </c>
      <c r="AF120" s="115">
        <v>23</v>
      </c>
      <c r="AG120" s="114">
        <v>240</v>
      </c>
      <c r="AH120" s="47">
        <f t="shared" si="34"/>
        <v>53</v>
      </c>
      <c r="AI120" s="48">
        <f t="shared" si="35"/>
        <v>-16.5</v>
      </c>
    </row>
    <row r="121" spans="1:35" x14ac:dyDescent="0.25">
      <c r="A121" s="182" t="s">
        <v>121</v>
      </c>
      <c r="B121" s="115">
        <f>-25-28.6</f>
        <v>-53.6</v>
      </c>
      <c r="C121" s="115">
        <f>-24-27.6</f>
        <v>-51.6</v>
      </c>
      <c r="D121" s="115">
        <v>-52</v>
      </c>
      <c r="E121" s="115">
        <v>-51</v>
      </c>
      <c r="F121" s="115">
        <v>-45</v>
      </c>
      <c r="G121" s="115">
        <v>-39.6</v>
      </c>
      <c r="H121" s="115">
        <v>-24.2</v>
      </c>
      <c r="I121" s="115">
        <v>-21.3</v>
      </c>
      <c r="J121" s="115">
        <v>-11.6</v>
      </c>
      <c r="K121" s="115">
        <v>-6.2</v>
      </c>
      <c r="L121" s="115">
        <v>8</v>
      </c>
      <c r="M121" s="115">
        <v>7</v>
      </c>
      <c r="N121" s="115">
        <v>-3.8</v>
      </c>
      <c r="O121" s="115">
        <v>-32.5</v>
      </c>
      <c r="P121" s="115">
        <v>-16</v>
      </c>
      <c r="Q121" s="115">
        <v>-22</v>
      </c>
      <c r="R121" s="115">
        <v>-24</v>
      </c>
      <c r="S121" s="115">
        <v>-30</v>
      </c>
      <c r="T121" s="115">
        <v>-15</v>
      </c>
      <c r="U121" s="115">
        <v>-12</v>
      </c>
      <c r="V121" s="115">
        <v>9.6</v>
      </c>
      <c r="W121" s="115">
        <v>20</v>
      </c>
      <c r="X121" s="115">
        <v>31</v>
      </c>
      <c r="Y121" s="115">
        <v>53</v>
      </c>
      <c r="Z121" s="115">
        <v>53</v>
      </c>
      <c r="AA121" s="115">
        <v>27</v>
      </c>
      <c r="AB121" s="115">
        <v>19.2</v>
      </c>
      <c r="AC121" s="115">
        <v>19</v>
      </c>
      <c r="AD121" s="115">
        <v>-10</v>
      </c>
      <c r="AE121" s="115">
        <v>-10</v>
      </c>
      <c r="AF121" s="115">
        <v>-30</v>
      </c>
      <c r="AG121" s="114">
        <v>240</v>
      </c>
      <c r="AH121" s="47">
        <f t="shared" si="34"/>
        <v>53</v>
      </c>
      <c r="AI121" s="48">
        <f t="shared" si="35"/>
        <v>-53.6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>
        <f>180/10</f>
        <v>18</v>
      </c>
      <c r="L122" s="115">
        <f>220/10</f>
        <v>22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>
        <v>0</v>
      </c>
      <c r="AG122" s="114">
        <v>60</v>
      </c>
      <c r="AH122" s="47">
        <f t="shared" si="34"/>
        <v>22</v>
      </c>
      <c r="AI122" s="48">
        <f t="shared" si="35"/>
        <v>0</v>
      </c>
    </row>
    <row r="123" spans="1:35" x14ac:dyDescent="0.25">
      <c r="A123" s="181" t="s">
        <v>267</v>
      </c>
      <c r="B123" s="117">
        <f>26.6*1.6</f>
        <v>42.56</v>
      </c>
      <c r="C123" s="117">
        <f>28.6*1.6</f>
        <v>45.760000000000005</v>
      </c>
      <c r="D123" s="117">
        <v>28.3</v>
      </c>
      <c r="E123" s="117">
        <v>26.5</v>
      </c>
      <c r="F123" s="117">
        <v>36.200000000000003</v>
      </c>
      <c r="G123" s="117">
        <v>43.1</v>
      </c>
      <c r="H123" s="117">
        <v>59.2</v>
      </c>
      <c r="I123" s="117">
        <v>63</v>
      </c>
      <c r="J123" s="117">
        <v>72.3</v>
      </c>
      <c r="K123" s="117">
        <v>131</v>
      </c>
      <c r="L123" s="117">
        <f>1.63*96.1</f>
        <v>156.64299999999997</v>
      </c>
      <c r="M123" s="117">
        <f>95*1.63</f>
        <v>154.85</v>
      </c>
      <c r="N123" s="117">
        <f>93.6*1.67</f>
        <v>156.31199999999998</v>
      </c>
      <c r="O123" s="117">
        <f>59.4*1.67</f>
        <v>99.197999999999993</v>
      </c>
      <c r="P123" s="117">
        <f>70.2*1.67</f>
        <v>117.23399999999999</v>
      </c>
      <c r="Q123" s="117">
        <f>1.6*57.9</f>
        <v>92.64</v>
      </c>
      <c r="R123" s="117">
        <f>69.7*1.67</f>
        <v>116.399</v>
      </c>
      <c r="S123" s="117">
        <f>65*1.65</f>
        <v>107.25</v>
      </c>
      <c r="T123" s="117">
        <f>78*1.6</f>
        <v>124.80000000000001</v>
      </c>
      <c r="U123" s="117">
        <f>83.6*1.6</f>
        <v>133.76</v>
      </c>
      <c r="V123" s="117">
        <f>59.5*1.6</f>
        <v>95.2</v>
      </c>
      <c r="W123" s="117">
        <f>73.3*1.6</f>
        <v>117.28</v>
      </c>
      <c r="X123" s="117">
        <v>133.44000000000003</v>
      </c>
      <c r="Y123" s="117">
        <v>133.44000000000003</v>
      </c>
      <c r="Z123" s="117">
        <f>87.6*1.6</f>
        <v>140.16</v>
      </c>
      <c r="AA123" s="117">
        <f>94*1.6</f>
        <v>150.4</v>
      </c>
      <c r="AB123" s="117">
        <f>90*1.5</f>
        <v>135</v>
      </c>
      <c r="AC123" s="117">
        <v>125</v>
      </c>
      <c r="AD123" s="117">
        <v>85</v>
      </c>
      <c r="AE123" s="117">
        <v>85</v>
      </c>
      <c r="AF123" s="117">
        <v>16</v>
      </c>
      <c r="AG123" s="118">
        <v>120</v>
      </c>
      <c r="AH123" s="47">
        <f t="shared" si="34"/>
        <v>156.64299999999997</v>
      </c>
      <c r="AI123" s="48">
        <f t="shared" si="35"/>
        <v>16</v>
      </c>
    </row>
    <row r="124" spans="1:35" x14ac:dyDescent="0.25">
      <c r="A124" s="182" t="s">
        <v>266</v>
      </c>
      <c r="B124" s="117">
        <v>52.3</v>
      </c>
      <c r="C124" s="117">
        <v>52.8</v>
      </c>
      <c r="D124" s="117">
        <v>50.5</v>
      </c>
      <c r="E124" s="117">
        <v>52.1</v>
      </c>
      <c r="F124" s="117">
        <v>55.3</v>
      </c>
      <c r="G124" s="117">
        <v>63.1</v>
      </c>
      <c r="H124" s="117">
        <v>76.400000000000006</v>
      </c>
      <c r="I124" s="117">
        <v>79.5</v>
      </c>
      <c r="J124" s="117">
        <v>88.1</v>
      </c>
      <c r="K124" s="117">
        <v>96.3</v>
      </c>
      <c r="L124" s="117">
        <v>108.3</v>
      </c>
      <c r="M124" s="117">
        <v>105</v>
      </c>
      <c r="N124" s="117">
        <v>104.2</v>
      </c>
      <c r="O124" s="117">
        <v>76.400000000000006</v>
      </c>
      <c r="P124" s="117">
        <v>84.8</v>
      </c>
      <c r="Q124" s="117">
        <v>76.2</v>
      </c>
      <c r="R124" s="117">
        <v>85.4</v>
      </c>
      <c r="S124" s="117">
        <v>82</v>
      </c>
      <c r="T124" s="117">
        <v>92</v>
      </c>
      <c r="U124" s="117">
        <v>96.5</v>
      </c>
      <c r="V124" s="117">
        <v>77.400000000000006</v>
      </c>
      <c r="W124" s="117">
        <v>91</v>
      </c>
      <c r="X124" s="117">
        <v>97</v>
      </c>
      <c r="Y124" s="117">
        <v>97</v>
      </c>
      <c r="Z124" s="117">
        <v>102</v>
      </c>
      <c r="AA124" s="117">
        <v>107</v>
      </c>
      <c r="AB124" s="117">
        <v>103.3</v>
      </c>
      <c r="AC124" s="117">
        <v>100</v>
      </c>
      <c r="AD124" s="117">
        <v>85</v>
      </c>
      <c r="AE124" s="117">
        <v>85</v>
      </c>
      <c r="AF124" s="117">
        <v>41</v>
      </c>
      <c r="AG124" s="118"/>
      <c r="AH124" s="47"/>
      <c r="AI124" s="48"/>
    </row>
    <row r="125" spans="1:35" x14ac:dyDescent="0.25">
      <c r="A125" s="182" t="s">
        <v>263</v>
      </c>
      <c r="B125" s="117">
        <v>28.7</v>
      </c>
      <c r="C125" s="117">
        <v>33.200000000000003</v>
      </c>
      <c r="D125" s="117">
        <v>35.1</v>
      </c>
      <c r="E125" s="117">
        <v>38.9</v>
      </c>
      <c r="F125" s="117">
        <v>41.36</v>
      </c>
      <c r="G125" s="117">
        <v>44.1</v>
      </c>
      <c r="H125" s="117">
        <v>50.9</v>
      </c>
      <c r="I125" s="117">
        <v>24.5</v>
      </c>
      <c r="J125" s="117">
        <v>18.7</v>
      </c>
      <c r="K125" s="117">
        <v>-3.8</v>
      </c>
      <c r="L125" s="117">
        <v>-12.9</v>
      </c>
      <c r="M125" s="117">
        <v>-22.4</v>
      </c>
      <c r="N125" s="117">
        <v>-6.7</v>
      </c>
      <c r="O125" s="117">
        <v>-37.299999999999997</v>
      </c>
      <c r="P125" s="117">
        <v>-2.5</v>
      </c>
      <c r="Q125" s="117">
        <v>-14.2</v>
      </c>
      <c r="R125" s="117">
        <v>11.5</v>
      </c>
      <c r="S125" s="117">
        <v>10.1</v>
      </c>
      <c r="T125" s="117">
        <v>21</v>
      </c>
      <c r="U125" s="117">
        <v>20.2</v>
      </c>
      <c r="V125" s="117">
        <v>-20</v>
      </c>
      <c r="W125" s="117">
        <v>-18</v>
      </c>
      <c r="X125" s="117">
        <v>-36</v>
      </c>
      <c r="Y125" s="117">
        <v>-36</v>
      </c>
      <c r="Z125" s="117">
        <v>-46</v>
      </c>
      <c r="AA125" s="117">
        <v>-27</v>
      </c>
      <c r="AB125" s="117">
        <v>-25.2</v>
      </c>
      <c r="AC125" s="117">
        <v>-25.2</v>
      </c>
      <c r="AD125" s="117">
        <v>-24</v>
      </c>
      <c r="AE125" s="117">
        <v>-24</v>
      </c>
      <c r="AF125" s="117">
        <v>-11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49.1</v>
      </c>
      <c r="C126" s="117">
        <v>50.2</v>
      </c>
      <c r="D126" s="117">
        <v>41.5</v>
      </c>
      <c r="E126" s="117">
        <v>49.7</v>
      </c>
      <c r="F126" s="117">
        <v>56.36</v>
      </c>
      <c r="G126" s="117">
        <v>65.5</v>
      </c>
      <c r="H126" s="117">
        <v>80.8</v>
      </c>
      <c r="I126" s="117">
        <v>82.3</v>
      </c>
      <c r="J126" s="117">
        <v>97.8</v>
      </c>
      <c r="K126" s="117">
        <v>103</v>
      </c>
      <c r="L126" s="117">
        <v>92.3</v>
      </c>
      <c r="M126" s="117">
        <v>85.4</v>
      </c>
      <c r="N126" s="117">
        <v>88.5</v>
      </c>
      <c r="O126" s="117">
        <v>62.8</v>
      </c>
      <c r="P126" s="117">
        <v>89</v>
      </c>
      <c r="Q126" s="117">
        <v>87.8</v>
      </c>
      <c r="R126" s="117">
        <v>104</v>
      </c>
      <c r="S126" s="117">
        <v>98</v>
      </c>
      <c r="T126" s="117">
        <v>114</v>
      </c>
      <c r="U126" s="117">
        <v>112</v>
      </c>
      <c r="V126" s="117">
        <v>69.400000000000006</v>
      </c>
      <c r="W126" s="117">
        <v>91</v>
      </c>
      <c r="X126" s="117">
        <v>89</v>
      </c>
      <c r="Y126" s="117">
        <v>89</v>
      </c>
      <c r="Z126" s="117">
        <v>95</v>
      </c>
      <c r="AA126" s="117">
        <v>97</v>
      </c>
      <c r="AB126" s="117">
        <v>81.400000000000006</v>
      </c>
      <c r="AC126" s="117">
        <v>82</v>
      </c>
      <c r="AD126" s="117">
        <v>74</v>
      </c>
      <c r="AE126" s="117">
        <v>74</v>
      </c>
      <c r="AF126" s="117">
        <v>70</v>
      </c>
      <c r="AG126" s="114"/>
      <c r="AH126" s="47">
        <f t="shared" si="34"/>
        <v>114</v>
      </c>
      <c r="AI126" s="48">
        <f t="shared" si="35"/>
        <v>41.5</v>
      </c>
    </row>
    <row r="127" spans="1:35" x14ac:dyDescent="0.25">
      <c r="A127" s="181" t="s">
        <v>264</v>
      </c>
      <c r="B127" s="106">
        <v>3.7</v>
      </c>
      <c r="C127" s="106">
        <v>8</v>
      </c>
      <c r="D127" s="117">
        <v>9.9</v>
      </c>
      <c r="E127" s="117">
        <v>11.5</v>
      </c>
      <c r="F127" s="117">
        <v>12.1</v>
      </c>
      <c r="G127" s="117">
        <v>14.9</v>
      </c>
      <c r="H127" s="117">
        <v>24.7</v>
      </c>
      <c r="I127" s="117">
        <v>17</v>
      </c>
      <c r="J127" s="117">
        <v>14.3</v>
      </c>
      <c r="K127" s="117">
        <v>4.2</v>
      </c>
      <c r="L127" s="117">
        <v>-4.9000000000000004</v>
      </c>
      <c r="M127" s="117">
        <v>-9</v>
      </c>
      <c r="N127" s="117">
        <v>1.3</v>
      </c>
      <c r="O127" s="117">
        <v>-3.5</v>
      </c>
      <c r="P127" s="117">
        <v>6.8</v>
      </c>
      <c r="Q127" s="117">
        <v>-10.8</v>
      </c>
      <c r="R127" s="117">
        <v>-1.3</v>
      </c>
      <c r="S127" s="117">
        <v>1.4</v>
      </c>
      <c r="T127" s="117">
        <v>6.2</v>
      </c>
      <c r="U127" s="117">
        <v>14.5</v>
      </c>
      <c r="V127" s="117">
        <v>1.2</v>
      </c>
      <c r="W127" s="117">
        <v>4.0999999999999996</v>
      </c>
      <c r="X127" s="117">
        <v>0</v>
      </c>
      <c r="Y127" s="117">
        <v>0</v>
      </c>
      <c r="Z127" s="117">
        <v>3.2</v>
      </c>
      <c r="AA127" s="117">
        <v>-3</v>
      </c>
      <c r="AB127" s="117">
        <v>0</v>
      </c>
      <c r="AC127" s="117">
        <v>-3</v>
      </c>
      <c r="AD127" s="117">
        <v>-10</v>
      </c>
      <c r="AE127" s="117">
        <v>-10</v>
      </c>
      <c r="AF127" s="117">
        <v>2</v>
      </c>
      <c r="AG127" s="114"/>
      <c r="AH127" s="47">
        <f t="shared" si="34"/>
        <v>24.7</v>
      </c>
      <c r="AI127" s="48">
        <f t="shared" si="35"/>
        <v>-10.8</v>
      </c>
    </row>
    <row r="128" spans="1:35" x14ac:dyDescent="0.25">
      <c r="A128" s="182" t="s">
        <v>126</v>
      </c>
      <c r="B128" s="106">
        <v>0.3</v>
      </c>
      <c r="C128" s="106">
        <v>-1.1000000000000001</v>
      </c>
      <c r="D128" s="106">
        <v>0.9</v>
      </c>
      <c r="E128" s="106">
        <v>2</v>
      </c>
      <c r="F128" s="106">
        <v>1</v>
      </c>
      <c r="G128" s="106">
        <v>-0.9</v>
      </c>
      <c r="H128" s="106">
        <v>-5.7</v>
      </c>
      <c r="I128" s="106">
        <v>-14.5</v>
      </c>
      <c r="J128" s="106">
        <v>-20.2</v>
      </c>
      <c r="K128" s="106">
        <v>-29</v>
      </c>
      <c r="L128" s="106">
        <v>-32</v>
      </c>
      <c r="M128" s="106">
        <v>-31.4</v>
      </c>
      <c r="N128" s="106">
        <v>-24.9</v>
      </c>
      <c r="O128" s="106">
        <v>-19.2</v>
      </c>
      <c r="P128" s="106">
        <v>-16.7</v>
      </c>
      <c r="Q128" s="106">
        <v>-12</v>
      </c>
      <c r="R128" s="106">
        <v>-10</v>
      </c>
      <c r="S128" s="106">
        <v>-11</v>
      </c>
      <c r="T128" s="106">
        <v>-13</v>
      </c>
      <c r="U128" s="106">
        <v>-16</v>
      </c>
      <c r="V128" s="106">
        <v>-28.6</v>
      </c>
      <c r="W128" s="106">
        <v>-35</v>
      </c>
      <c r="X128" s="106">
        <v>-49.4</v>
      </c>
      <c r="Y128" s="106">
        <v>-49.4</v>
      </c>
      <c r="Z128" s="106">
        <v>-34.299999999999997</v>
      </c>
      <c r="AA128" s="106">
        <v>-29.3</v>
      </c>
      <c r="AB128" s="106">
        <v>-27.2</v>
      </c>
      <c r="AC128" s="106">
        <v>-22</v>
      </c>
      <c r="AD128" s="106">
        <v>-17.5</v>
      </c>
      <c r="AE128" s="106">
        <v>-17.5</v>
      </c>
      <c r="AF128" s="106">
        <v>-3.4</v>
      </c>
      <c r="AG128" s="114"/>
      <c r="AH128" s="47">
        <f t="shared" si="34"/>
        <v>2</v>
      </c>
      <c r="AI128" s="48">
        <f t="shared" si="35"/>
        <v>-49.4</v>
      </c>
    </row>
    <row r="129" spans="1:37" x14ac:dyDescent="0.25">
      <c r="A129" s="182" t="s">
        <v>268</v>
      </c>
      <c r="B129" s="106">
        <v>27.7</v>
      </c>
      <c r="C129" s="106">
        <v>25.2</v>
      </c>
      <c r="D129" s="106">
        <v>22.3</v>
      </c>
      <c r="E129" s="106">
        <v>21.9</v>
      </c>
      <c r="F129" s="106">
        <v>18.3</v>
      </c>
      <c r="G129" s="106">
        <v>13</v>
      </c>
      <c r="H129" s="106">
        <v>-1.5</v>
      </c>
      <c r="I129" s="106">
        <v>0</v>
      </c>
      <c r="J129" s="106">
        <v>-4.4000000000000004</v>
      </c>
      <c r="K129" s="106">
        <v>-2.1</v>
      </c>
      <c r="L129" s="106">
        <v>13.3</v>
      </c>
      <c r="M129" s="106">
        <v>-9.5</v>
      </c>
      <c r="N129" s="106">
        <v>-7.2</v>
      </c>
      <c r="O129" s="106">
        <v>20.100000000000001</v>
      </c>
      <c r="P129" s="106">
        <v>2.1</v>
      </c>
      <c r="Q129" s="106">
        <v>17.899999999999999</v>
      </c>
      <c r="R129" s="106">
        <v>10.6</v>
      </c>
      <c r="S129" s="106">
        <v>17</v>
      </c>
      <c r="T129" s="106">
        <v>3.3</v>
      </c>
      <c r="U129" s="106">
        <v>-1.6</v>
      </c>
      <c r="V129" s="106">
        <v>9.6</v>
      </c>
      <c r="W129" s="106">
        <v>-4.0999999999999996</v>
      </c>
      <c r="X129" s="106">
        <v>4</v>
      </c>
      <c r="Y129" s="106">
        <v>4</v>
      </c>
      <c r="Z129" s="106">
        <v>-12</v>
      </c>
      <c r="AA129" s="106">
        <v>-13</v>
      </c>
      <c r="AB129" s="106">
        <v>-5.9</v>
      </c>
      <c r="AC129" s="106">
        <v>-6</v>
      </c>
      <c r="AD129" s="106">
        <v>-3</v>
      </c>
      <c r="AE129" s="106">
        <v>-3</v>
      </c>
      <c r="AF129" s="106">
        <v>16</v>
      </c>
      <c r="AG129" s="114"/>
      <c r="AH129" s="47">
        <f t="shared" si="34"/>
        <v>27.7</v>
      </c>
      <c r="AI129" s="48">
        <f t="shared" si="35"/>
        <v>-13</v>
      </c>
    </row>
    <row r="130" spans="1:37" ht="15.75" thickBot="1" x14ac:dyDescent="0.3">
      <c r="A130" s="182" t="s">
        <v>265</v>
      </c>
      <c r="B130" s="106">
        <v>70.5</v>
      </c>
      <c r="C130" s="106">
        <v>68.900000000000006</v>
      </c>
      <c r="D130" s="106">
        <v>74.7</v>
      </c>
      <c r="E130" s="106">
        <v>67.7</v>
      </c>
      <c r="F130" s="106">
        <v>68</v>
      </c>
      <c r="G130" s="106">
        <v>71.400000000000006</v>
      </c>
      <c r="H130" s="106">
        <v>78</v>
      </c>
      <c r="I130" s="106">
        <v>84.4</v>
      </c>
      <c r="J130" s="106">
        <v>92.9</v>
      </c>
      <c r="K130" s="106">
        <v>103.9</v>
      </c>
      <c r="L130" s="106">
        <v>110.9</v>
      </c>
      <c r="M130" s="106">
        <v>108.3</v>
      </c>
      <c r="N130" s="106">
        <v>97.3</v>
      </c>
      <c r="O130" s="106">
        <v>81.2</v>
      </c>
      <c r="P130" s="106">
        <v>94.9</v>
      </c>
      <c r="Q130" s="106">
        <v>89.7</v>
      </c>
      <c r="R130" s="106">
        <v>83.9</v>
      </c>
      <c r="S130" s="106">
        <v>85</v>
      </c>
      <c r="T130" s="106">
        <v>82.3</v>
      </c>
      <c r="U130" s="106">
        <v>96.3</v>
      </c>
      <c r="V130" s="106">
        <v>107.9</v>
      </c>
      <c r="W130" s="106">
        <v>106.1</v>
      </c>
      <c r="X130" s="106">
        <v>117.4</v>
      </c>
      <c r="Y130" s="106">
        <v>117.4</v>
      </c>
      <c r="Z130" s="106">
        <v>105.4</v>
      </c>
      <c r="AA130" s="106">
        <v>103</v>
      </c>
      <c r="AB130" s="106">
        <v>100.3</v>
      </c>
      <c r="AC130" s="106">
        <v>95</v>
      </c>
      <c r="AD130" s="106">
        <v>96</v>
      </c>
      <c r="AE130" s="106">
        <v>96</v>
      </c>
      <c r="AF130" s="106">
        <v>79</v>
      </c>
      <c r="AG130" s="114"/>
      <c r="AH130" s="47">
        <f t="shared" si="34"/>
        <v>117.4</v>
      </c>
      <c r="AI130" s="48">
        <f t="shared" si="35"/>
        <v>67.7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376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243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244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x14ac:dyDescent="0.25">
      <c r="A135" s="199" t="s">
        <v>245</v>
      </c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6"/>
      <c r="AG135" s="153"/>
      <c r="AH135" s="47"/>
      <c r="AI135" s="48"/>
    </row>
    <row r="136" spans="1:37" x14ac:dyDescent="0.25">
      <c r="A136" s="199" t="s">
        <v>415</v>
      </c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6"/>
      <c r="AG136" s="153"/>
      <c r="AH136" s="47"/>
      <c r="AI136" s="48"/>
    </row>
    <row r="137" spans="1:37" ht="15.75" thickBot="1" x14ac:dyDescent="0.3">
      <c r="A137" s="199" t="s">
        <v>246</v>
      </c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9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83">SUM(B139:B243)</f>
        <v>0</v>
      </c>
      <c r="C244" s="137">
        <f t="shared" si="83"/>
        <v>0</v>
      </c>
      <c r="D244" s="137">
        <f t="shared" si="83"/>
        <v>0</v>
      </c>
      <c r="E244" s="137">
        <f t="shared" si="83"/>
        <v>0</v>
      </c>
      <c r="F244" s="137">
        <f t="shared" si="83"/>
        <v>0</v>
      </c>
      <c r="G244" s="137">
        <f t="shared" si="83"/>
        <v>0</v>
      </c>
      <c r="H244" s="137">
        <f t="shared" si="83"/>
        <v>0</v>
      </c>
      <c r="I244" s="137">
        <f t="shared" si="83"/>
        <v>0</v>
      </c>
      <c r="J244" s="137">
        <f t="shared" si="83"/>
        <v>0</v>
      </c>
      <c r="K244" s="137">
        <f t="shared" si="83"/>
        <v>0</v>
      </c>
      <c r="L244" s="137">
        <f t="shared" si="83"/>
        <v>0</v>
      </c>
      <c r="M244" s="137">
        <f t="shared" si="83"/>
        <v>0</v>
      </c>
      <c r="N244" s="137">
        <f t="shared" si="83"/>
        <v>0</v>
      </c>
      <c r="O244" s="137">
        <f t="shared" si="83"/>
        <v>0</v>
      </c>
      <c r="P244" s="137">
        <f t="shared" si="83"/>
        <v>0</v>
      </c>
      <c r="Q244" s="137">
        <f t="shared" si="83"/>
        <v>0</v>
      </c>
      <c r="R244" s="137">
        <f t="shared" si="83"/>
        <v>0</v>
      </c>
      <c r="S244" s="137">
        <f t="shared" si="83"/>
        <v>0</v>
      </c>
      <c r="T244" s="137">
        <f t="shared" si="83"/>
        <v>0</v>
      </c>
      <c r="U244" s="137">
        <f t="shared" si="83"/>
        <v>0</v>
      </c>
      <c r="V244" s="137">
        <f t="shared" si="83"/>
        <v>0</v>
      </c>
      <c r="W244" s="137">
        <f t="shared" si="83"/>
        <v>0</v>
      </c>
      <c r="X244" s="137">
        <f t="shared" si="83"/>
        <v>0</v>
      </c>
      <c r="Y244" s="137">
        <f t="shared" si="83"/>
        <v>0</v>
      </c>
      <c r="Z244" s="137">
        <f t="shared" si="83"/>
        <v>0</v>
      </c>
      <c r="AA244" s="137">
        <f t="shared" si="83"/>
        <v>0</v>
      </c>
      <c r="AB244" s="137">
        <f t="shared" si="83"/>
        <v>0</v>
      </c>
      <c r="AC244" s="137">
        <f t="shared" si="83"/>
        <v>0</v>
      </c>
      <c r="AD244" s="137">
        <f t="shared" si="83"/>
        <v>0</v>
      </c>
      <c r="AE244" s="137">
        <f t="shared" si="83"/>
        <v>0</v>
      </c>
      <c r="AF244" s="138">
        <f t="shared" si="83"/>
        <v>0</v>
      </c>
      <c r="AG244" s="139">
        <f t="shared" si="83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84">AF246</f>
        <v>0.3</v>
      </c>
      <c r="C246" s="141">
        <v>0.3</v>
      </c>
      <c r="D246" s="141">
        <f t="shared" ref="D246:S251" si="85">C246</f>
        <v>0.3</v>
      </c>
      <c r="E246" s="141">
        <f t="shared" si="85"/>
        <v>0.3</v>
      </c>
      <c r="F246" s="141">
        <f t="shared" si="85"/>
        <v>0.3</v>
      </c>
      <c r="G246" s="141">
        <f t="shared" si="85"/>
        <v>0.3</v>
      </c>
      <c r="H246" s="141">
        <f t="shared" si="85"/>
        <v>0.3</v>
      </c>
      <c r="I246" s="141">
        <f t="shared" si="85"/>
        <v>0.3</v>
      </c>
      <c r="J246" s="141">
        <f t="shared" si="85"/>
        <v>0.3</v>
      </c>
      <c r="K246" s="141">
        <f t="shared" si="85"/>
        <v>0.3</v>
      </c>
      <c r="L246" s="141">
        <f t="shared" si="85"/>
        <v>0.3</v>
      </c>
      <c r="M246" s="141">
        <f t="shared" si="85"/>
        <v>0.3</v>
      </c>
      <c r="N246" s="141">
        <f t="shared" si="85"/>
        <v>0.3</v>
      </c>
      <c r="O246" s="141">
        <f t="shared" si="85"/>
        <v>0.3</v>
      </c>
      <c r="P246" s="141">
        <f t="shared" si="85"/>
        <v>0.3</v>
      </c>
      <c r="Q246" s="141">
        <f t="shared" si="85"/>
        <v>0.3</v>
      </c>
      <c r="R246" s="141">
        <f t="shared" si="85"/>
        <v>0.3</v>
      </c>
      <c r="S246" s="141">
        <f t="shared" si="85"/>
        <v>0.3</v>
      </c>
      <c r="T246" s="141">
        <f t="shared" ref="T246:AF251" si="86">S246</f>
        <v>0.3</v>
      </c>
      <c r="U246" s="141">
        <f t="shared" si="86"/>
        <v>0.3</v>
      </c>
      <c r="V246" s="141">
        <f t="shared" si="86"/>
        <v>0.3</v>
      </c>
      <c r="W246" s="141">
        <f t="shared" si="86"/>
        <v>0.3</v>
      </c>
      <c r="X246" s="141">
        <f t="shared" si="86"/>
        <v>0.3</v>
      </c>
      <c r="Y246" s="141">
        <f t="shared" si="86"/>
        <v>0.3</v>
      </c>
      <c r="Z246" s="141">
        <f t="shared" si="86"/>
        <v>0.3</v>
      </c>
      <c r="AA246" s="141">
        <f t="shared" si="86"/>
        <v>0.3</v>
      </c>
      <c r="AB246" s="141">
        <f t="shared" si="86"/>
        <v>0.3</v>
      </c>
      <c r="AC246" s="141">
        <f t="shared" si="86"/>
        <v>0.3</v>
      </c>
      <c r="AD246" s="141">
        <f t="shared" si="86"/>
        <v>0.3</v>
      </c>
      <c r="AE246" s="141">
        <f t="shared" si="86"/>
        <v>0.3</v>
      </c>
      <c r="AF246" s="141">
        <f t="shared" si="86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84"/>
        <v>0.4</v>
      </c>
      <c r="C247" s="129">
        <v>0.4</v>
      </c>
      <c r="D247" s="129">
        <f t="shared" si="85"/>
        <v>0.4</v>
      </c>
      <c r="E247" s="129">
        <f t="shared" si="85"/>
        <v>0.4</v>
      </c>
      <c r="F247" s="129">
        <f t="shared" si="85"/>
        <v>0.4</v>
      </c>
      <c r="G247" s="129">
        <f t="shared" si="85"/>
        <v>0.4</v>
      </c>
      <c r="H247" s="129">
        <f t="shared" si="85"/>
        <v>0.4</v>
      </c>
      <c r="I247" s="129">
        <f t="shared" si="85"/>
        <v>0.4</v>
      </c>
      <c r="J247" s="129">
        <f t="shared" si="85"/>
        <v>0.4</v>
      </c>
      <c r="K247" s="129">
        <f t="shared" si="85"/>
        <v>0.4</v>
      </c>
      <c r="L247" s="129">
        <f t="shared" si="85"/>
        <v>0.4</v>
      </c>
      <c r="M247" s="129">
        <f t="shared" si="85"/>
        <v>0.4</v>
      </c>
      <c r="N247" s="129">
        <f t="shared" si="85"/>
        <v>0.4</v>
      </c>
      <c r="O247" s="129">
        <f t="shared" si="85"/>
        <v>0.4</v>
      </c>
      <c r="P247" s="129">
        <f t="shared" si="85"/>
        <v>0.4</v>
      </c>
      <c r="Q247" s="129">
        <f t="shared" si="85"/>
        <v>0.4</v>
      </c>
      <c r="R247" s="129">
        <f t="shared" si="85"/>
        <v>0.4</v>
      </c>
      <c r="S247" s="129">
        <f t="shared" si="85"/>
        <v>0.4</v>
      </c>
      <c r="T247" s="129">
        <f t="shared" si="86"/>
        <v>0.4</v>
      </c>
      <c r="U247" s="129">
        <f t="shared" si="86"/>
        <v>0.4</v>
      </c>
      <c r="V247" s="129">
        <f t="shared" si="86"/>
        <v>0.4</v>
      </c>
      <c r="W247" s="129">
        <f t="shared" si="86"/>
        <v>0.4</v>
      </c>
      <c r="X247" s="129">
        <f t="shared" si="86"/>
        <v>0.4</v>
      </c>
      <c r="Y247" s="129">
        <f t="shared" si="86"/>
        <v>0.4</v>
      </c>
      <c r="Z247" s="129">
        <f t="shared" si="86"/>
        <v>0.4</v>
      </c>
      <c r="AA247" s="129">
        <f t="shared" si="86"/>
        <v>0.4</v>
      </c>
      <c r="AB247" s="129">
        <f t="shared" si="86"/>
        <v>0.4</v>
      </c>
      <c r="AC247" s="129">
        <f t="shared" si="86"/>
        <v>0.4</v>
      </c>
      <c r="AD247" s="129">
        <f t="shared" si="86"/>
        <v>0.4</v>
      </c>
      <c r="AE247" s="129">
        <f t="shared" si="86"/>
        <v>0.4</v>
      </c>
      <c r="AF247" s="129">
        <f t="shared" si="86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84"/>
        <v>1.5</v>
      </c>
      <c r="C248" s="129">
        <v>1.5</v>
      </c>
      <c r="D248" s="129">
        <f t="shared" si="85"/>
        <v>1.5</v>
      </c>
      <c r="E248" s="129">
        <f t="shared" si="85"/>
        <v>1.5</v>
      </c>
      <c r="F248" s="129">
        <f t="shared" si="85"/>
        <v>1.5</v>
      </c>
      <c r="G248" s="129">
        <f t="shared" si="85"/>
        <v>1.5</v>
      </c>
      <c r="H248" s="129">
        <f t="shared" si="85"/>
        <v>1.5</v>
      </c>
      <c r="I248" s="129">
        <f t="shared" si="85"/>
        <v>1.5</v>
      </c>
      <c r="J248" s="129">
        <f t="shared" si="85"/>
        <v>1.5</v>
      </c>
      <c r="K248" s="129">
        <f t="shared" si="85"/>
        <v>1.5</v>
      </c>
      <c r="L248" s="129">
        <f t="shared" si="85"/>
        <v>1.5</v>
      </c>
      <c r="M248" s="129">
        <f t="shared" si="85"/>
        <v>1.5</v>
      </c>
      <c r="N248" s="129">
        <f t="shared" si="85"/>
        <v>1.5</v>
      </c>
      <c r="O248" s="129">
        <f t="shared" si="85"/>
        <v>1.5</v>
      </c>
      <c r="P248" s="129">
        <f t="shared" si="85"/>
        <v>1.5</v>
      </c>
      <c r="Q248" s="129">
        <f t="shared" si="85"/>
        <v>1.5</v>
      </c>
      <c r="R248" s="129">
        <f t="shared" si="85"/>
        <v>1.5</v>
      </c>
      <c r="S248" s="129">
        <f t="shared" si="85"/>
        <v>1.5</v>
      </c>
      <c r="T248" s="129">
        <f t="shared" si="86"/>
        <v>1.5</v>
      </c>
      <c r="U248" s="129">
        <f t="shared" si="86"/>
        <v>1.5</v>
      </c>
      <c r="V248" s="129">
        <f t="shared" si="86"/>
        <v>1.5</v>
      </c>
      <c r="W248" s="129">
        <f t="shared" si="86"/>
        <v>1.5</v>
      </c>
      <c r="X248" s="129">
        <f t="shared" si="86"/>
        <v>1.5</v>
      </c>
      <c r="Y248" s="129">
        <f t="shared" si="86"/>
        <v>1.5</v>
      </c>
      <c r="Z248" s="129">
        <f t="shared" si="86"/>
        <v>1.5</v>
      </c>
      <c r="AA248" s="129">
        <f t="shared" si="86"/>
        <v>1.5</v>
      </c>
      <c r="AB248" s="129">
        <f t="shared" si="86"/>
        <v>1.5</v>
      </c>
      <c r="AC248" s="129">
        <f t="shared" si="86"/>
        <v>1.5</v>
      </c>
      <c r="AD248" s="129">
        <f t="shared" si="86"/>
        <v>1.5</v>
      </c>
      <c r="AE248" s="129">
        <f t="shared" si="86"/>
        <v>1.5</v>
      </c>
      <c r="AF248" s="129">
        <f t="shared" si="86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84"/>
        <v>0.3</v>
      </c>
      <c r="C249" s="129">
        <v>0.3</v>
      </c>
      <c r="D249" s="129">
        <f t="shared" si="85"/>
        <v>0.3</v>
      </c>
      <c r="E249" s="129">
        <f t="shared" si="85"/>
        <v>0.3</v>
      </c>
      <c r="F249" s="129">
        <f t="shared" si="85"/>
        <v>0.3</v>
      </c>
      <c r="G249" s="129">
        <f t="shared" si="85"/>
        <v>0.3</v>
      </c>
      <c r="H249" s="129">
        <f t="shared" si="85"/>
        <v>0.3</v>
      </c>
      <c r="I249" s="129">
        <f t="shared" si="85"/>
        <v>0.3</v>
      </c>
      <c r="J249" s="129">
        <f t="shared" si="85"/>
        <v>0.3</v>
      </c>
      <c r="K249" s="129">
        <f t="shared" si="85"/>
        <v>0.3</v>
      </c>
      <c r="L249" s="129">
        <f t="shared" si="85"/>
        <v>0.3</v>
      </c>
      <c r="M249" s="129">
        <f t="shared" si="85"/>
        <v>0.3</v>
      </c>
      <c r="N249" s="129">
        <f t="shared" si="85"/>
        <v>0.3</v>
      </c>
      <c r="O249" s="129">
        <f t="shared" si="85"/>
        <v>0.3</v>
      </c>
      <c r="P249" s="129">
        <f t="shared" si="85"/>
        <v>0.3</v>
      </c>
      <c r="Q249" s="129">
        <f t="shared" si="85"/>
        <v>0.3</v>
      </c>
      <c r="R249" s="129">
        <f t="shared" si="85"/>
        <v>0.3</v>
      </c>
      <c r="S249" s="129">
        <f t="shared" si="85"/>
        <v>0.3</v>
      </c>
      <c r="T249" s="129">
        <f t="shared" si="86"/>
        <v>0.3</v>
      </c>
      <c r="U249" s="129">
        <f t="shared" si="86"/>
        <v>0.3</v>
      </c>
      <c r="V249" s="129">
        <f t="shared" si="86"/>
        <v>0.3</v>
      </c>
      <c r="W249" s="129">
        <f t="shared" si="86"/>
        <v>0.3</v>
      </c>
      <c r="X249" s="129">
        <f t="shared" si="86"/>
        <v>0.3</v>
      </c>
      <c r="Y249" s="129">
        <f t="shared" si="86"/>
        <v>0.3</v>
      </c>
      <c r="Z249" s="129">
        <f t="shared" si="86"/>
        <v>0.3</v>
      </c>
      <c r="AA249" s="129">
        <f t="shared" si="86"/>
        <v>0.3</v>
      </c>
      <c r="AB249" s="129">
        <f t="shared" si="86"/>
        <v>0.3</v>
      </c>
      <c r="AC249" s="129">
        <f t="shared" si="86"/>
        <v>0.3</v>
      </c>
      <c r="AD249" s="129">
        <f t="shared" si="86"/>
        <v>0.3</v>
      </c>
      <c r="AE249" s="129">
        <f t="shared" si="86"/>
        <v>0.3</v>
      </c>
      <c r="AF249" s="129">
        <f t="shared" si="86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84"/>
        <v>0.4</v>
      </c>
      <c r="C250" s="129">
        <v>0.4</v>
      </c>
      <c r="D250" s="129">
        <f t="shared" si="85"/>
        <v>0.4</v>
      </c>
      <c r="E250" s="129">
        <f t="shared" si="85"/>
        <v>0.4</v>
      </c>
      <c r="F250" s="129">
        <f t="shared" si="85"/>
        <v>0.4</v>
      </c>
      <c r="G250" s="129">
        <f t="shared" si="85"/>
        <v>0.4</v>
      </c>
      <c r="H250" s="129">
        <f t="shared" si="85"/>
        <v>0.4</v>
      </c>
      <c r="I250" s="129">
        <f t="shared" si="85"/>
        <v>0.4</v>
      </c>
      <c r="J250" s="129">
        <f t="shared" si="85"/>
        <v>0.4</v>
      </c>
      <c r="K250" s="129">
        <f t="shared" si="85"/>
        <v>0.4</v>
      </c>
      <c r="L250" s="129">
        <f t="shared" si="85"/>
        <v>0.4</v>
      </c>
      <c r="M250" s="129">
        <f t="shared" si="85"/>
        <v>0.4</v>
      </c>
      <c r="N250" s="129">
        <f t="shared" si="85"/>
        <v>0.4</v>
      </c>
      <c r="O250" s="129">
        <f t="shared" si="85"/>
        <v>0.4</v>
      </c>
      <c r="P250" s="129">
        <f t="shared" si="85"/>
        <v>0.4</v>
      </c>
      <c r="Q250" s="129">
        <f t="shared" si="85"/>
        <v>0.4</v>
      </c>
      <c r="R250" s="129">
        <f t="shared" si="85"/>
        <v>0.4</v>
      </c>
      <c r="S250" s="129">
        <f t="shared" si="85"/>
        <v>0.4</v>
      </c>
      <c r="T250" s="129">
        <f t="shared" si="86"/>
        <v>0.4</v>
      </c>
      <c r="U250" s="129">
        <f t="shared" si="86"/>
        <v>0.4</v>
      </c>
      <c r="V250" s="129">
        <f t="shared" si="86"/>
        <v>0.4</v>
      </c>
      <c r="W250" s="129">
        <f t="shared" si="86"/>
        <v>0.4</v>
      </c>
      <c r="X250" s="129">
        <f t="shared" si="86"/>
        <v>0.4</v>
      </c>
      <c r="Y250" s="129">
        <f t="shared" si="86"/>
        <v>0.4</v>
      </c>
      <c r="Z250" s="129">
        <f t="shared" si="86"/>
        <v>0.4</v>
      </c>
      <c r="AA250" s="129">
        <f t="shared" si="86"/>
        <v>0.4</v>
      </c>
      <c r="AB250" s="129">
        <f t="shared" si="86"/>
        <v>0.4</v>
      </c>
      <c r="AC250" s="129">
        <f t="shared" si="86"/>
        <v>0.4</v>
      </c>
      <c r="AD250" s="129">
        <f t="shared" si="86"/>
        <v>0.4</v>
      </c>
      <c r="AE250" s="129">
        <f t="shared" si="86"/>
        <v>0.4</v>
      </c>
      <c r="AF250" s="129">
        <f t="shared" si="86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84"/>
        <v>0.64</v>
      </c>
      <c r="C251" s="133">
        <v>0.64</v>
      </c>
      <c r="D251" s="133">
        <f t="shared" si="85"/>
        <v>0.64</v>
      </c>
      <c r="E251" s="133">
        <f t="shared" si="85"/>
        <v>0.64</v>
      </c>
      <c r="F251" s="133">
        <f t="shared" si="85"/>
        <v>0.64</v>
      </c>
      <c r="G251" s="133">
        <f t="shared" si="85"/>
        <v>0.64</v>
      </c>
      <c r="H251" s="133">
        <f t="shared" si="85"/>
        <v>0.64</v>
      </c>
      <c r="I251" s="133">
        <f t="shared" si="85"/>
        <v>0.64</v>
      </c>
      <c r="J251" s="133">
        <f t="shared" si="85"/>
        <v>0.64</v>
      </c>
      <c r="K251" s="133">
        <f t="shared" si="85"/>
        <v>0.64</v>
      </c>
      <c r="L251" s="133">
        <f t="shared" si="85"/>
        <v>0.64</v>
      </c>
      <c r="M251" s="133">
        <f t="shared" si="85"/>
        <v>0.64</v>
      </c>
      <c r="N251" s="133">
        <f t="shared" si="85"/>
        <v>0.64</v>
      </c>
      <c r="O251" s="133">
        <f t="shared" si="85"/>
        <v>0.64</v>
      </c>
      <c r="P251" s="133">
        <f t="shared" si="85"/>
        <v>0.64</v>
      </c>
      <c r="Q251" s="133">
        <f t="shared" si="85"/>
        <v>0.64</v>
      </c>
      <c r="R251" s="133">
        <f t="shared" si="85"/>
        <v>0.64</v>
      </c>
      <c r="S251" s="133">
        <f t="shared" si="85"/>
        <v>0.64</v>
      </c>
      <c r="T251" s="133">
        <f t="shared" si="86"/>
        <v>0.64</v>
      </c>
      <c r="U251" s="133">
        <f t="shared" si="86"/>
        <v>0.64</v>
      </c>
      <c r="V251" s="133">
        <f t="shared" si="86"/>
        <v>0.64</v>
      </c>
      <c r="W251" s="133">
        <f t="shared" si="86"/>
        <v>0.64</v>
      </c>
      <c r="X251" s="133">
        <f t="shared" si="86"/>
        <v>0.64</v>
      </c>
      <c r="Y251" s="133">
        <f t="shared" si="86"/>
        <v>0.64</v>
      </c>
      <c r="Z251" s="133">
        <f t="shared" si="86"/>
        <v>0.64</v>
      </c>
      <c r="AA251" s="133">
        <f t="shared" si="86"/>
        <v>0.64</v>
      </c>
      <c r="AB251" s="133">
        <f t="shared" si="86"/>
        <v>0.64</v>
      </c>
      <c r="AC251" s="133">
        <f t="shared" si="86"/>
        <v>0.64</v>
      </c>
      <c r="AD251" s="133">
        <f t="shared" si="86"/>
        <v>0.64</v>
      </c>
      <c r="AE251" s="133">
        <f t="shared" si="86"/>
        <v>0.64</v>
      </c>
      <c r="AF251" s="133">
        <f t="shared" si="86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87">SUM(B246:B251)</f>
        <v>3.54</v>
      </c>
      <c r="C252" s="137">
        <f t="shared" si="87"/>
        <v>3.54</v>
      </c>
      <c r="D252" s="137">
        <f t="shared" si="87"/>
        <v>3.54</v>
      </c>
      <c r="E252" s="137">
        <f t="shared" si="87"/>
        <v>3.54</v>
      </c>
      <c r="F252" s="137">
        <f t="shared" si="87"/>
        <v>3.54</v>
      </c>
      <c r="G252" s="137">
        <f t="shared" si="87"/>
        <v>3.54</v>
      </c>
      <c r="H252" s="137">
        <f t="shared" si="87"/>
        <v>3.54</v>
      </c>
      <c r="I252" s="137">
        <f t="shared" si="87"/>
        <v>3.54</v>
      </c>
      <c r="J252" s="137">
        <f t="shared" si="87"/>
        <v>3.54</v>
      </c>
      <c r="K252" s="137">
        <f t="shared" si="87"/>
        <v>3.54</v>
      </c>
      <c r="L252" s="137">
        <f t="shared" si="87"/>
        <v>3.54</v>
      </c>
      <c r="M252" s="137">
        <f t="shared" si="87"/>
        <v>3.54</v>
      </c>
      <c r="N252" s="137">
        <f t="shared" si="87"/>
        <v>3.54</v>
      </c>
      <c r="O252" s="137">
        <f t="shared" si="87"/>
        <v>3.54</v>
      </c>
      <c r="P252" s="137">
        <f t="shared" si="87"/>
        <v>3.54</v>
      </c>
      <c r="Q252" s="137">
        <f t="shared" si="87"/>
        <v>3.54</v>
      </c>
      <c r="R252" s="137">
        <f t="shared" si="87"/>
        <v>3.54</v>
      </c>
      <c r="S252" s="137">
        <f t="shared" si="87"/>
        <v>3.54</v>
      </c>
      <c r="T252" s="137">
        <f t="shared" si="87"/>
        <v>3.54</v>
      </c>
      <c r="U252" s="137">
        <f t="shared" si="87"/>
        <v>3.54</v>
      </c>
      <c r="V252" s="137">
        <f t="shared" si="87"/>
        <v>3.54</v>
      </c>
      <c r="W252" s="137">
        <f t="shared" si="87"/>
        <v>3.54</v>
      </c>
      <c r="X252" s="137">
        <f t="shared" si="87"/>
        <v>3.54</v>
      </c>
      <c r="Y252" s="137">
        <f t="shared" si="87"/>
        <v>3.54</v>
      </c>
      <c r="Z252" s="137">
        <f t="shared" si="87"/>
        <v>3.54</v>
      </c>
      <c r="AA252" s="137">
        <f t="shared" si="87"/>
        <v>3.54</v>
      </c>
      <c r="AB252" s="137">
        <f t="shared" si="87"/>
        <v>3.54</v>
      </c>
      <c r="AC252" s="137">
        <f t="shared" si="87"/>
        <v>3.54</v>
      </c>
      <c r="AD252" s="137">
        <f t="shared" si="87"/>
        <v>3.54</v>
      </c>
      <c r="AE252" s="137">
        <f t="shared" si="87"/>
        <v>3.54</v>
      </c>
      <c r="AF252" s="137">
        <f t="shared" si="87"/>
        <v>3.54</v>
      </c>
      <c r="AG252" s="146">
        <f t="shared" si="87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1662.0400000000002</v>
      </c>
      <c r="C256" s="162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25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str">
        <f ca="1">"Pie Chart of Daily Peak Demand(Inclusive of Export) of Nepal ("&amp;A4&amp;" "&amp;B4&amp;")"</f>
        <v>Pie Chart of Daily Peak Demand(Inclusive of Export) of Nepal (Nepali Date: 2080/09/25)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str">
        <f ca="1">"Daily Load Curve(Excluding of Export) of Nepal ("&amp;A4&amp;" "&amp;B4&amp;")"</f>
        <v>Daily Load Curve(Excluding of Export) of Nepal (Nepali Date: 2080/09/25)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88">B99</f>
        <v>1014.24</v>
      </c>
      <c r="U261" s="171">
        <f t="shared" si="88"/>
        <v>986.24</v>
      </c>
      <c r="V261" s="171">
        <f t="shared" si="88"/>
        <v>978.34</v>
      </c>
      <c r="W261" s="171">
        <f t="shared" si="88"/>
        <v>970.6400000000001</v>
      </c>
      <c r="X261" s="171">
        <f t="shared" si="88"/>
        <v>990.1400000000001</v>
      </c>
      <c r="Y261" s="171">
        <f t="shared" si="88"/>
        <v>1055.1400000000001</v>
      </c>
      <c r="Z261" s="171">
        <f t="shared" si="88"/>
        <v>1106.54</v>
      </c>
      <c r="AA261" s="171">
        <f t="shared" si="88"/>
        <v>1254.6399999999999</v>
      </c>
      <c r="AB261" s="171">
        <f t="shared" si="88"/>
        <v>1355.2399999999998</v>
      </c>
      <c r="AC261" s="171">
        <f t="shared" si="88"/>
        <v>1480.04</v>
      </c>
      <c r="AD261" s="171">
        <f t="shared" si="88"/>
        <v>1597.44</v>
      </c>
      <c r="AE261" s="171">
        <f t="shared" si="88"/>
        <v>1662.0400000000002</v>
      </c>
      <c r="AF261" s="171">
        <f t="shared" si="88"/>
        <v>1646.14</v>
      </c>
      <c r="AG261" s="171">
        <f t="shared" si="88"/>
        <v>1562.34</v>
      </c>
      <c r="AH261" s="171">
        <f t="shared" si="88"/>
        <v>1508.1399999999999</v>
      </c>
      <c r="AI261" s="171">
        <f t="shared" si="88"/>
        <v>1435.24</v>
      </c>
      <c r="AJ261" s="171">
        <f t="shared" si="88"/>
        <v>1414.2399999999998</v>
      </c>
      <c r="AK261" s="171">
        <f t="shared" si="88"/>
        <v>1378.84</v>
      </c>
      <c r="AL261" s="171">
        <f t="shared" si="88"/>
        <v>1388.6399999999999</v>
      </c>
      <c r="AM261" s="171">
        <f t="shared" si="88"/>
        <v>1400.54</v>
      </c>
      <c r="AN261" s="171">
        <f t="shared" si="88"/>
        <v>1425.54</v>
      </c>
      <c r="AO261" s="171">
        <f t="shared" si="88"/>
        <v>1557.34</v>
      </c>
      <c r="AP261" s="171">
        <f t="shared" si="88"/>
        <v>1788.1</v>
      </c>
      <c r="AQ261" s="171">
        <f t="shared" si="88"/>
        <v>1751.5400000000002</v>
      </c>
      <c r="AR261" s="171">
        <f t="shared" si="88"/>
        <v>1671.7400000000002</v>
      </c>
      <c r="AS261" s="171">
        <f t="shared" si="88"/>
        <v>1625.74</v>
      </c>
      <c r="AT261" s="171">
        <f t="shared" si="88"/>
        <v>1584.6399999999999</v>
      </c>
      <c r="AU261" s="171">
        <f t="shared" si="88"/>
        <v>1481.04</v>
      </c>
      <c r="AV261" s="171">
        <f t="shared" si="88"/>
        <v>1325.54</v>
      </c>
      <c r="AW261" s="171">
        <f t="shared" si="88"/>
        <v>1189.94</v>
      </c>
      <c r="AX261" s="171">
        <f t="shared" si="88"/>
        <v>1051.04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89">C251</f>
        <v>0.64</v>
      </c>
      <c r="C282" s="174">
        <f t="shared" si="89"/>
        <v>0.64</v>
      </c>
      <c r="D282" s="174">
        <f t="shared" si="89"/>
        <v>0.64</v>
      </c>
      <c r="E282" s="174">
        <f t="shared" si="89"/>
        <v>0.64</v>
      </c>
      <c r="F282" s="174">
        <f t="shared" si="89"/>
        <v>0.64</v>
      </c>
      <c r="G282" s="174">
        <f t="shared" si="89"/>
        <v>0.64</v>
      </c>
      <c r="H282" s="174">
        <f t="shared" si="89"/>
        <v>0.64</v>
      </c>
      <c r="I282" s="174">
        <f t="shared" si="89"/>
        <v>0.64</v>
      </c>
      <c r="J282" s="174">
        <f t="shared" si="89"/>
        <v>0.64</v>
      </c>
      <c r="K282" s="174">
        <f t="shared" si="89"/>
        <v>0.64</v>
      </c>
      <c r="L282" s="174">
        <f t="shared" si="89"/>
        <v>0.64</v>
      </c>
      <c r="M282" s="174">
        <f t="shared" si="89"/>
        <v>0.64</v>
      </c>
      <c r="N282" s="174">
        <f t="shared" si="89"/>
        <v>0.64</v>
      </c>
      <c r="O282" s="174">
        <f t="shared" si="89"/>
        <v>0.64</v>
      </c>
      <c r="P282" s="174">
        <f t="shared" si="89"/>
        <v>0.64</v>
      </c>
      <c r="Q282" s="174">
        <f t="shared" si="89"/>
        <v>0.64</v>
      </c>
      <c r="R282" s="174">
        <f t="shared" si="89"/>
        <v>0.64</v>
      </c>
      <c r="S282" s="174">
        <f t="shared" si="89"/>
        <v>0.64</v>
      </c>
      <c r="T282" s="174">
        <f t="shared" si="89"/>
        <v>0.64</v>
      </c>
      <c r="U282" s="174">
        <f t="shared" si="89"/>
        <v>0.64</v>
      </c>
      <c r="V282" s="174">
        <f t="shared" si="89"/>
        <v>0.64</v>
      </c>
      <c r="W282" s="174">
        <f t="shared" si="89"/>
        <v>0.64</v>
      </c>
      <c r="X282" s="174">
        <f t="shared" si="89"/>
        <v>0.64</v>
      </c>
      <c r="Y282" s="174">
        <f t="shared" si="89"/>
        <v>0.64</v>
      </c>
      <c r="Z282" s="174">
        <f t="shared" si="89"/>
        <v>0.64</v>
      </c>
      <c r="AA282" s="174">
        <f t="shared" si="89"/>
        <v>0.64</v>
      </c>
      <c r="AB282" s="174">
        <f t="shared" si="89"/>
        <v>0.64</v>
      </c>
      <c r="AC282" s="174">
        <f t="shared" si="89"/>
        <v>0.64</v>
      </c>
      <c r="AD282" s="174">
        <f t="shared" si="89"/>
        <v>0.64</v>
      </c>
      <c r="AE282" s="174">
        <f t="shared" si="89"/>
        <v>0.64</v>
      </c>
      <c r="AF282" s="174">
        <f>B251</f>
        <v>0.64</v>
      </c>
      <c r="AG282" s="43"/>
      <c r="AH282" s="43"/>
    </row>
    <row r="283" spans="1:34" x14ac:dyDescent="0.25">
      <c r="A283" s="175" t="e">
        <f>#REF!</f>
        <v>#REF!</v>
      </c>
      <c r="B283" s="175" t="e">
        <f>IF(#REF!&lt;100,"",#REF!-520)</f>
        <v>#REF!</v>
      </c>
      <c r="C283" s="175" t="e">
        <f>IF(#REF!&lt;100,"",#REF!-520)</f>
        <v>#REF!</v>
      </c>
      <c r="D283" s="175" t="e">
        <f>IF(#REF!&lt;100,"",#REF!-520)</f>
        <v>#REF!</v>
      </c>
      <c r="E283" s="175" t="e">
        <f>IF(#REF!&lt;100,"",#REF!-520)</f>
        <v>#REF!</v>
      </c>
      <c r="F283" s="175" t="e">
        <f>IF(#REF!&lt;100,"",#REF!-520)</f>
        <v>#REF!</v>
      </c>
      <c r="G283" s="175" t="e">
        <f>IF(#REF!&lt;100,"",#REF!-520)</f>
        <v>#REF!</v>
      </c>
      <c r="H283" s="175" t="e">
        <f>IF(#REF!&lt;100,"",#REF!-520)</f>
        <v>#REF!</v>
      </c>
      <c r="I283" s="175" t="e">
        <f>IF(#REF!&lt;100,"",#REF!-520)</f>
        <v>#REF!</v>
      </c>
      <c r="J283" s="175" t="e">
        <f>IF(#REF!&lt;100,"",#REF!-520)</f>
        <v>#REF!</v>
      </c>
      <c r="K283" s="175" t="e">
        <f>IF(#REF!&lt;100,"",#REF!-520)</f>
        <v>#REF!</v>
      </c>
      <c r="L283" s="175" t="e">
        <f>IF(#REF!&lt;100,"",#REF!-520)</f>
        <v>#REF!</v>
      </c>
      <c r="M283" s="175" t="e">
        <f>IF(#REF!&lt;100,"",#REF!-520)</f>
        <v>#REF!</v>
      </c>
      <c r="N283" s="175" t="e">
        <f>IF(#REF!&lt;100,"",#REF!-520)</f>
        <v>#REF!</v>
      </c>
      <c r="O283" s="175" t="e">
        <f>IF(#REF!&lt;100,"",#REF!-520)</f>
        <v>#REF!</v>
      </c>
      <c r="P283" s="175" t="e">
        <f>IF(#REF!&lt;100,"",#REF!-520)</f>
        <v>#REF!</v>
      </c>
      <c r="Q283" s="175" t="e">
        <f>IF(#REF!&lt;100,"",#REF!-520)</f>
        <v>#REF!</v>
      </c>
      <c r="R283" s="175" t="e">
        <f>IF(#REF!&lt;100,"",#REF!-520)</f>
        <v>#REF!</v>
      </c>
      <c r="S283" s="175" t="e">
        <f>IF(#REF!&lt;100,"",#REF!-520)</f>
        <v>#REF!</v>
      </c>
      <c r="T283" s="175" t="e">
        <f>IF(#REF!&lt;100,"",#REF!-520)</f>
        <v>#REF!</v>
      </c>
      <c r="U283" s="175" t="e">
        <f>IF(#REF!&lt;100,"",#REF!-520)</f>
        <v>#REF!</v>
      </c>
      <c r="V283" s="175" t="e">
        <f>IF(#REF!&lt;100,"",#REF!-520)</f>
        <v>#REF!</v>
      </c>
      <c r="W283" s="175" t="e">
        <f>IF(#REF!&lt;100,"",#REF!-520)</f>
        <v>#REF!</v>
      </c>
      <c r="X283" s="175" t="e">
        <f>IF(#REF!&lt;100,"",#REF!-520)</f>
        <v>#REF!</v>
      </c>
      <c r="Y283" s="175" t="e">
        <f>IF(#REF!&lt;100,"",#REF!-520)</f>
        <v>#REF!</v>
      </c>
      <c r="Z283" s="175" t="e">
        <f>IF(#REF!&lt;100,"",#REF!-520)</f>
        <v>#REF!</v>
      </c>
      <c r="AA283" s="175" t="e">
        <f>IF(#REF!&lt;100,"",#REF!-520)</f>
        <v>#REF!</v>
      </c>
      <c r="AB283" s="175" t="e">
        <f>IF(#REF!&lt;100,"",#REF!-520)</f>
        <v>#REF!</v>
      </c>
      <c r="AC283" s="175" t="e">
        <f>IF(#REF!&lt;100,"",#REF!-520)</f>
        <v>#REF!</v>
      </c>
      <c r="AD283" s="175" t="e">
        <f>IF(#REF!&lt;100,"",#REF!-520)</f>
        <v>#REF!</v>
      </c>
      <c r="AE283" s="175" t="e">
        <f>IF(#REF!&lt;100,"",#REF!-520)</f>
        <v>#REF!</v>
      </c>
      <c r="AF283" s="175" t="e">
        <f>IF(#REF!&lt;100,"",#REF!-520)</f>
        <v>#REF!</v>
      </c>
      <c r="AG283" s="43"/>
      <c r="AH283" s="43"/>
    </row>
    <row r="284" spans="1:34" x14ac:dyDescent="0.25">
      <c r="A284" s="175" t="e">
        <f>#REF!</f>
        <v>#REF!</v>
      </c>
      <c r="B284" s="175" t="e">
        <f>IF(#REF!&lt;100,"",#REF!-620)</f>
        <v>#REF!</v>
      </c>
      <c r="C284" s="175" t="e">
        <f>IF(#REF!&lt;100,"",#REF!-620)</f>
        <v>#REF!</v>
      </c>
      <c r="D284" s="175" t="e">
        <f>IF(#REF!&lt;100,"",#REF!-620)</f>
        <v>#REF!</v>
      </c>
      <c r="E284" s="175" t="e">
        <f>IF(#REF!&lt;100,"",#REF!-620)</f>
        <v>#REF!</v>
      </c>
      <c r="F284" s="175" t="e">
        <f>IF(#REF!&lt;100,"",#REF!-620)</f>
        <v>#REF!</v>
      </c>
      <c r="G284" s="175" t="e">
        <f>IF(#REF!&lt;100,"",#REF!-620)</f>
        <v>#REF!</v>
      </c>
      <c r="H284" s="175" t="e">
        <f>IF(#REF!&lt;100,"",#REF!-620)</f>
        <v>#REF!</v>
      </c>
      <c r="I284" s="175" t="e">
        <f>IF(#REF!&lt;100,"",#REF!-620)</f>
        <v>#REF!</v>
      </c>
      <c r="J284" s="175" t="e">
        <f>IF(#REF!&lt;100,"",#REF!-620)</f>
        <v>#REF!</v>
      </c>
      <c r="K284" s="175" t="e">
        <f>IF(#REF!&lt;100,"",#REF!-620)</f>
        <v>#REF!</v>
      </c>
      <c r="L284" s="175" t="e">
        <f>IF(#REF!&lt;100,"",#REF!-620)</f>
        <v>#REF!</v>
      </c>
      <c r="M284" s="175" t="e">
        <f>IF(#REF!&lt;100,"",#REF!-620)</f>
        <v>#REF!</v>
      </c>
      <c r="N284" s="175" t="e">
        <f>IF(#REF!&lt;100,"",#REF!-620)</f>
        <v>#REF!</v>
      </c>
      <c r="O284" s="175" t="e">
        <f>IF(#REF!&lt;100,"",#REF!-620)</f>
        <v>#REF!</v>
      </c>
      <c r="P284" s="175" t="e">
        <f>IF(#REF!&lt;100,"",#REF!-620)</f>
        <v>#REF!</v>
      </c>
      <c r="Q284" s="175" t="e">
        <f>IF(#REF!&lt;100,"",#REF!-620)</f>
        <v>#REF!</v>
      </c>
      <c r="R284" s="175" t="e">
        <f>IF(#REF!&lt;100,"",#REF!-620)</f>
        <v>#REF!</v>
      </c>
      <c r="S284" s="175" t="e">
        <f>IF(#REF!&lt;100,"",#REF!-620)</f>
        <v>#REF!</v>
      </c>
      <c r="T284" s="175" t="e">
        <f>IF(#REF!&lt;100,"",#REF!-620)</f>
        <v>#REF!</v>
      </c>
      <c r="U284" s="175" t="e">
        <f>IF(#REF!&lt;100,"",#REF!-620)</f>
        <v>#REF!</v>
      </c>
      <c r="V284" s="175" t="e">
        <f>IF(#REF!&lt;100,"",#REF!-620)</f>
        <v>#REF!</v>
      </c>
      <c r="W284" s="175" t="e">
        <f>IF(#REF!&lt;100,"",#REF!-620)</f>
        <v>#REF!</v>
      </c>
      <c r="X284" s="175" t="e">
        <f>IF(#REF!&lt;100,"",#REF!-620)</f>
        <v>#REF!</v>
      </c>
      <c r="Y284" s="175" t="e">
        <f>IF(#REF!&lt;100,"",#REF!-620)</f>
        <v>#REF!</v>
      </c>
      <c r="Z284" s="175" t="e">
        <f>IF(#REF!&lt;100,"",#REF!-620)</f>
        <v>#REF!</v>
      </c>
      <c r="AA284" s="175" t="e">
        <f>IF(#REF!&lt;100,"",#REF!-620)</f>
        <v>#REF!</v>
      </c>
      <c r="AB284" s="175" t="e">
        <f>IF(#REF!&lt;100,"",#REF!-620)</f>
        <v>#REF!</v>
      </c>
      <c r="AC284" s="175" t="e">
        <f>IF(#REF!&lt;100,"",#REF!-620)</f>
        <v>#REF!</v>
      </c>
      <c r="AD284" s="175" t="e">
        <f>IF(#REF!&lt;100,"",#REF!-620)</f>
        <v>#REF!</v>
      </c>
      <c r="AE284" s="175" t="e">
        <f>IF(#REF!&lt;100,"",#REF!-620)</f>
        <v>#REF!</v>
      </c>
      <c r="AF284" s="175" t="e">
        <f>IF(#REF!&lt;100,"",#REF!-620)</f>
        <v>#REF!</v>
      </c>
      <c r="AG284" s="43"/>
      <c r="AH284" s="43"/>
    </row>
    <row r="285" spans="1:34" x14ac:dyDescent="0.25">
      <c r="A285" s="175" t="e">
        <f>#REF!</f>
        <v>#REF!</v>
      </c>
      <c r="B285" s="175" t="e">
        <f>IF(#REF!&lt;100,"",#REF!-330)</f>
        <v>#REF!</v>
      </c>
      <c r="C285" s="175" t="e">
        <f>IF(#REF!&lt;100,"",#REF!-330)</f>
        <v>#REF!</v>
      </c>
      <c r="D285" s="175" t="e">
        <f>IF(#REF!&lt;100,"",#REF!-330)</f>
        <v>#REF!</v>
      </c>
      <c r="E285" s="175" t="e">
        <f>IF(#REF!&lt;100,"",#REF!-330)</f>
        <v>#REF!</v>
      </c>
      <c r="F285" s="175" t="e">
        <f>IF(#REF!&lt;100,"",#REF!-330)</f>
        <v>#REF!</v>
      </c>
      <c r="G285" s="175" t="e">
        <f>IF(#REF!&lt;100,"",#REF!-330)</f>
        <v>#REF!</v>
      </c>
      <c r="H285" s="175" t="e">
        <f>IF(#REF!&lt;100,"",#REF!-330)</f>
        <v>#REF!</v>
      </c>
      <c r="I285" s="175" t="e">
        <f>IF(#REF!&lt;100,"",#REF!-330)</f>
        <v>#REF!</v>
      </c>
      <c r="J285" s="175" t="e">
        <f>IF(#REF!&lt;100,"",#REF!-330)</f>
        <v>#REF!</v>
      </c>
      <c r="K285" s="175" t="e">
        <f>IF(#REF!&lt;100,"",#REF!-330)</f>
        <v>#REF!</v>
      </c>
      <c r="L285" s="175" t="e">
        <f>IF(#REF!&lt;100,"",#REF!-330)</f>
        <v>#REF!</v>
      </c>
      <c r="M285" s="175" t="e">
        <f>IF(#REF!&lt;100,"",#REF!-330)</f>
        <v>#REF!</v>
      </c>
      <c r="N285" s="175" t="e">
        <f>IF(#REF!&lt;100,"",#REF!-330)</f>
        <v>#REF!</v>
      </c>
      <c r="O285" s="175" t="e">
        <f>IF(#REF!&lt;100,"",#REF!-330)</f>
        <v>#REF!</v>
      </c>
      <c r="P285" s="175" t="e">
        <f>IF(#REF!&lt;100,"",#REF!-330)</f>
        <v>#REF!</v>
      </c>
      <c r="Q285" s="175" t="e">
        <f>IF(#REF!&lt;100,"",#REF!-330)</f>
        <v>#REF!</v>
      </c>
      <c r="R285" s="175" t="e">
        <f>IF(#REF!&lt;100,"",#REF!-330)</f>
        <v>#REF!</v>
      </c>
      <c r="S285" s="175" t="e">
        <f>IF(#REF!&lt;100,"",#REF!-330)</f>
        <v>#REF!</v>
      </c>
      <c r="T285" s="175" t="e">
        <f>IF(#REF!&lt;100,"",#REF!-330)</f>
        <v>#REF!</v>
      </c>
      <c r="U285" s="175" t="e">
        <f>IF(#REF!&lt;100,"",#REF!-330)</f>
        <v>#REF!</v>
      </c>
      <c r="V285" s="175" t="e">
        <f>IF(#REF!&lt;100,"",#REF!-330)</f>
        <v>#REF!</v>
      </c>
      <c r="W285" s="175" t="e">
        <f>IF(#REF!&lt;100,"",#REF!-330)</f>
        <v>#REF!</v>
      </c>
      <c r="X285" s="175" t="e">
        <f>IF(#REF!&lt;100,"",#REF!-330)</f>
        <v>#REF!</v>
      </c>
      <c r="Y285" s="175" t="e">
        <f>IF(#REF!&lt;100,"",#REF!-330)</f>
        <v>#REF!</v>
      </c>
      <c r="Z285" s="175" t="e">
        <f>IF(#REF!&lt;100,"",#REF!-330)</f>
        <v>#REF!</v>
      </c>
      <c r="AA285" s="175" t="e">
        <f>IF(#REF!&lt;100,"",#REF!-330)</f>
        <v>#REF!</v>
      </c>
      <c r="AB285" s="175" t="e">
        <f>IF(#REF!&lt;100,"",#REF!-330)</f>
        <v>#REF!</v>
      </c>
      <c r="AC285" s="175" t="e">
        <f>IF(#REF!&lt;100,"",#REF!-330)</f>
        <v>#REF!</v>
      </c>
      <c r="AD285" s="175" t="e">
        <f>IF(#REF!&lt;100,"",#REF!-330)</f>
        <v>#REF!</v>
      </c>
      <c r="AE285" s="175" t="e">
        <f>IF(#REF!&lt;100,"",#REF!-330)</f>
        <v>#REF!</v>
      </c>
      <c r="AF285" s="175" t="e">
        <f>IF(#REF!&lt;100,"",#REF!-330)</f>
        <v>#REF!</v>
      </c>
      <c r="AG285" s="43"/>
      <c r="AH285" s="43"/>
    </row>
    <row r="286" spans="1:34" x14ac:dyDescent="0.25">
      <c r="A286" s="175" t="e">
        <f>#REF!</f>
        <v>#REF!</v>
      </c>
      <c r="B286" s="175" t="e">
        <f>IF(#REF!&lt;100,"",#REF!-1500)</f>
        <v>#REF!</v>
      </c>
      <c r="C286" s="175" t="e">
        <f>IF(#REF!&lt;100,"",#REF!-1500)</f>
        <v>#REF!</v>
      </c>
      <c r="D286" s="175" t="e">
        <f>IF(#REF!&lt;100,"",#REF!-1500)</f>
        <v>#REF!</v>
      </c>
      <c r="E286" s="175" t="e">
        <f>IF(#REF!&lt;100,"",#REF!-1500)</f>
        <v>#REF!</v>
      </c>
      <c r="F286" s="175" t="e">
        <f>IF(#REF!&lt;100,"",#REF!-1500)</f>
        <v>#REF!</v>
      </c>
      <c r="G286" s="175" t="e">
        <f>IF(#REF!&lt;100,"",#REF!-1500)</f>
        <v>#REF!</v>
      </c>
      <c r="H286" s="175" t="e">
        <f>IF(#REF!&lt;100,"",#REF!-1500)</f>
        <v>#REF!</v>
      </c>
      <c r="I286" s="175" t="e">
        <f>IF(#REF!&lt;100,"",#REF!-1500)</f>
        <v>#REF!</v>
      </c>
      <c r="J286" s="175" t="e">
        <f>IF(#REF!&lt;100,"",#REF!-1500)</f>
        <v>#REF!</v>
      </c>
      <c r="K286" s="175" t="e">
        <f>IF(#REF!&lt;100,"",#REF!-1500)</f>
        <v>#REF!</v>
      </c>
      <c r="L286" s="175" t="e">
        <f>IF(#REF!&lt;100,"",#REF!-1500)</f>
        <v>#REF!</v>
      </c>
      <c r="M286" s="175" t="e">
        <f>IF(#REF!&lt;100,"",#REF!-1500)</f>
        <v>#REF!</v>
      </c>
      <c r="N286" s="175" t="e">
        <f>IF(#REF!&lt;100,"",#REF!-1500)</f>
        <v>#REF!</v>
      </c>
      <c r="O286" s="175" t="e">
        <f>IF(#REF!&lt;100,"",#REF!-1500)</f>
        <v>#REF!</v>
      </c>
      <c r="P286" s="175" t="e">
        <f>IF(#REF!&lt;100,"",#REF!-1500)</f>
        <v>#REF!</v>
      </c>
      <c r="Q286" s="175" t="e">
        <f>IF(#REF!&lt;100,"",#REF!-1500)</f>
        <v>#REF!</v>
      </c>
      <c r="R286" s="175" t="e">
        <f>IF(#REF!&lt;100,"",#REF!-1500)</f>
        <v>#REF!</v>
      </c>
      <c r="S286" s="175" t="e">
        <f>IF(#REF!&lt;100,"",#REF!-1500)</f>
        <v>#REF!</v>
      </c>
      <c r="T286" s="175" t="e">
        <f>IF(#REF!&lt;100,"",#REF!-1500)</f>
        <v>#REF!</v>
      </c>
      <c r="U286" s="175" t="e">
        <f>IF(#REF!&lt;100,"",#REF!-1500)</f>
        <v>#REF!</v>
      </c>
      <c r="V286" s="175" t="e">
        <f>IF(#REF!&lt;100,"",#REF!-1500)</f>
        <v>#REF!</v>
      </c>
      <c r="W286" s="175" t="e">
        <f>IF(#REF!&lt;100,"",#REF!-1500)</f>
        <v>#REF!</v>
      </c>
      <c r="X286" s="175" t="e">
        <f>IF(#REF!&lt;100,"",#REF!-1500)</f>
        <v>#REF!</v>
      </c>
      <c r="Y286" s="175" t="e">
        <f>IF(#REF!&lt;100,"",#REF!-1500)</f>
        <v>#REF!</v>
      </c>
      <c r="Z286" s="175" t="e">
        <f>IF(#REF!&lt;100,"",#REF!-1500)</f>
        <v>#REF!</v>
      </c>
      <c r="AA286" s="175" t="e">
        <f>IF(#REF!&lt;100,"",#REF!-1500)</f>
        <v>#REF!</v>
      </c>
      <c r="AB286" s="175" t="e">
        <f>IF(#REF!&lt;100,"",#REF!-1500)</f>
        <v>#REF!</v>
      </c>
      <c r="AC286" s="175" t="e">
        <f>IF(#REF!&lt;100,"",#REF!-1500)</f>
        <v>#REF!</v>
      </c>
      <c r="AD286" s="175" t="e">
        <f>IF(#REF!&lt;100,"",#REF!-1500)</f>
        <v>#REF!</v>
      </c>
      <c r="AE286" s="175" t="e">
        <f>IF(#REF!&lt;100,"",#REF!-1500)</f>
        <v>#REF!</v>
      </c>
      <c r="AF286" s="175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853" priority="111">
      <formula>$AH11=0</formula>
    </cfRule>
  </conditionalFormatting>
  <conditionalFormatting sqref="A132:A253">
    <cfRule type="expression" dxfId="852" priority="62">
      <formula>$AH132=0</formula>
    </cfRule>
  </conditionalFormatting>
  <conditionalFormatting sqref="B8 M8 S8 AB8">
    <cfRule type="expression" dxfId="851" priority="171">
      <formula>AND(C$9&gt;=14/24,C$9&lt;20/24)</formula>
    </cfRule>
    <cfRule type="expression" dxfId="850" priority="173">
      <formula>C$9&lt;8/24</formula>
    </cfRule>
    <cfRule type="expression" dxfId="849" priority="172">
      <formula>AND(C$9&gt;=8/24,C$9&lt;14/24)</formula>
    </cfRule>
  </conditionalFormatting>
  <conditionalFormatting sqref="B63:J74 K69:AF74">
    <cfRule type="expression" dxfId="848" priority="52">
      <formula>B$9&lt;8/24</formula>
    </cfRule>
    <cfRule type="expression" dxfId="847" priority="51">
      <formula>AND(B$9&gt;=8/24,B$9&lt;14/24)</formula>
    </cfRule>
    <cfRule type="expression" dxfId="846" priority="50">
      <formula>AND(B$9&gt;=14/24,B$9&lt;20/24)</formula>
    </cfRule>
    <cfRule type="expression" dxfId="845" priority="49">
      <formula>B$9&gt;=20/24</formula>
    </cfRule>
  </conditionalFormatting>
  <conditionalFormatting sqref="B11:W52">
    <cfRule type="expression" dxfId="844" priority="20">
      <formula>B$9&gt;=20/24</formula>
    </cfRule>
    <cfRule type="expression" dxfId="843" priority="21">
      <formula>AND(B$9&gt;=14/24,B$9&lt;20/24)</formula>
    </cfRule>
    <cfRule type="expression" dxfId="842" priority="22">
      <formula>AND(B$9&gt;=8/24,B$9&lt;14/24)</formula>
    </cfRule>
    <cfRule type="expression" dxfId="841" priority="23">
      <formula>B$9&lt;8/24</formula>
    </cfRule>
  </conditionalFormatting>
  <conditionalFormatting sqref="B11:W54">
    <cfRule type="expression" dxfId="840" priority="13">
      <formula>B11&gt;$AG11</formula>
    </cfRule>
  </conditionalFormatting>
  <conditionalFormatting sqref="B53:W54">
    <cfRule type="expression" dxfId="839" priority="12">
      <formula>B$9&lt;8/24</formula>
    </cfRule>
  </conditionalFormatting>
  <conditionalFormatting sqref="B55:W55">
    <cfRule type="expression" dxfId="838" priority="29">
      <formula>B55&gt;$AG55</formula>
    </cfRule>
  </conditionalFormatting>
  <conditionalFormatting sqref="B55:W56">
    <cfRule type="expression" dxfId="837" priority="28">
      <formula>B$9&lt;8/24</formula>
    </cfRule>
  </conditionalFormatting>
  <conditionalFormatting sqref="B57:AB57">
    <cfRule type="expression" dxfId="836" priority="57">
      <formula>B$9&lt;8/24</formula>
    </cfRule>
  </conditionalFormatting>
  <conditionalFormatting sqref="B9:AF10 X11:AF52">
    <cfRule type="expression" dxfId="835" priority="85">
      <formula>B$9&lt;8/24</formula>
    </cfRule>
    <cfRule type="expression" dxfId="834" priority="84">
      <formula>AND(B$9&gt;=8/24,B$9&lt;14/24)</formula>
    </cfRule>
    <cfRule type="expression" dxfId="833" priority="83">
      <formula>AND(B$9&gt;=14/24,B$9&lt;20/24)</formula>
    </cfRule>
  </conditionalFormatting>
  <conditionalFormatting sqref="B53:AF54">
    <cfRule type="expression" dxfId="832" priority="9">
      <formula>B$9&gt;=20/24</formula>
    </cfRule>
    <cfRule type="expression" dxfId="831" priority="10">
      <formula>AND(B$9&gt;=14/24,B$9&lt;20/24)</formula>
    </cfRule>
    <cfRule type="expression" dxfId="830" priority="11">
      <formula>AND(B$9&gt;=8/24,B$9&lt;14/24)</formula>
    </cfRule>
  </conditionalFormatting>
  <conditionalFormatting sqref="B55:AF57">
    <cfRule type="expression" dxfId="829" priority="25">
      <formula>B$9&gt;=20/24</formula>
    </cfRule>
    <cfRule type="expression" dxfId="828" priority="26">
      <formula>AND(B$9&gt;=14/24,B$9&lt;20/24)</formula>
    </cfRule>
    <cfRule type="expression" dxfId="827" priority="27">
      <formula>AND(B$9&gt;=8/24,B$9&lt;14/24)</formula>
    </cfRule>
  </conditionalFormatting>
  <conditionalFormatting sqref="B56:AF61">
    <cfRule type="expression" dxfId="826" priority="24">
      <formula>B56&gt;$AG56</formula>
    </cfRule>
  </conditionalFormatting>
  <conditionalFormatting sqref="B59:AF61">
    <cfRule type="expression" dxfId="825" priority="38">
      <formula>B$9&lt;8/24</formula>
    </cfRule>
    <cfRule type="expression" dxfId="824" priority="36">
      <formula>AND(B$9&gt;=14/24,B$9&lt;20/24)</formula>
    </cfRule>
    <cfRule type="expression" dxfId="823" priority="35">
      <formula>B$9&gt;=20/24</formula>
    </cfRule>
    <cfRule type="expression" dxfId="822" priority="37">
      <formula>AND(B$9&gt;=8/24,B$9&lt;14/24)</formula>
    </cfRule>
  </conditionalFormatting>
  <conditionalFormatting sqref="B63:AF74">
    <cfRule type="expression" dxfId="821" priority="18">
      <formula>B63&gt;$AG63</formula>
    </cfRule>
  </conditionalFormatting>
  <conditionalFormatting sqref="B77:AF79">
    <cfRule type="expression" dxfId="820" priority="39">
      <formula>B77&gt;$AG77</formula>
    </cfRule>
    <cfRule type="expression" dxfId="819" priority="40">
      <formula>B$9&gt;=20/24</formula>
    </cfRule>
    <cfRule type="expression" dxfId="818" priority="41">
      <formula>AND(B$9&gt;=14/24,B$9&lt;20/24)</formula>
    </cfRule>
    <cfRule type="expression" dxfId="817" priority="42">
      <formula>AND(B$9&gt;=8/24,B$9&lt;14/24)</formula>
    </cfRule>
    <cfRule type="expression" dxfId="816" priority="43">
      <formula>B$9&lt;8/24</formula>
    </cfRule>
  </conditionalFormatting>
  <conditionalFormatting sqref="B81:AF99">
    <cfRule type="expression" dxfId="815" priority="16">
      <formula>AND(B$9&gt;=8/24,B$9&lt;14/24)</formula>
    </cfRule>
    <cfRule type="expression" dxfId="814" priority="17">
      <formula>B$9&lt;8/24</formula>
    </cfRule>
    <cfRule type="expression" dxfId="813" priority="15">
      <formula>AND(B$9&gt;=14/24,B$9&lt;20/24)</formula>
    </cfRule>
    <cfRule type="expression" dxfId="812" priority="14">
      <formula>B$9&gt;=20/24</formula>
    </cfRule>
  </conditionalFormatting>
  <conditionalFormatting sqref="B101:AF117">
    <cfRule type="expression" dxfId="811" priority="5">
      <formula>B$9&gt;=20/24</formula>
    </cfRule>
    <cfRule type="expression" dxfId="810" priority="6">
      <formula>AND(B$9&gt;=14/24,B$9&lt;20/24)</formula>
    </cfRule>
    <cfRule type="expression" dxfId="809" priority="8">
      <formula>B$9&lt;8/24</formula>
    </cfRule>
    <cfRule type="expression" dxfId="808" priority="7">
      <formula>AND(B$9&gt;=8/24,B$9&lt;14/24)</formula>
    </cfRule>
  </conditionalFormatting>
  <conditionalFormatting sqref="B119:AF137">
    <cfRule type="expression" dxfId="807" priority="2">
      <formula>AND(B$9&gt;=14/24,B$9&lt;20/24)</formula>
    </cfRule>
    <cfRule type="expression" dxfId="806" priority="3">
      <formula>AND(B$9&gt;=8/24,B$9&lt;14/24)</formula>
    </cfRule>
    <cfRule type="expression" dxfId="805" priority="4">
      <formula>B$9&lt;8/24</formula>
    </cfRule>
    <cfRule type="expression" dxfId="804" priority="1">
      <formula>B$9&gt;=20/24</formula>
    </cfRule>
  </conditionalFormatting>
  <conditionalFormatting sqref="B244:AF244 B246:B252 D246:AF252 U260:AF260">
    <cfRule type="expression" dxfId="803" priority="165">
      <formula>AND(B$9&gt;=14/24,B$9&lt;20/24)</formula>
    </cfRule>
    <cfRule type="expression" dxfId="802" priority="166">
      <formula>AND(B$9&gt;=8/24,B$9&lt;14/24)</formula>
    </cfRule>
    <cfRule type="expression" dxfId="801" priority="164">
      <formula>B$9&gt;=20/24</formula>
    </cfRule>
    <cfRule type="expression" dxfId="800" priority="167">
      <formula>B$9&lt;8/24</formula>
    </cfRule>
  </conditionalFormatting>
  <conditionalFormatting sqref="B62:AG62">
    <cfRule type="expression" dxfId="799" priority="44">
      <formula>B62&gt;$AG62</formula>
    </cfRule>
    <cfRule type="expression" dxfId="798" priority="45">
      <formula>B$9&gt;=20/24</formula>
    </cfRule>
    <cfRule type="expression" dxfId="797" priority="46">
      <formula>AND(B$9&gt;=14/24,B$9&lt;20/24)</formula>
    </cfRule>
    <cfRule type="expression" dxfId="796" priority="47">
      <formula>AND(B$9&gt;=8/24,B$9&lt;14/24)</formula>
    </cfRule>
    <cfRule type="expression" dxfId="795" priority="48">
      <formula>B$9&lt;8/24</formula>
    </cfRule>
  </conditionalFormatting>
  <conditionalFormatting sqref="B75:AG76 B80:AG80">
    <cfRule type="expression" dxfId="794" priority="30">
      <formula>B75&gt;$AG75</formula>
    </cfRule>
  </conditionalFormatting>
  <conditionalFormatting sqref="B80:AG80">
    <cfRule type="expression" dxfId="793" priority="33">
      <formula>AND(B$9&gt;=8/24,B$9&lt;14/24)</formula>
    </cfRule>
    <cfRule type="expression" dxfId="792" priority="34">
      <formula>B$9&lt;8/24</formula>
    </cfRule>
    <cfRule type="expression" dxfId="791" priority="31">
      <formula>B$9&gt;=20/24</formula>
    </cfRule>
    <cfRule type="expression" dxfId="790" priority="32">
      <formula>AND(B$9&gt;=14/24,B$9&lt;20/24)</formula>
    </cfRule>
  </conditionalFormatting>
  <conditionalFormatting sqref="K63:N65">
    <cfRule type="expression" dxfId="789" priority="148">
      <formula>K$9&lt;8/24</formula>
    </cfRule>
    <cfRule type="expression" dxfId="788" priority="147">
      <formula>AND(K$9&gt;=8/24,K$9&lt;14/24)</formula>
    </cfRule>
    <cfRule type="expression" dxfId="787" priority="146">
      <formula>AND(K$9&gt;=14/24,K$9&lt;20/24)</formula>
    </cfRule>
    <cfRule type="expression" dxfId="786" priority="145">
      <formula>K$9&gt;=20/24</formula>
    </cfRule>
  </conditionalFormatting>
  <conditionalFormatting sqref="K69:N69">
    <cfRule type="expression" dxfId="785" priority="113">
      <formula>AND(K$9&gt;=14/24,K$9&lt;20/24)</formula>
    </cfRule>
    <cfRule type="expression" dxfId="784" priority="114">
      <formula>AND(K$9&gt;=8/24,K$9&lt;14/24)</formula>
    </cfRule>
    <cfRule type="expression" dxfId="783" priority="112">
      <formula>K$9&gt;=20/24</formula>
    </cfRule>
    <cfRule type="expression" dxfId="782" priority="115">
      <formula>K$9&lt;8/24</formula>
    </cfRule>
  </conditionalFormatting>
  <conditionalFormatting sqref="K68:W68">
    <cfRule type="expression" dxfId="781" priority="125">
      <formula>K$9&lt;8/24</formula>
    </cfRule>
    <cfRule type="expression" dxfId="780" priority="122">
      <formula>K$9&gt;=20/24</formula>
    </cfRule>
    <cfRule type="expression" dxfId="779" priority="123">
      <formula>AND(K$9&gt;=14/24,K$9&lt;20/24)</formula>
    </cfRule>
    <cfRule type="expression" dxfId="778" priority="124">
      <formula>AND(K$9&gt;=8/24,K$9&lt;14/24)</formula>
    </cfRule>
  </conditionalFormatting>
  <conditionalFormatting sqref="O3:P3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O63:W67 M66:N67">
    <cfRule type="expression" dxfId="777" priority="149">
      <formula>M$9&gt;=20/24</formula>
    </cfRule>
    <cfRule type="expression" dxfId="776" priority="150">
      <formula>AND(M$9&gt;=14/24,M$9&lt;20/24)</formula>
    </cfRule>
    <cfRule type="expression" dxfId="775" priority="151">
      <formula>AND(M$9&gt;=8/24,M$9&lt;14/24)</formula>
    </cfRule>
    <cfRule type="expression" dxfId="774" priority="152">
      <formula>M$9&lt;8/24</formula>
    </cfRule>
  </conditionalFormatting>
  <conditionalFormatting sqref="S8 AB8 B8 M8">
    <cfRule type="expression" dxfId="773" priority="170">
      <formula>C$9&gt;=20/24</formula>
    </cfRule>
  </conditionalFormatting>
  <conditionalFormatting sqref="S8">
    <cfRule type="expression" dxfId="772" priority="160">
      <formula>U$9&lt;8/24</formula>
    </cfRule>
    <cfRule type="expression" dxfId="771" priority="157">
      <formula>U$9&gt;=20/24</formula>
    </cfRule>
    <cfRule type="expression" dxfId="770" priority="158">
      <formula>AND(U$9&gt;=14/24,U$9&lt;20/24)</formula>
    </cfRule>
    <cfRule type="expression" dxfId="769" priority="159">
      <formula>AND(U$9&gt;=8/24,U$9&lt;14/24)</formula>
    </cfRule>
  </conditionalFormatting>
  <conditionalFormatting sqref="S63:AF68">
    <cfRule type="expression" dxfId="768" priority="116">
      <formula>S$9&gt;=20/24</formula>
    </cfRule>
    <cfRule type="expression" dxfId="767" priority="119">
      <formula>S$9&lt;8/24</formula>
    </cfRule>
    <cfRule type="expression" dxfId="766" priority="118">
      <formula>AND(S$9&gt;=8/24,S$9&lt;14/24)</formula>
    </cfRule>
    <cfRule type="expression" dxfId="765" priority="117">
      <formula>AND(S$9&gt;=14/24,S$9&lt;20/24)</formula>
    </cfRule>
  </conditionalFormatting>
  <conditionalFormatting sqref="T260">
    <cfRule type="expression" dxfId="764" priority="184">
      <formula>AND(AX$9&gt;=8/24,AX$9&lt;14/24)</formula>
    </cfRule>
    <cfRule type="expression" dxfId="763" priority="182">
      <formula>AX$9&gt;=20/24</formula>
    </cfRule>
    <cfRule type="expression" dxfId="762" priority="183">
      <formula>AND(AX$9&gt;=14/24,AX$9&lt;20/24)</formula>
    </cfRule>
    <cfRule type="expression" dxfId="761" priority="185">
      <formula>AX$9&lt;8/24</formula>
    </cfRule>
  </conditionalFormatting>
  <conditionalFormatting sqref="V3 AB3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X53:AB56 AC53:AF57">
    <cfRule type="expression" dxfId="760" priority="120">
      <formula>X$9&lt;8/24</formula>
    </cfRule>
  </conditionalFormatting>
  <conditionalFormatting sqref="X11:AF52 B9:AF10">
    <cfRule type="expression" dxfId="759" priority="82">
      <formula>B$9&gt;=20/24</formula>
    </cfRule>
  </conditionalFormatting>
  <conditionalFormatting sqref="X11:AF52">
    <cfRule type="expression" dxfId="758" priority="81">
      <formula>X11&gt;$AG11</formula>
    </cfRule>
  </conditionalFormatting>
  <conditionalFormatting sqref="X53:AF55">
    <cfRule type="expression" dxfId="757" priority="121">
      <formula>X53&gt;$AG53</formula>
    </cfRule>
  </conditionalFormatting>
  <conditionalFormatting sqref="AB8">
    <cfRule type="expression" dxfId="756" priority="156">
      <formula>AD$9&lt;8/24</formula>
    </cfRule>
    <cfRule type="expression" dxfId="755" priority="153">
      <formula>AD$9&gt;=20/24</formula>
    </cfRule>
    <cfRule type="expression" dxfId="754" priority="154">
      <formula>AND(AD$9&gt;=14/24,AD$9&lt;20/24)</formula>
    </cfRule>
    <cfRule type="expression" dxfId="753" priority="155">
      <formula>AND(AD$9&gt;=8/24,AD$9&lt;14/24)</formula>
    </cfRule>
  </conditionalFormatting>
  <conditionalFormatting sqref="AG58">
    <cfRule type="expression" dxfId="752" priority="140">
      <formula>AG58&gt;$AG58</formula>
    </cfRule>
  </conditionalFormatting>
  <conditionalFormatting sqref="AG97">
    <cfRule type="expression" dxfId="751" priority="143">
      <formula>AND(AG$9&gt;=8/24,AG$9&lt;14/24)</formula>
    </cfRule>
    <cfRule type="expression" dxfId="750" priority="141">
      <formula>AG$9&gt;=20/24</formula>
    </cfRule>
    <cfRule type="expression" dxfId="749" priority="142">
      <formula>AND(AG$9&gt;=14/24,AG$9&lt;20/24)</formula>
    </cfRule>
    <cfRule type="expression" dxfId="748" priority="144">
      <formula>AG$9&lt;8/24</formula>
    </cfRule>
  </conditionalFormatting>
  <conditionalFormatting sqref="AG260">
    <cfRule type="expression" dxfId="747" priority="174">
      <formula>B$9&gt;=20/24</formula>
    </cfRule>
    <cfRule type="expression" dxfId="746" priority="175">
      <formula>AND(B$9&gt;=14/24,B$9&lt;20/24)</formula>
    </cfRule>
    <cfRule type="expression" dxfId="745" priority="177">
      <formula>B$9&lt;8/24</formula>
    </cfRule>
    <cfRule type="expression" dxfId="744" priority="176">
      <formula>AND(B$9&gt;=8/24,B$9&lt;14/24)</formula>
    </cfRule>
  </conditionalFormatting>
  <conditionalFormatting sqref="AH260:AX260">
    <cfRule type="expression" dxfId="743" priority="178">
      <formula>AG$9&gt;=20/24</formula>
    </cfRule>
    <cfRule type="expression" dxfId="742" priority="179">
      <formula>AND(AG$9&gt;=14/24,AG$9&lt;20/24)</formula>
    </cfRule>
    <cfRule type="expression" dxfId="741" priority="180">
      <formula>AND(AG$9&gt;=8/24,AG$9&lt;14/24)</formula>
    </cfRule>
    <cfRule type="expression" dxfId="740" priority="181">
      <formula>AG$9&lt;8/24</formula>
    </cfRule>
  </conditionalFormatting>
  <conditionalFormatting sqref="AL4:AL6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739" priority="187">
      <formula>AJ$9&gt;=20/24</formula>
    </cfRule>
    <cfRule type="expression" dxfId="738" priority="188">
      <formula>AND(AJ$9&gt;=14/24,AJ$9&lt;20/24)</formula>
    </cfRule>
    <cfRule type="expression" dxfId="737" priority="189">
      <formula>AND(AJ$9&gt;=8/24,AJ$9&lt;14/24)</formula>
    </cfRule>
    <cfRule type="expression" dxfId="736" priority="190">
      <formula>AJ$9&lt;8/24</formula>
    </cfRule>
  </conditionalFormatting>
  <conditionalFormatting sqref="AL88:AN88 AL94:AN94">
    <cfRule type="expression" dxfId="735" priority="135">
      <formula>AND(AL$9&gt;=8/24,AL$9&lt;14/24)</formula>
    </cfRule>
    <cfRule type="expression" dxfId="734" priority="134">
      <formula>AND(AL$9&gt;=14/24,AL$9&lt;20/24)</formula>
    </cfRule>
    <cfRule type="expression" dxfId="733" priority="133">
      <formula>AL$9&gt;=20/24</formula>
    </cfRule>
    <cfRule type="expression" dxfId="732" priority="136">
      <formula>AL$9&lt;8/24</formula>
    </cfRule>
  </conditionalFormatting>
  <conditionalFormatting sqref="AN89:AN92">
    <cfRule type="expression" dxfId="731" priority="132">
      <formula>AN$9&lt;8/24</formula>
    </cfRule>
    <cfRule type="expression" dxfId="730" priority="131">
      <formula>AND(AN$9&gt;=8/24,AN$9&lt;14/24)</formula>
    </cfRule>
    <cfRule type="expression" dxfId="729" priority="130">
      <formula>AND(AN$9&gt;=14/24,AN$9&lt;20/24)</formula>
    </cfRule>
    <cfRule type="expression" dxfId="728" priority="129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5DB7-08EC-40BE-AB89-9D6DE8814E1C}">
  <sheetPr codeName="Sheet27"/>
  <dimension ref="A1:CJ293"/>
  <sheetViews>
    <sheetView zoomScale="106" workbookViewId="0">
      <pane xSplit="1" ySplit="10" topLeftCell="B82" activePane="bottomRight" state="frozen"/>
      <selection activeCell="P118" sqref="P118"/>
      <selection pane="topRight" activeCell="P118" sqref="P118"/>
      <selection pane="bottomLeft" activeCell="P118" sqref="P118"/>
      <selection pane="bottomRight" activeCell="N121" sqref="N12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4" width="8" style="1" bestFit="1" customWidth="1"/>
    <col min="15" max="15" width="7.42578125" style="1" bestFit="1" customWidth="1"/>
    <col min="16" max="16" width="6.85546875" style="1" customWidth="1"/>
    <col min="17" max="17" width="7.140625" style="1" customWidth="1"/>
    <col min="18" max="18" width="7" style="1" customWidth="1"/>
    <col min="19" max="19" width="8" style="1" customWidth="1"/>
    <col min="20" max="20" width="8" style="1" bestFit="1" customWidth="1"/>
    <col min="21" max="21" width="7.42578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2080/09/26</v>
      </c>
      <c r="C4" s="246"/>
      <c r="D4" s="246"/>
      <c r="E4" s="247" t="str">
        <f ca="1">"2080/"&amp;"09/"&amp;INT(MID(CELL("filename",G6),FIND("]",CELL("filename",G6))+1,200))</f>
        <v>2080/09/26</v>
      </c>
      <c r="F4" s="247"/>
      <c r="G4" s="247"/>
      <c r="H4" s="247" t="str">
        <f ca="1">TEXT(E4,"dddd")</f>
        <v>Thursday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253</v>
      </c>
      <c r="C5" s="30">
        <f t="shared" si="0"/>
        <v>252</v>
      </c>
      <c r="D5" s="30">
        <f t="shared" si="0"/>
        <v>239.6</v>
      </c>
      <c r="E5" s="30">
        <f t="shared" si="0"/>
        <v>244</v>
      </c>
      <c r="F5" s="30">
        <f t="shared" si="0"/>
        <v>329</v>
      </c>
      <c r="G5" s="30">
        <f t="shared" si="0"/>
        <v>381</v>
      </c>
      <c r="H5" s="30">
        <f t="shared" si="0"/>
        <v>428</v>
      </c>
      <c r="I5" s="30">
        <f t="shared" si="0"/>
        <v>443.3</v>
      </c>
      <c r="J5" s="30">
        <f t="shared" si="0"/>
        <v>439</v>
      </c>
      <c r="K5" s="30">
        <f t="shared" si="0"/>
        <v>202.2</v>
      </c>
      <c r="L5" s="30">
        <f t="shared" si="0"/>
        <v>327</v>
      </c>
      <c r="M5" s="30">
        <f t="shared" si="0"/>
        <v>169.3</v>
      </c>
      <c r="N5" s="30">
        <f t="shared" si="0"/>
        <v>255.8</v>
      </c>
      <c r="O5" s="30">
        <f t="shared" si="0"/>
        <v>369.8</v>
      </c>
      <c r="P5" s="30">
        <f t="shared" si="0"/>
        <v>431.3</v>
      </c>
      <c r="Q5" s="30">
        <f t="shared" si="0"/>
        <v>478.8</v>
      </c>
      <c r="R5" s="30">
        <f t="shared" si="0"/>
        <v>489.2</v>
      </c>
      <c r="S5" s="30">
        <f t="shared" si="0"/>
        <v>487.4</v>
      </c>
      <c r="T5" s="30">
        <f t="shared" si="0"/>
        <v>482.5</v>
      </c>
      <c r="U5" s="30">
        <f t="shared" si="0"/>
        <v>395.4</v>
      </c>
      <c r="V5" s="30">
        <f t="shared" si="0"/>
        <v>349.6</v>
      </c>
      <c r="W5" s="30">
        <f t="shared" si="0"/>
        <v>324</v>
      </c>
      <c r="X5" s="30">
        <f t="shared" si="0"/>
        <v>307.10000000000002</v>
      </c>
      <c r="Y5" s="30">
        <f t="shared" si="0"/>
        <v>327.09999999999997</v>
      </c>
      <c r="Z5" s="30">
        <f t="shared" si="0"/>
        <v>346.79999999999995</v>
      </c>
      <c r="AA5" s="30">
        <f t="shared" si="0"/>
        <v>294</v>
      </c>
      <c r="AB5" s="30">
        <f t="shared" si="0"/>
        <v>312.3</v>
      </c>
      <c r="AC5" s="30">
        <f t="shared" si="0"/>
        <v>336</v>
      </c>
      <c r="AD5" s="30">
        <f t="shared" si="0"/>
        <v>309</v>
      </c>
      <c r="AE5" s="30">
        <f t="shared" si="0"/>
        <v>300.2</v>
      </c>
      <c r="AF5" s="30">
        <f>B92</f>
        <v>256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Load=965</v>
      </c>
      <c r="B7" s="35">
        <f>B100</f>
        <v>997.04</v>
      </c>
      <c r="C7" s="35">
        <f t="shared" ref="C7:AF7" si="1">C100</f>
        <v>976.04</v>
      </c>
      <c r="D7" s="35">
        <f t="shared" si="1"/>
        <v>974.04</v>
      </c>
      <c r="E7" s="35">
        <f t="shared" si="1"/>
        <v>964.54000000000019</v>
      </c>
      <c r="F7" s="35">
        <f t="shared" si="1"/>
        <v>970.34000000000015</v>
      </c>
      <c r="G7" s="35">
        <f t="shared" si="1"/>
        <v>1065.04</v>
      </c>
      <c r="H7" s="35">
        <f t="shared" si="1"/>
        <v>1114.04</v>
      </c>
      <c r="I7" s="35">
        <f t="shared" si="1"/>
        <v>1161.8400000000001</v>
      </c>
      <c r="J7" s="35">
        <f t="shared" si="1"/>
        <v>1362.94</v>
      </c>
      <c r="K7" s="35">
        <f t="shared" si="1"/>
        <v>1518.5400000000002</v>
      </c>
      <c r="L7" s="35">
        <f t="shared" si="1"/>
        <v>1692.24</v>
      </c>
      <c r="M7" s="35">
        <f t="shared" si="1"/>
        <v>1726.94</v>
      </c>
      <c r="N7" s="35">
        <f t="shared" si="1"/>
        <v>1563.3400000000001</v>
      </c>
      <c r="O7" s="35">
        <f t="shared" si="1"/>
        <v>1524.84</v>
      </c>
      <c r="P7" s="35">
        <f t="shared" si="1"/>
        <v>1512.24</v>
      </c>
      <c r="Q7" s="35">
        <f t="shared" si="1"/>
        <v>1426.34</v>
      </c>
      <c r="R7" s="35">
        <f t="shared" si="1"/>
        <v>1399.84</v>
      </c>
      <c r="S7" s="35">
        <f t="shared" si="1"/>
        <v>1397.84</v>
      </c>
      <c r="T7" s="35">
        <f t="shared" si="1"/>
        <v>1394.94</v>
      </c>
      <c r="U7" s="35">
        <f t="shared" si="1"/>
        <v>1387.54</v>
      </c>
      <c r="V7" s="35">
        <f t="shared" si="1"/>
        <v>1395.1399999999999</v>
      </c>
      <c r="W7" s="35">
        <f t="shared" si="1"/>
        <v>1485.1399999999999</v>
      </c>
      <c r="X7" s="35">
        <f t="shared" si="1"/>
        <v>1726.5</v>
      </c>
      <c r="Y7" s="35">
        <f t="shared" si="1"/>
        <v>1744.94</v>
      </c>
      <c r="Z7" s="35">
        <f t="shared" si="1"/>
        <v>1670.04</v>
      </c>
      <c r="AA7" s="35">
        <f t="shared" si="1"/>
        <v>1572.24</v>
      </c>
      <c r="AB7" s="35">
        <f t="shared" si="1"/>
        <v>1585.64</v>
      </c>
      <c r="AC7" s="35">
        <f t="shared" si="1"/>
        <v>1518.14</v>
      </c>
      <c r="AD7" s="35">
        <f t="shared" si="1"/>
        <v>1471.0400000000002</v>
      </c>
      <c r="AE7" s="35">
        <f t="shared" si="1"/>
        <v>1192.3400000000001</v>
      </c>
      <c r="AF7" s="35">
        <f t="shared" si="1"/>
        <v>1070.8400000000001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32.5</v>
      </c>
      <c r="C11" s="45">
        <v>32.5</v>
      </c>
      <c r="D11" s="45">
        <v>32.5</v>
      </c>
      <c r="E11" s="45">
        <v>35.4</v>
      </c>
      <c r="F11" s="45">
        <v>35.4</v>
      </c>
      <c r="G11" s="45">
        <v>32</v>
      </c>
      <c r="H11" s="45">
        <v>32</v>
      </c>
      <c r="I11" s="45">
        <v>32.9</v>
      </c>
      <c r="J11" s="45">
        <v>35.200000000000003</v>
      </c>
      <c r="K11" s="45">
        <v>34.200000000000003</v>
      </c>
      <c r="L11" s="45">
        <v>34.299999999999997</v>
      </c>
      <c r="M11" s="45">
        <v>34.200000000000003</v>
      </c>
      <c r="N11" s="45">
        <v>34.200000000000003</v>
      </c>
      <c r="O11" s="45">
        <v>34.200000000000003</v>
      </c>
      <c r="P11" s="45">
        <v>34.200000000000003</v>
      </c>
      <c r="Q11" s="45">
        <v>34.200000000000003</v>
      </c>
      <c r="R11" s="45">
        <v>34.200000000000003</v>
      </c>
      <c r="S11" s="45">
        <v>33.4</v>
      </c>
      <c r="T11" s="45">
        <v>33.4</v>
      </c>
      <c r="U11" s="45">
        <v>32.9</v>
      </c>
      <c r="V11" s="45">
        <v>32.9</v>
      </c>
      <c r="W11" s="45">
        <v>32.9</v>
      </c>
      <c r="X11" s="45">
        <v>32.9</v>
      </c>
      <c r="Y11" s="45">
        <v>32.9</v>
      </c>
      <c r="Z11" s="45">
        <v>32.9</v>
      </c>
      <c r="AA11" s="45">
        <v>32.9</v>
      </c>
      <c r="AB11" s="45">
        <v>33.4</v>
      </c>
      <c r="AC11" s="45">
        <v>33.4</v>
      </c>
      <c r="AD11" s="45">
        <v>33.4</v>
      </c>
      <c r="AE11" s="45">
        <v>33.4</v>
      </c>
      <c r="AF11" s="45">
        <v>33.4</v>
      </c>
      <c r="AG11" s="46">
        <v>86</v>
      </c>
      <c r="AH11" s="47">
        <f t="shared" ref="AH11:AH84" si="2">MAX(B11:AF11)</f>
        <v>35.4</v>
      </c>
      <c r="AI11" s="48">
        <f t="shared" ref="AI11:AI84" si="3">MIN(B11:AF11)</f>
        <v>32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10.5</v>
      </c>
      <c r="C12" s="45">
        <v>10.5</v>
      </c>
      <c r="D12" s="45">
        <v>10.5</v>
      </c>
      <c r="E12" s="45">
        <v>10.5</v>
      </c>
      <c r="F12" s="45">
        <v>10.5</v>
      </c>
      <c r="G12" s="45">
        <v>10.5</v>
      </c>
      <c r="H12" s="45">
        <v>10.5</v>
      </c>
      <c r="I12" s="45">
        <v>10.5</v>
      </c>
      <c r="J12" s="45">
        <v>10.5</v>
      </c>
      <c r="K12" s="45">
        <v>10.5</v>
      </c>
      <c r="L12" s="45">
        <v>10.5</v>
      </c>
      <c r="M12" s="45">
        <v>10.5</v>
      </c>
      <c r="N12" s="45">
        <v>10.5</v>
      </c>
      <c r="O12" s="45">
        <v>10.5</v>
      </c>
      <c r="P12" s="45">
        <v>10.5</v>
      </c>
      <c r="Q12" s="45">
        <v>10.5</v>
      </c>
      <c r="R12" s="45">
        <v>10.5</v>
      </c>
      <c r="S12" s="45">
        <v>10.5</v>
      </c>
      <c r="T12" s="45">
        <v>10.5</v>
      </c>
      <c r="U12" s="45">
        <v>10.5</v>
      </c>
      <c r="V12" s="45">
        <v>10.5</v>
      </c>
      <c r="W12" s="45">
        <v>10.5</v>
      </c>
      <c r="X12" s="45">
        <v>10.5</v>
      </c>
      <c r="Y12" s="45">
        <v>10.5</v>
      </c>
      <c r="Z12" s="45">
        <v>10.5</v>
      </c>
      <c r="AA12" s="45">
        <v>10.5</v>
      </c>
      <c r="AB12" s="45">
        <v>10.5</v>
      </c>
      <c r="AC12" s="45">
        <v>10.5</v>
      </c>
      <c r="AD12" s="45">
        <v>10.5</v>
      </c>
      <c r="AE12" s="45">
        <v>10.5</v>
      </c>
      <c r="AF12" s="45">
        <v>10.5</v>
      </c>
      <c r="AG12" s="49">
        <v>54</v>
      </c>
      <c r="AH12" s="47">
        <f t="shared" si="2"/>
        <v>10.5</v>
      </c>
      <c r="AI12" s="48">
        <f t="shared" si="3"/>
        <v>10.5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</v>
      </c>
      <c r="C13" s="45">
        <v>15</v>
      </c>
      <c r="D13" s="45">
        <v>15</v>
      </c>
      <c r="E13" s="45">
        <v>15</v>
      </c>
      <c r="F13" s="45">
        <v>15</v>
      </c>
      <c r="G13" s="45">
        <v>15</v>
      </c>
      <c r="H13" s="45">
        <v>15</v>
      </c>
      <c r="I13" s="45">
        <v>15</v>
      </c>
      <c r="J13" s="45">
        <v>15</v>
      </c>
      <c r="K13" s="45">
        <v>15</v>
      </c>
      <c r="L13" s="45">
        <v>15</v>
      </c>
      <c r="M13" s="45">
        <v>15</v>
      </c>
      <c r="N13" s="45">
        <v>15</v>
      </c>
      <c r="O13" s="45">
        <v>15</v>
      </c>
      <c r="P13" s="45">
        <v>15</v>
      </c>
      <c r="Q13" s="45">
        <v>15</v>
      </c>
      <c r="R13" s="45">
        <v>15</v>
      </c>
      <c r="S13" s="45">
        <v>15</v>
      </c>
      <c r="T13" s="45">
        <v>15</v>
      </c>
      <c r="U13" s="45">
        <v>15</v>
      </c>
      <c r="V13" s="45">
        <v>15</v>
      </c>
      <c r="W13" s="45">
        <v>15</v>
      </c>
      <c r="X13" s="45">
        <v>15</v>
      </c>
      <c r="Y13" s="45">
        <v>15</v>
      </c>
      <c r="Z13" s="45">
        <v>15</v>
      </c>
      <c r="AA13" s="45">
        <v>15</v>
      </c>
      <c r="AB13" s="45">
        <v>15</v>
      </c>
      <c r="AC13" s="45">
        <v>15</v>
      </c>
      <c r="AD13" s="45">
        <v>15</v>
      </c>
      <c r="AE13" s="45">
        <v>15</v>
      </c>
      <c r="AF13" s="45">
        <v>15</v>
      </c>
      <c r="AG13" s="49">
        <v>54</v>
      </c>
      <c r="AH13" s="47">
        <f t="shared" si="2"/>
        <v>15</v>
      </c>
      <c r="AI13" s="48">
        <f t="shared" si="3"/>
        <v>15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17.5</v>
      </c>
      <c r="C14" s="45">
        <v>17.5</v>
      </c>
      <c r="D14" s="45">
        <v>17.5</v>
      </c>
      <c r="E14" s="45">
        <v>17.5</v>
      </c>
      <c r="F14" s="45">
        <v>17.5</v>
      </c>
      <c r="G14" s="45">
        <v>17.5</v>
      </c>
      <c r="H14" s="45">
        <v>17.5</v>
      </c>
      <c r="I14" s="45">
        <v>17.5</v>
      </c>
      <c r="J14" s="45">
        <v>17.5</v>
      </c>
      <c r="K14" s="45">
        <v>17.5</v>
      </c>
      <c r="L14" s="45">
        <v>17.5</v>
      </c>
      <c r="M14" s="45">
        <v>17.100000000000001</v>
      </c>
      <c r="N14" s="45">
        <v>17.100000000000001</v>
      </c>
      <c r="O14" s="45">
        <v>17.100000000000001</v>
      </c>
      <c r="P14" s="45">
        <v>17.100000000000001</v>
      </c>
      <c r="Q14" s="45">
        <v>17.100000000000001</v>
      </c>
      <c r="R14" s="45">
        <v>17.100000000000001</v>
      </c>
      <c r="S14" s="45">
        <v>16.5</v>
      </c>
      <c r="T14" s="45">
        <v>16.5</v>
      </c>
      <c r="U14" s="45">
        <v>16.5</v>
      </c>
      <c r="V14" s="45">
        <v>16.5</v>
      </c>
      <c r="W14" s="45">
        <v>16.5</v>
      </c>
      <c r="X14" s="45">
        <v>16.5</v>
      </c>
      <c r="Y14" s="45">
        <v>16.5</v>
      </c>
      <c r="Z14" s="45">
        <v>16.5</v>
      </c>
      <c r="AA14" s="45">
        <v>16.5</v>
      </c>
      <c r="AB14" s="45">
        <v>16.5</v>
      </c>
      <c r="AC14" s="45">
        <v>16.5</v>
      </c>
      <c r="AD14" s="45">
        <v>16.5</v>
      </c>
      <c r="AE14" s="45">
        <v>16.5</v>
      </c>
      <c r="AF14" s="45">
        <v>16.5</v>
      </c>
      <c r="AG14" s="46">
        <v>52.4</v>
      </c>
      <c r="AH14" s="47">
        <f t="shared" si="2"/>
        <v>17.5</v>
      </c>
      <c r="AI14" s="48">
        <f t="shared" si="3"/>
        <v>16.5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37.700000000000003</v>
      </c>
      <c r="C15" s="45">
        <v>37.700000000000003</v>
      </c>
      <c r="D15" s="45">
        <v>37.700000000000003</v>
      </c>
      <c r="E15" s="45">
        <v>37.700000000000003</v>
      </c>
      <c r="F15" s="45">
        <v>37.700000000000003</v>
      </c>
      <c r="G15" s="45">
        <v>37.700000000000003</v>
      </c>
      <c r="H15" s="45">
        <v>37.700000000000003</v>
      </c>
      <c r="I15" s="45">
        <v>37.700000000000003</v>
      </c>
      <c r="J15" s="45">
        <v>37.700000000000003</v>
      </c>
      <c r="K15" s="45">
        <v>37.700000000000003</v>
      </c>
      <c r="L15" s="45">
        <v>37.700000000000003</v>
      </c>
      <c r="M15" s="51">
        <v>37.4</v>
      </c>
      <c r="N15" s="51">
        <v>37.4</v>
      </c>
      <c r="O15" s="51">
        <v>37.4</v>
      </c>
      <c r="P15" s="51">
        <v>37.4</v>
      </c>
      <c r="Q15" s="51">
        <v>37.4</v>
      </c>
      <c r="R15" s="51">
        <v>37.4</v>
      </c>
      <c r="S15" s="51">
        <v>37.5</v>
      </c>
      <c r="T15" s="51">
        <v>37.5</v>
      </c>
      <c r="U15" s="51">
        <v>37</v>
      </c>
      <c r="V15" s="51">
        <v>37</v>
      </c>
      <c r="W15" s="51">
        <v>37</v>
      </c>
      <c r="X15" s="51">
        <v>37</v>
      </c>
      <c r="Y15" s="51">
        <v>37</v>
      </c>
      <c r="Z15" s="51">
        <v>37</v>
      </c>
      <c r="AA15" s="51">
        <v>37</v>
      </c>
      <c r="AB15" s="51">
        <v>37</v>
      </c>
      <c r="AC15" s="51">
        <v>37</v>
      </c>
      <c r="AD15" s="51">
        <v>37</v>
      </c>
      <c r="AE15" s="51">
        <v>37</v>
      </c>
      <c r="AF15" s="51">
        <v>37</v>
      </c>
      <c r="AG15" s="49">
        <v>50</v>
      </c>
      <c r="AH15" s="47">
        <f t="shared" si="2"/>
        <v>37.700000000000003</v>
      </c>
      <c r="AI15" s="48">
        <f t="shared" si="3"/>
        <v>37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18</v>
      </c>
      <c r="C16" s="45">
        <v>18</v>
      </c>
      <c r="D16" s="45">
        <v>18</v>
      </c>
      <c r="E16" s="45">
        <v>18</v>
      </c>
      <c r="F16" s="45">
        <v>18</v>
      </c>
      <c r="G16" s="45">
        <v>18</v>
      </c>
      <c r="H16" s="45">
        <v>18</v>
      </c>
      <c r="I16" s="45">
        <v>18</v>
      </c>
      <c r="J16" s="45">
        <v>18</v>
      </c>
      <c r="K16" s="45">
        <v>18</v>
      </c>
      <c r="L16" s="45">
        <v>18</v>
      </c>
      <c r="M16" s="45">
        <v>18.3</v>
      </c>
      <c r="N16" s="45">
        <v>18.3</v>
      </c>
      <c r="O16" s="45">
        <v>18.3</v>
      </c>
      <c r="P16" s="45">
        <v>18.3</v>
      </c>
      <c r="Q16" s="45">
        <v>18.3</v>
      </c>
      <c r="R16" s="45">
        <v>18.3</v>
      </c>
      <c r="S16" s="45">
        <v>17.899999999999999</v>
      </c>
      <c r="T16" s="45">
        <v>19.100000000000001</v>
      </c>
      <c r="U16" s="45">
        <v>20.8</v>
      </c>
      <c r="V16" s="45">
        <v>20.8</v>
      </c>
      <c r="W16" s="45">
        <v>20.8</v>
      </c>
      <c r="X16" s="45">
        <v>20.8</v>
      </c>
      <c r="Y16" s="45">
        <v>20.8</v>
      </c>
      <c r="Z16" s="45">
        <v>20.8</v>
      </c>
      <c r="AA16" s="45">
        <v>20.8</v>
      </c>
      <c r="AB16" s="45">
        <v>20.8</v>
      </c>
      <c r="AC16" s="45">
        <v>20.8</v>
      </c>
      <c r="AD16" s="45">
        <v>20.8</v>
      </c>
      <c r="AE16" s="45">
        <v>20.8</v>
      </c>
      <c r="AF16" s="45">
        <v>20.8</v>
      </c>
      <c r="AG16" s="49">
        <v>45</v>
      </c>
      <c r="AH16" s="47">
        <f t="shared" si="2"/>
        <v>20.8</v>
      </c>
      <c r="AI16" s="48">
        <f t="shared" si="3"/>
        <v>17.899999999999999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9.5</v>
      </c>
      <c r="C18" s="45">
        <v>9.5</v>
      </c>
      <c r="D18" s="45">
        <v>9.5</v>
      </c>
      <c r="E18" s="45">
        <v>9.5</v>
      </c>
      <c r="F18" s="45">
        <v>9.5</v>
      </c>
      <c r="G18" s="45">
        <v>9.5</v>
      </c>
      <c r="H18" s="45">
        <v>9.5</v>
      </c>
      <c r="I18" s="45">
        <v>9.5</v>
      </c>
      <c r="J18" s="45">
        <v>9.5</v>
      </c>
      <c r="K18" s="45">
        <v>9.5</v>
      </c>
      <c r="L18" s="45">
        <v>9.5</v>
      </c>
      <c r="M18" s="45">
        <v>9.5</v>
      </c>
      <c r="N18" s="45">
        <v>9.5</v>
      </c>
      <c r="O18" s="45">
        <v>9.5</v>
      </c>
      <c r="P18" s="45">
        <v>9.5</v>
      </c>
      <c r="Q18" s="45">
        <v>9.5</v>
      </c>
      <c r="R18" s="45">
        <v>9.5</v>
      </c>
      <c r="S18" s="45">
        <v>9.5</v>
      </c>
      <c r="T18" s="45">
        <v>9.5</v>
      </c>
      <c r="U18" s="45">
        <v>9.8000000000000007</v>
      </c>
      <c r="V18" s="45">
        <v>9.8000000000000007</v>
      </c>
      <c r="W18" s="45">
        <v>9.8000000000000007</v>
      </c>
      <c r="X18" s="45">
        <v>9.8000000000000007</v>
      </c>
      <c r="Y18" s="45">
        <v>9.8000000000000007</v>
      </c>
      <c r="Z18" s="45">
        <v>9.8000000000000007</v>
      </c>
      <c r="AA18" s="45">
        <v>9.8000000000000007</v>
      </c>
      <c r="AB18" s="45">
        <v>9.8000000000000007</v>
      </c>
      <c r="AC18" s="45">
        <v>9.8000000000000007</v>
      </c>
      <c r="AD18" s="45">
        <v>9.8000000000000007</v>
      </c>
      <c r="AE18" s="45">
        <v>9.8000000000000007</v>
      </c>
      <c r="AF18" s="45">
        <v>9.8000000000000007</v>
      </c>
      <c r="AG18" s="49">
        <v>42</v>
      </c>
      <c r="AH18" s="47">
        <f t="shared" si="2"/>
        <v>9.8000000000000007</v>
      </c>
      <c r="AI18" s="48">
        <f t="shared" si="3"/>
        <v>9.5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10.3</v>
      </c>
      <c r="C22" s="45">
        <v>10.3</v>
      </c>
      <c r="D22" s="45">
        <v>10.3</v>
      </c>
      <c r="E22" s="45">
        <v>10.3</v>
      </c>
      <c r="F22" s="45">
        <v>10.3</v>
      </c>
      <c r="G22" s="45">
        <v>10.3</v>
      </c>
      <c r="H22" s="45">
        <v>10.3</v>
      </c>
      <c r="I22" s="45">
        <v>10.3</v>
      </c>
      <c r="J22" s="45">
        <v>10.3</v>
      </c>
      <c r="K22" s="45">
        <v>10.3</v>
      </c>
      <c r="L22" s="45">
        <v>10.3</v>
      </c>
      <c r="M22" s="45">
        <v>10.3</v>
      </c>
      <c r="N22" s="45">
        <v>10.3</v>
      </c>
      <c r="O22" s="45">
        <v>10.3</v>
      </c>
      <c r="P22" s="45">
        <v>10.3</v>
      </c>
      <c r="Q22" s="45">
        <v>10.3</v>
      </c>
      <c r="R22" s="45">
        <v>10.3</v>
      </c>
      <c r="S22" s="45">
        <v>10.3</v>
      </c>
      <c r="T22" s="45">
        <v>10.3</v>
      </c>
      <c r="U22" s="45">
        <v>10.3</v>
      </c>
      <c r="V22" s="45">
        <v>10.3</v>
      </c>
      <c r="W22" s="45">
        <v>10.3</v>
      </c>
      <c r="X22" s="45">
        <v>10.3</v>
      </c>
      <c r="Y22" s="45">
        <v>10.3</v>
      </c>
      <c r="Z22" s="45">
        <v>10.3</v>
      </c>
      <c r="AA22" s="45">
        <v>10.3</v>
      </c>
      <c r="AB22" s="45">
        <v>10.3</v>
      </c>
      <c r="AC22" s="45">
        <v>10.3</v>
      </c>
      <c r="AD22" s="45">
        <v>10.3</v>
      </c>
      <c r="AE22" s="45">
        <v>10.3</v>
      </c>
      <c r="AF22" s="45">
        <v>10.3</v>
      </c>
      <c r="AG22" s="52">
        <v>30</v>
      </c>
      <c r="AH22" s="47">
        <f t="shared" si="2"/>
        <v>10.3</v>
      </c>
      <c r="AI22" s="48">
        <f t="shared" si="3"/>
        <v>10.3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10.8</v>
      </c>
      <c r="C24" s="45">
        <v>10.8</v>
      </c>
      <c r="D24" s="45">
        <v>10.8</v>
      </c>
      <c r="E24" s="45">
        <v>10.8</v>
      </c>
      <c r="F24" s="45">
        <v>10.8</v>
      </c>
      <c r="G24" s="45">
        <v>10.8</v>
      </c>
      <c r="H24" s="45">
        <v>10.8</v>
      </c>
      <c r="I24" s="45">
        <v>10.8</v>
      </c>
      <c r="J24" s="45">
        <v>10.8</v>
      </c>
      <c r="K24" s="45">
        <v>10.8</v>
      </c>
      <c r="L24" s="45">
        <v>10.8</v>
      </c>
      <c r="M24" s="45">
        <v>10.8</v>
      </c>
      <c r="N24" s="45">
        <v>10.8</v>
      </c>
      <c r="O24" s="45">
        <v>10.8</v>
      </c>
      <c r="P24" s="45">
        <v>10.8</v>
      </c>
      <c r="Q24" s="45">
        <v>10.8</v>
      </c>
      <c r="R24" s="45">
        <v>10.8</v>
      </c>
      <c r="S24" s="45">
        <v>10.8</v>
      </c>
      <c r="T24" s="45">
        <v>10.8</v>
      </c>
      <c r="U24" s="45">
        <v>10.8</v>
      </c>
      <c r="V24" s="45">
        <v>10.8</v>
      </c>
      <c r="W24" s="45">
        <v>10.8</v>
      </c>
      <c r="X24" s="45">
        <v>10.8</v>
      </c>
      <c r="Y24" s="45">
        <v>10.8</v>
      </c>
      <c r="Z24" s="45">
        <v>10.8</v>
      </c>
      <c r="AA24" s="45">
        <v>10.8</v>
      </c>
      <c r="AB24" s="45">
        <v>10.8</v>
      </c>
      <c r="AC24" s="45">
        <v>10.8</v>
      </c>
      <c r="AD24" s="45">
        <v>10.8</v>
      </c>
      <c r="AE24" s="45">
        <v>10.8</v>
      </c>
      <c r="AF24" s="45">
        <v>10.8</v>
      </c>
      <c r="AG24" s="49">
        <v>28</v>
      </c>
      <c r="AH24" s="47">
        <f t="shared" si="2"/>
        <v>10.8</v>
      </c>
      <c r="AI24" s="48">
        <f t="shared" si="3"/>
        <v>10.8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9</v>
      </c>
      <c r="E25" s="45">
        <v>9</v>
      </c>
      <c r="F25" s="45">
        <v>9</v>
      </c>
      <c r="G25" s="45">
        <v>9</v>
      </c>
      <c r="H25" s="45">
        <v>9</v>
      </c>
      <c r="I25" s="45">
        <v>9</v>
      </c>
      <c r="J25" s="45">
        <v>9</v>
      </c>
      <c r="K25" s="45">
        <v>9</v>
      </c>
      <c r="L25" s="45">
        <v>9</v>
      </c>
      <c r="M25" s="45">
        <v>9</v>
      </c>
      <c r="N25" s="45">
        <v>9</v>
      </c>
      <c r="O25" s="45">
        <v>9</v>
      </c>
      <c r="P25" s="45">
        <v>9</v>
      </c>
      <c r="Q25" s="45">
        <v>9</v>
      </c>
      <c r="R25" s="45">
        <v>9</v>
      </c>
      <c r="S25" s="45">
        <v>9</v>
      </c>
      <c r="T25" s="45">
        <v>8.9</v>
      </c>
      <c r="U25" s="45">
        <v>8.9</v>
      </c>
      <c r="V25" s="45">
        <v>8.9</v>
      </c>
      <c r="W25" s="45">
        <v>8.9</v>
      </c>
      <c r="X25" s="45">
        <v>8.9</v>
      </c>
      <c r="Y25" s="45">
        <v>8.9</v>
      </c>
      <c r="Z25" s="45">
        <v>8.9</v>
      </c>
      <c r="AA25" s="45">
        <v>8.9</v>
      </c>
      <c r="AB25" s="45">
        <v>8.9</v>
      </c>
      <c r="AC25" s="45">
        <v>8.9</v>
      </c>
      <c r="AD25" s="45">
        <v>8.9</v>
      </c>
      <c r="AE25" s="45">
        <v>8.9</v>
      </c>
      <c r="AF25" s="45">
        <v>8.9</v>
      </c>
      <c r="AG25" s="52">
        <v>30</v>
      </c>
      <c r="AH25" s="47">
        <f t="shared" si="2"/>
        <v>9</v>
      </c>
      <c r="AI25" s="48">
        <f t="shared" si="3"/>
        <v>8.9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10.7</v>
      </c>
      <c r="C26" s="45">
        <v>10.7</v>
      </c>
      <c r="D26" s="45">
        <v>10.7</v>
      </c>
      <c r="E26" s="45">
        <v>10.7</v>
      </c>
      <c r="F26" s="45">
        <v>10.7</v>
      </c>
      <c r="G26" s="45">
        <v>10.7</v>
      </c>
      <c r="H26" s="45">
        <v>10.7</v>
      </c>
      <c r="I26" s="45">
        <v>10.7</v>
      </c>
      <c r="J26" s="45">
        <v>10.7</v>
      </c>
      <c r="K26" s="45">
        <v>10.7</v>
      </c>
      <c r="L26" s="45">
        <v>10.7</v>
      </c>
      <c r="M26" s="45">
        <v>10.7</v>
      </c>
      <c r="N26" s="45">
        <v>10.7</v>
      </c>
      <c r="O26" s="45">
        <v>10.7</v>
      </c>
      <c r="P26" s="45">
        <v>10.7</v>
      </c>
      <c r="Q26" s="45">
        <v>10.7</v>
      </c>
      <c r="R26" s="45">
        <v>10.7</v>
      </c>
      <c r="S26" s="45">
        <v>10.7</v>
      </c>
      <c r="T26" s="45">
        <v>10.7</v>
      </c>
      <c r="U26" s="45">
        <v>10.7</v>
      </c>
      <c r="V26" s="45">
        <v>10.7</v>
      </c>
      <c r="W26" s="45">
        <v>10.7</v>
      </c>
      <c r="X26" s="45">
        <v>10.7</v>
      </c>
      <c r="Y26" s="45">
        <v>10.7</v>
      </c>
      <c r="Z26" s="45">
        <v>10.7</v>
      </c>
      <c r="AA26" s="45">
        <v>10.7</v>
      </c>
      <c r="AB26" s="45">
        <v>10.7</v>
      </c>
      <c r="AC26" s="45">
        <v>10.7</v>
      </c>
      <c r="AD26" s="45">
        <v>10.7</v>
      </c>
      <c r="AE26" s="45">
        <v>10.7</v>
      </c>
      <c r="AF26" s="45">
        <v>10.7</v>
      </c>
      <c r="AG26" s="49">
        <v>25</v>
      </c>
      <c r="AH26" s="47">
        <f t="shared" si="2"/>
        <v>10.7</v>
      </c>
      <c r="AI26" s="48">
        <f t="shared" si="3"/>
        <v>10.7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10.1</v>
      </c>
      <c r="C29" s="45">
        <v>10.1</v>
      </c>
      <c r="D29" s="45">
        <v>10.1</v>
      </c>
      <c r="E29" s="45">
        <v>10.1</v>
      </c>
      <c r="F29" s="45">
        <v>10.1</v>
      </c>
      <c r="G29" s="45">
        <v>10.1</v>
      </c>
      <c r="H29" s="45">
        <v>10.1</v>
      </c>
      <c r="I29" s="45">
        <v>10.1</v>
      </c>
      <c r="J29" s="45">
        <v>10.1</v>
      </c>
      <c r="K29" s="45">
        <v>10.1</v>
      </c>
      <c r="L29" s="45">
        <v>10.1</v>
      </c>
      <c r="M29" s="45">
        <v>10.1</v>
      </c>
      <c r="N29" s="45">
        <v>10.1</v>
      </c>
      <c r="O29" s="45">
        <v>10.1</v>
      </c>
      <c r="P29" s="45">
        <v>10.1</v>
      </c>
      <c r="Q29" s="45">
        <v>10.1</v>
      </c>
      <c r="R29" s="45">
        <v>10.1</v>
      </c>
      <c r="S29" s="45">
        <v>10.1</v>
      </c>
      <c r="T29" s="45">
        <v>10.1</v>
      </c>
      <c r="U29" s="45">
        <v>10.1</v>
      </c>
      <c r="V29" s="45">
        <v>10.1</v>
      </c>
      <c r="W29" s="45">
        <v>10.1</v>
      </c>
      <c r="X29" s="45">
        <v>10.1</v>
      </c>
      <c r="Y29" s="45">
        <v>10.1</v>
      </c>
      <c r="Z29" s="45">
        <v>10.1</v>
      </c>
      <c r="AA29" s="45">
        <v>10.1</v>
      </c>
      <c r="AB29" s="45">
        <v>10.1</v>
      </c>
      <c r="AC29" s="45">
        <v>10.1</v>
      </c>
      <c r="AD29" s="45">
        <v>10.1</v>
      </c>
      <c r="AE29" s="45">
        <v>10.1</v>
      </c>
      <c r="AF29" s="45">
        <v>10.1</v>
      </c>
      <c r="AG29" s="49">
        <v>25</v>
      </c>
      <c r="AH29" s="47">
        <f t="shared" si="2"/>
        <v>10.1</v>
      </c>
      <c r="AI29" s="48">
        <f t="shared" si="3"/>
        <v>10.1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10.4</v>
      </c>
      <c r="C30" s="45">
        <v>10.4</v>
      </c>
      <c r="D30" s="45">
        <v>10.4</v>
      </c>
      <c r="E30" s="45">
        <v>10.4</v>
      </c>
      <c r="F30" s="45">
        <v>10.4</v>
      </c>
      <c r="G30" s="45">
        <v>10.4</v>
      </c>
      <c r="H30" s="45">
        <v>10.4</v>
      </c>
      <c r="I30" s="45">
        <v>10.4</v>
      </c>
      <c r="J30" s="45">
        <v>10.4</v>
      </c>
      <c r="K30" s="45">
        <v>10.4</v>
      </c>
      <c r="L30" s="45">
        <v>10.4</v>
      </c>
      <c r="M30" s="45">
        <v>10.4</v>
      </c>
      <c r="N30" s="45">
        <v>10.4</v>
      </c>
      <c r="O30" s="45">
        <v>10.4</v>
      </c>
      <c r="P30" s="45">
        <v>10.4</v>
      </c>
      <c r="Q30" s="45">
        <v>10.4</v>
      </c>
      <c r="R30" s="45">
        <v>10.4</v>
      </c>
      <c r="S30" s="45">
        <v>10.4</v>
      </c>
      <c r="T30" s="45">
        <v>10.4</v>
      </c>
      <c r="U30" s="45">
        <v>10.4</v>
      </c>
      <c r="V30" s="45">
        <v>10.4</v>
      </c>
      <c r="W30" s="45">
        <v>10.4</v>
      </c>
      <c r="X30" s="45">
        <v>10.4</v>
      </c>
      <c r="Y30" s="45">
        <v>10.4</v>
      </c>
      <c r="Z30" s="45">
        <v>10.4</v>
      </c>
      <c r="AA30" s="45">
        <v>10.4</v>
      </c>
      <c r="AB30" s="45">
        <v>10.4</v>
      </c>
      <c r="AC30" s="45">
        <v>10.4</v>
      </c>
      <c r="AD30" s="45">
        <v>10.4</v>
      </c>
      <c r="AE30" s="45">
        <v>10.4</v>
      </c>
      <c r="AF30" s="45">
        <v>10.4</v>
      </c>
      <c r="AG30" s="49">
        <v>23.5</v>
      </c>
      <c r="AH30" s="47">
        <f t="shared" si="2"/>
        <v>10.4</v>
      </c>
      <c r="AI30" s="48">
        <f t="shared" si="3"/>
        <v>10.4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10.199999999999999</v>
      </c>
      <c r="C34" s="45">
        <v>10.199999999999999</v>
      </c>
      <c r="D34" s="45">
        <v>10.199999999999999</v>
      </c>
      <c r="E34" s="45">
        <v>10.199999999999999</v>
      </c>
      <c r="F34" s="45">
        <v>10.199999999999999</v>
      </c>
      <c r="G34" s="45">
        <v>10.199999999999999</v>
      </c>
      <c r="H34" s="45">
        <v>10.199999999999999</v>
      </c>
      <c r="I34" s="45">
        <v>10.199999999999999</v>
      </c>
      <c r="J34" s="45">
        <v>10.199999999999999</v>
      </c>
      <c r="K34" s="45">
        <v>10.199999999999999</v>
      </c>
      <c r="L34" s="45">
        <v>10.199999999999999</v>
      </c>
      <c r="M34" s="45">
        <v>10.199999999999999</v>
      </c>
      <c r="N34" s="45">
        <v>10.199999999999999</v>
      </c>
      <c r="O34" s="45">
        <v>10.199999999999999</v>
      </c>
      <c r="P34" s="45">
        <v>10.199999999999999</v>
      </c>
      <c r="Q34" s="45">
        <v>10.199999999999999</v>
      </c>
      <c r="R34" s="45">
        <v>10.199999999999999</v>
      </c>
      <c r="S34" s="45">
        <v>10.199999999999999</v>
      </c>
      <c r="T34" s="45">
        <v>10.199999999999999</v>
      </c>
      <c r="U34" s="45">
        <v>10.199999999999999</v>
      </c>
      <c r="V34" s="45">
        <v>10.199999999999999</v>
      </c>
      <c r="W34" s="45">
        <v>10.199999999999999</v>
      </c>
      <c r="X34" s="45">
        <v>10.199999999999999</v>
      </c>
      <c r="Y34" s="45">
        <v>10.199999999999999</v>
      </c>
      <c r="Z34" s="45">
        <v>10.199999999999999</v>
      </c>
      <c r="AA34" s="45">
        <v>10.199999999999999</v>
      </c>
      <c r="AB34" s="45">
        <v>10.199999999999999</v>
      </c>
      <c r="AC34" s="45">
        <v>10.199999999999999</v>
      </c>
      <c r="AD34" s="45">
        <v>10.199999999999999</v>
      </c>
      <c r="AE34" s="45">
        <v>10.199999999999999</v>
      </c>
      <c r="AF34" s="45">
        <v>10.199999999999999</v>
      </c>
      <c r="AG34" s="49">
        <v>22</v>
      </c>
      <c r="AH34" s="47">
        <f t="shared" si="2"/>
        <v>10.199999999999999</v>
      </c>
      <c r="AI34" s="48">
        <f t="shared" si="3"/>
        <v>10.199999999999999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>
        <f>19.9+6.7</f>
        <v>26.599999999999998</v>
      </c>
      <c r="C57" s="57">
        <f t="shared" ref="C57:D57" si="4">19.9+6.7</f>
        <v>26.599999999999998</v>
      </c>
      <c r="D57" s="57">
        <f t="shared" si="4"/>
        <v>26.599999999999998</v>
      </c>
      <c r="E57" s="57">
        <f>26.6</f>
        <v>26.6</v>
      </c>
      <c r="F57" s="57">
        <v>26.6</v>
      </c>
      <c r="G57" s="57">
        <v>26.6</v>
      </c>
      <c r="H57" s="57">
        <v>26.6</v>
      </c>
      <c r="I57" s="57">
        <v>26.6</v>
      </c>
      <c r="J57" s="57">
        <v>26.6</v>
      </c>
      <c r="K57" s="51">
        <f>19+6.8</f>
        <v>25.8</v>
      </c>
      <c r="L57" s="51">
        <v>25.8</v>
      </c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26.6</v>
      </c>
      <c r="AI57" s="48">
        <f t="shared" si="3"/>
        <v>25.8</v>
      </c>
      <c r="AK57" s="50"/>
    </row>
    <row r="58" spans="1:88" ht="15.75" thickBot="1" x14ac:dyDescent="0.3">
      <c r="A58" s="59" t="s">
        <v>58</v>
      </c>
      <c r="B58" s="60">
        <f t="shared" ref="B58:D58" si="5">SUM(B11:B56)</f>
        <v>580.5</v>
      </c>
      <c r="C58" s="60">
        <f t="shared" si="5"/>
        <v>580.5</v>
      </c>
      <c r="D58" s="60">
        <f t="shared" si="5"/>
        <v>580.5</v>
      </c>
      <c r="E58" s="60">
        <f t="shared" ref="E58:AF58" si="6">SUM(E11:E56)</f>
        <v>583.40000000000009</v>
      </c>
      <c r="F58" s="60">
        <f t="shared" si="6"/>
        <v>583.40000000000009</v>
      </c>
      <c r="G58" s="60">
        <f t="shared" si="6"/>
        <v>580</v>
      </c>
      <c r="H58" s="60">
        <f t="shared" si="6"/>
        <v>580</v>
      </c>
      <c r="I58" s="60">
        <f t="shared" si="6"/>
        <v>580.90000000000009</v>
      </c>
      <c r="J58" s="60">
        <f t="shared" si="6"/>
        <v>583.20000000000005</v>
      </c>
      <c r="K58" s="60">
        <f t="shared" si="6"/>
        <v>582.20000000000005</v>
      </c>
      <c r="L58" s="60">
        <f t="shared" si="6"/>
        <v>582.29999999999995</v>
      </c>
      <c r="M58" s="60">
        <f t="shared" si="6"/>
        <v>581.79999999999995</v>
      </c>
      <c r="N58" s="60">
        <f t="shared" si="6"/>
        <v>581.79999999999995</v>
      </c>
      <c r="O58" s="60">
        <f t="shared" si="6"/>
        <v>581.79999999999995</v>
      </c>
      <c r="P58" s="60">
        <f t="shared" si="6"/>
        <v>581.79999999999995</v>
      </c>
      <c r="Q58" s="60">
        <f t="shared" si="6"/>
        <v>581.79999999999995</v>
      </c>
      <c r="R58" s="60">
        <f t="shared" si="6"/>
        <v>581.79999999999995</v>
      </c>
      <c r="S58" s="60">
        <f t="shared" ref="S58" si="7">SUM(S11:S56)</f>
        <v>580.1</v>
      </c>
      <c r="T58" s="60">
        <f t="shared" si="6"/>
        <v>581.20000000000005</v>
      </c>
      <c r="U58" s="60">
        <f t="shared" ref="U58" si="8">SUM(U11:U56)</f>
        <v>582.20000000000005</v>
      </c>
      <c r="V58" s="60">
        <f t="shared" si="6"/>
        <v>582.20000000000005</v>
      </c>
      <c r="W58" s="60">
        <f t="shared" si="6"/>
        <v>582.20000000000005</v>
      </c>
      <c r="X58" s="60">
        <f t="shared" si="6"/>
        <v>582.20000000000005</v>
      </c>
      <c r="Y58" s="60">
        <f t="shared" si="6"/>
        <v>582.20000000000005</v>
      </c>
      <c r="Z58" s="60">
        <f t="shared" si="6"/>
        <v>582.20000000000005</v>
      </c>
      <c r="AA58" s="60">
        <f t="shared" si="6"/>
        <v>582.20000000000005</v>
      </c>
      <c r="AB58" s="60">
        <f t="shared" si="6"/>
        <v>582.70000000000005</v>
      </c>
      <c r="AC58" s="60">
        <f t="shared" si="6"/>
        <v>582.70000000000005</v>
      </c>
      <c r="AD58" s="60">
        <f t="shared" si="6"/>
        <v>582.70000000000005</v>
      </c>
      <c r="AE58" s="60">
        <f t="shared" si="6"/>
        <v>582.70000000000005</v>
      </c>
      <c r="AF58" s="60">
        <f t="shared" si="6"/>
        <v>582.70000000000005</v>
      </c>
      <c r="AG58" s="61">
        <f>SUM(AG14:AG56)</f>
        <v>1042.4000000000001</v>
      </c>
      <c r="AH58" s="47">
        <f t="shared" si="2"/>
        <v>583.40000000000009</v>
      </c>
      <c r="AI58" s="48">
        <f t="shared" si="3"/>
        <v>580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50</v>
      </c>
      <c r="L59" s="45">
        <v>380</v>
      </c>
      <c r="M59" s="45">
        <v>220</v>
      </c>
      <c r="N59" s="63">
        <v>280</v>
      </c>
      <c r="O59" s="63">
        <v>200</v>
      </c>
      <c r="P59" s="63">
        <v>150</v>
      </c>
      <c r="Q59" s="63">
        <v>45</v>
      </c>
      <c r="R59" s="63">
        <v>45</v>
      </c>
      <c r="S59" s="63">
        <v>45</v>
      </c>
      <c r="T59" s="45">
        <v>50</v>
      </c>
      <c r="U59" s="45">
        <v>50</v>
      </c>
      <c r="V59" s="45">
        <v>150</v>
      </c>
      <c r="W59" s="45">
        <v>160</v>
      </c>
      <c r="X59" s="45">
        <v>260</v>
      </c>
      <c r="Y59" s="45">
        <v>280</v>
      </c>
      <c r="Z59" s="45">
        <v>240</v>
      </c>
      <c r="AA59" s="45">
        <v>230</v>
      </c>
      <c r="AB59" s="45">
        <v>245</v>
      </c>
      <c r="AC59" s="45">
        <v>220</v>
      </c>
      <c r="AD59" s="45">
        <v>150</v>
      </c>
      <c r="AE59" s="45">
        <v>12</v>
      </c>
      <c r="AF59" s="45">
        <v>0</v>
      </c>
      <c r="AG59" s="52">
        <v>456</v>
      </c>
      <c r="AH59" s="47">
        <f t="shared" si="2"/>
        <v>380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34.6</v>
      </c>
      <c r="C60" s="65">
        <v>34.6</v>
      </c>
      <c r="D60" s="65">
        <v>34.6</v>
      </c>
      <c r="E60" s="65">
        <v>34.6</v>
      </c>
      <c r="F60" s="65">
        <v>34.6</v>
      </c>
      <c r="G60" s="65">
        <v>34.6</v>
      </c>
      <c r="H60" s="65">
        <v>34.6</v>
      </c>
      <c r="I60" s="65">
        <v>34.6</v>
      </c>
      <c r="J60" s="65">
        <v>34.6</v>
      </c>
      <c r="K60" s="65">
        <v>34.6</v>
      </c>
      <c r="L60" s="65">
        <v>34.6</v>
      </c>
      <c r="M60" s="65">
        <v>34.6</v>
      </c>
      <c r="N60" s="65">
        <v>34.6</v>
      </c>
      <c r="O60" s="65">
        <v>34.6</v>
      </c>
      <c r="P60" s="65">
        <v>34.6</v>
      </c>
      <c r="Q60" s="65">
        <v>34.6</v>
      </c>
      <c r="R60" s="65">
        <v>34.6</v>
      </c>
      <c r="S60" s="65">
        <v>34.6</v>
      </c>
      <c r="T60" s="65">
        <v>34</v>
      </c>
      <c r="U60" s="65">
        <v>34</v>
      </c>
      <c r="V60" s="65">
        <v>34</v>
      </c>
      <c r="W60" s="65">
        <v>34</v>
      </c>
      <c r="X60" s="65">
        <v>34</v>
      </c>
      <c r="Y60" s="45">
        <v>34</v>
      </c>
      <c r="Z60" s="65">
        <v>34</v>
      </c>
      <c r="AA60" s="65">
        <v>34</v>
      </c>
      <c r="AB60" s="65">
        <v>34</v>
      </c>
      <c r="AC60" s="65">
        <v>34</v>
      </c>
      <c r="AD60" s="65">
        <v>34</v>
      </c>
      <c r="AE60" s="65">
        <v>34</v>
      </c>
      <c r="AF60" s="65">
        <v>34</v>
      </c>
      <c r="AG60" s="55">
        <v>60</v>
      </c>
      <c r="AH60" s="47">
        <f t="shared" si="2"/>
        <v>34.6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16.2</v>
      </c>
      <c r="C61" s="67">
        <v>16.2</v>
      </c>
      <c r="D61" s="67">
        <v>16.2</v>
      </c>
      <c r="E61" s="67">
        <v>12.6</v>
      </c>
      <c r="F61" s="67">
        <v>14</v>
      </c>
      <c r="G61" s="67">
        <v>14.1</v>
      </c>
      <c r="H61" s="67">
        <v>14.1</v>
      </c>
      <c r="I61" s="67">
        <v>14</v>
      </c>
      <c r="J61" s="67">
        <v>14.1</v>
      </c>
      <c r="K61" s="67">
        <v>14.1</v>
      </c>
      <c r="L61" s="67">
        <v>14.1</v>
      </c>
      <c r="M61" s="67">
        <v>13.2</v>
      </c>
      <c r="N61" s="67">
        <v>11.3</v>
      </c>
      <c r="O61" s="67">
        <v>11.3</v>
      </c>
      <c r="P61" s="67">
        <v>11.2</v>
      </c>
      <c r="Q61" s="67">
        <v>11.2</v>
      </c>
      <c r="R61" s="67">
        <v>11.2</v>
      </c>
      <c r="S61" s="67">
        <v>11.2</v>
      </c>
      <c r="T61" s="67">
        <v>11.2</v>
      </c>
      <c r="U61" s="67">
        <v>13.2</v>
      </c>
      <c r="V61" s="67">
        <v>13.1</v>
      </c>
      <c r="W61" s="67">
        <v>14.5</v>
      </c>
      <c r="X61" s="67">
        <v>20.100000000000001</v>
      </c>
      <c r="Y61" s="67">
        <v>20.100000000000001</v>
      </c>
      <c r="Z61" s="67">
        <v>20.100000000000001</v>
      </c>
      <c r="AA61" s="67">
        <v>12.4</v>
      </c>
      <c r="AB61" s="67">
        <v>12.6</v>
      </c>
      <c r="AC61" s="67">
        <v>12.6</v>
      </c>
      <c r="AD61" s="67">
        <v>12.6</v>
      </c>
      <c r="AE61" s="67">
        <v>12.6</v>
      </c>
      <c r="AF61" s="67">
        <v>12.6</v>
      </c>
      <c r="AG61" s="68">
        <v>22.1</v>
      </c>
      <c r="AH61" s="47">
        <f t="shared" si="2"/>
        <v>20.100000000000001</v>
      </c>
      <c r="AI61" s="48">
        <f t="shared" si="3"/>
        <v>11.2</v>
      </c>
      <c r="AK61" s="50"/>
    </row>
    <row r="62" spans="1:88" ht="15.75" thickBot="1" x14ac:dyDescent="0.3">
      <c r="A62" s="69" t="s">
        <v>62</v>
      </c>
      <c r="B62" s="60">
        <f t="shared" ref="B62:D62" si="9">SUM(B59:B61)</f>
        <v>50.8</v>
      </c>
      <c r="C62" s="60">
        <f t="shared" si="9"/>
        <v>50.8</v>
      </c>
      <c r="D62" s="60">
        <f t="shared" si="9"/>
        <v>50.8</v>
      </c>
      <c r="E62" s="60">
        <f t="shared" ref="E62:AG62" si="10">SUM(E59:E61)</f>
        <v>47.2</v>
      </c>
      <c r="F62" s="60">
        <f t="shared" si="10"/>
        <v>48.6</v>
      </c>
      <c r="G62" s="60">
        <f t="shared" si="10"/>
        <v>48.7</v>
      </c>
      <c r="H62" s="60">
        <f t="shared" si="10"/>
        <v>48.7</v>
      </c>
      <c r="I62" s="60">
        <f t="shared" si="10"/>
        <v>48.6</v>
      </c>
      <c r="J62" s="60">
        <f t="shared" si="10"/>
        <v>48.7</v>
      </c>
      <c r="K62" s="60">
        <f t="shared" si="10"/>
        <v>98.699999999999989</v>
      </c>
      <c r="L62" s="60">
        <f t="shared" si="10"/>
        <v>428.70000000000005</v>
      </c>
      <c r="M62" s="60">
        <f t="shared" si="10"/>
        <v>267.8</v>
      </c>
      <c r="N62" s="60">
        <f t="shared" si="10"/>
        <v>325.90000000000003</v>
      </c>
      <c r="O62" s="60">
        <f t="shared" si="10"/>
        <v>245.9</v>
      </c>
      <c r="P62" s="60">
        <f t="shared" si="10"/>
        <v>195.79999999999998</v>
      </c>
      <c r="Q62" s="60">
        <f t="shared" si="10"/>
        <v>90.8</v>
      </c>
      <c r="R62" s="60">
        <f t="shared" si="10"/>
        <v>90.8</v>
      </c>
      <c r="S62" s="60">
        <f t="shared" ref="S62" si="11">SUM(S59:S61)</f>
        <v>90.8</v>
      </c>
      <c r="T62" s="60">
        <f t="shared" si="10"/>
        <v>95.2</v>
      </c>
      <c r="U62" s="60">
        <f t="shared" si="10"/>
        <v>97.2</v>
      </c>
      <c r="V62" s="60">
        <f t="shared" si="10"/>
        <v>197.1</v>
      </c>
      <c r="W62" s="60">
        <f t="shared" si="10"/>
        <v>208.5</v>
      </c>
      <c r="X62" s="60">
        <f t="shared" si="10"/>
        <v>314.10000000000002</v>
      </c>
      <c r="Y62" s="60">
        <f t="shared" si="10"/>
        <v>334.1</v>
      </c>
      <c r="Z62" s="60">
        <f t="shared" si="10"/>
        <v>294.10000000000002</v>
      </c>
      <c r="AA62" s="60">
        <f t="shared" si="10"/>
        <v>276.39999999999998</v>
      </c>
      <c r="AB62" s="60">
        <f t="shared" si="10"/>
        <v>291.60000000000002</v>
      </c>
      <c r="AC62" s="60">
        <f t="shared" si="10"/>
        <v>266.60000000000002</v>
      </c>
      <c r="AD62" s="60">
        <f t="shared" si="10"/>
        <v>196.6</v>
      </c>
      <c r="AE62" s="60">
        <f t="shared" si="10"/>
        <v>58.6</v>
      </c>
      <c r="AF62" s="60">
        <f t="shared" si="10"/>
        <v>46.6</v>
      </c>
      <c r="AG62" s="61">
        <f t="shared" si="10"/>
        <v>538.1</v>
      </c>
      <c r="AH62" s="47">
        <f t="shared" si="2"/>
        <v>428.70000000000005</v>
      </c>
      <c r="AI62" s="48">
        <f t="shared" si="3"/>
        <v>46.6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81.7</v>
      </c>
      <c r="K63" s="45">
        <v>144.4</v>
      </c>
      <c r="L63" s="45">
        <v>144.6</v>
      </c>
      <c r="M63" s="45">
        <v>145</v>
      </c>
      <c r="N63" s="45">
        <v>137.5</v>
      </c>
      <c r="O63" s="45">
        <v>122.8</v>
      </c>
      <c r="P63" s="45">
        <v>123</v>
      </c>
      <c r="Q63" s="45">
        <v>101.3</v>
      </c>
      <c r="R63" s="45">
        <v>60.8</v>
      </c>
      <c r="S63" s="45">
        <v>60.8</v>
      </c>
      <c r="T63" s="45">
        <v>61.4</v>
      </c>
      <c r="U63" s="45">
        <v>61.4</v>
      </c>
      <c r="V63" s="45">
        <v>61.4</v>
      </c>
      <c r="W63" s="45">
        <v>88.9</v>
      </c>
      <c r="X63" s="45">
        <v>117</v>
      </c>
      <c r="Y63" s="45">
        <v>141.9</v>
      </c>
      <c r="Z63" s="45">
        <v>141.9</v>
      </c>
      <c r="AA63" s="45">
        <v>132.5</v>
      </c>
      <c r="AB63" s="45">
        <v>132.6</v>
      </c>
      <c r="AC63" s="45">
        <v>61.3</v>
      </c>
      <c r="AD63" s="45">
        <v>61.3</v>
      </c>
      <c r="AE63" s="45">
        <v>61.3</v>
      </c>
      <c r="AF63" s="45">
        <v>0</v>
      </c>
      <c r="AG63" s="52">
        <v>144</v>
      </c>
      <c r="AH63" s="47">
        <f t="shared" si="2"/>
        <v>145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50.2</v>
      </c>
      <c r="K64" s="65">
        <v>68.7</v>
      </c>
      <c r="L64" s="65">
        <v>68.7</v>
      </c>
      <c r="M64" s="65">
        <v>67.400000000000006</v>
      </c>
      <c r="N64" s="65">
        <v>63.3</v>
      </c>
      <c r="O64" s="65">
        <v>59</v>
      </c>
      <c r="P64" s="65">
        <v>50.5</v>
      </c>
      <c r="Q64" s="65">
        <v>64.8</v>
      </c>
      <c r="R64" s="65">
        <v>34.9</v>
      </c>
      <c r="S64" s="65">
        <v>34.9</v>
      </c>
      <c r="T64" s="45">
        <v>30.2</v>
      </c>
      <c r="U64" s="45">
        <v>30.2</v>
      </c>
      <c r="V64" s="45">
        <v>30.2</v>
      </c>
      <c r="W64" s="45">
        <v>21.8</v>
      </c>
      <c r="X64" s="45">
        <v>60</v>
      </c>
      <c r="Y64" s="45">
        <v>69.900000000000006</v>
      </c>
      <c r="Z64" s="45">
        <v>69.599999999999994</v>
      </c>
      <c r="AA64" s="45">
        <v>60.7</v>
      </c>
      <c r="AB64" s="45">
        <v>60.3</v>
      </c>
      <c r="AC64" s="45">
        <v>67.3</v>
      </c>
      <c r="AD64" s="45">
        <v>67.3</v>
      </c>
      <c r="AE64" s="45">
        <v>23.8</v>
      </c>
      <c r="AF64" s="45">
        <v>0</v>
      </c>
      <c r="AG64" s="55">
        <v>70</v>
      </c>
      <c r="AH64" s="47">
        <f t="shared" si="2"/>
        <v>69.900000000000006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17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47</v>
      </c>
      <c r="K65" s="65">
        <v>66.7</v>
      </c>
      <c r="L65" s="65">
        <v>66.7</v>
      </c>
      <c r="M65" s="65">
        <v>68.7</v>
      </c>
      <c r="N65" s="65">
        <v>61.2</v>
      </c>
      <c r="O65" s="65">
        <v>67.099999999999994</v>
      </c>
      <c r="P65" s="65">
        <v>54.8</v>
      </c>
      <c r="Q65" s="65">
        <v>45</v>
      </c>
      <c r="R65" s="65">
        <v>35.9</v>
      </c>
      <c r="S65" s="65">
        <v>35.9</v>
      </c>
      <c r="T65" s="45">
        <v>37.9</v>
      </c>
      <c r="U65" s="45">
        <v>37.9</v>
      </c>
      <c r="V65" s="45">
        <v>37.9</v>
      </c>
      <c r="W65" s="45">
        <v>47.2</v>
      </c>
      <c r="X65" s="45">
        <v>68.2</v>
      </c>
      <c r="Y65" s="45">
        <v>68</v>
      </c>
      <c r="Z65" s="45">
        <v>62</v>
      </c>
      <c r="AA65" s="45">
        <v>52.5</v>
      </c>
      <c r="AB65" s="45">
        <v>52.5</v>
      </c>
      <c r="AC65" s="45">
        <v>64</v>
      </c>
      <c r="AD65" s="45">
        <v>68.2</v>
      </c>
      <c r="AE65" s="45">
        <v>50</v>
      </c>
      <c r="AF65" s="45">
        <v>34.4</v>
      </c>
      <c r="AG65" s="55">
        <v>69</v>
      </c>
      <c r="AH65" s="47">
        <f t="shared" si="2"/>
        <v>68.7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48</v>
      </c>
      <c r="C66" s="65">
        <v>48</v>
      </c>
      <c r="D66" s="65">
        <v>48</v>
      </c>
      <c r="E66" s="65">
        <v>48.6</v>
      </c>
      <c r="F66" s="65">
        <v>48.6</v>
      </c>
      <c r="G66" s="65">
        <v>48.6</v>
      </c>
      <c r="H66" s="65">
        <v>48.6</v>
      </c>
      <c r="I66" s="65">
        <v>48.6</v>
      </c>
      <c r="J66" s="65">
        <v>48.1</v>
      </c>
      <c r="K66" s="65">
        <v>48.1</v>
      </c>
      <c r="L66" s="57">
        <v>48.1</v>
      </c>
      <c r="M66" s="65">
        <v>48.1</v>
      </c>
      <c r="N66" s="65">
        <v>48.1</v>
      </c>
      <c r="O66" s="65">
        <v>48.1</v>
      </c>
      <c r="P66" s="65">
        <v>48.3</v>
      </c>
      <c r="Q66" s="65">
        <v>46.1</v>
      </c>
      <c r="R66" s="65">
        <v>44.1</v>
      </c>
      <c r="S66" s="65">
        <v>44.1</v>
      </c>
      <c r="T66" s="45">
        <v>46.4</v>
      </c>
      <c r="U66" s="45">
        <v>46.4</v>
      </c>
      <c r="V66" s="45">
        <v>46.4</v>
      </c>
      <c r="W66" s="45">
        <v>46.4</v>
      </c>
      <c r="X66" s="45">
        <v>44.1</v>
      </c>
      <c r="Y66" s="45">
        <v>46.6</v>
      </c>
      <c r="Z66" s="45">
        <v>46.6</v>
      </c>
      <c r="AA66" s="45">
        <v>46.6</v>
      </c>
      <c r="AB66" s="45">
        <v>52.4</v>
      </c>
      <c r="AC66" s="45">
        <v>52.4</v>
      </c>
      <c r="AD66" s="45">
        <v>52.4</v>
      </c>
      <c r="AE66" s="45">
        <v>50.4</v>
      </c>
      <c r="AF66" s="45">
        <v>50.4</v>
      </c>
      <c r="AG66" s="55">
        <v>60</v>
      </c>
      <c r="AH66" s="47">
        <f t="shared" si="2"/>
        <v>52.4</v>
      </c>
      <c r="AI66" s="48">
        <f t="shared" si="3"/>
        <v>44.1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13</v>
      </c>
      <c r="H67" s="65">
        <v>10</v>
      </c>
      <c r="I67" s="65">
        <v>10</v>
      </c>
      <c r="J67" s="65">
        <v>15</v>
      </c>
      <c r="K67" s="65">
        <v>25</v>
      </c>
      <c r="L67" s="57">
        <v>25</v>
      </c>
      <c r="M67" s="65">
        <v>28</v>
      </c>
      <c r="N67" s="65">
        <v>25</v>
      </c>
      <c r="O67" s="65">
        <v>15</v>
      </c>
      <c r="P67" s="65">
        <v>15</v>
      </c>
      <c r="Q67" s="65">
        <v>12</v>
      </c>
      <c r="R67" s="65">
        <v>12</v>
      </c>
      <c r="S67" s="65">
        <v>12</v>
      </c>
      <c r="T67" s="45">
        <v>10</v>
      </c>
      <c r="U67" s="45">
        <v>0</v>
      </c>
      <c r="V67" s="45">
        <v>0</v>
      </c>
      <c r="W67" s="45">
        <v>0</v>
      </c>
      <c r="X67" s="45">
        <v>10</v>
      </c>
      <c r="Y67" s="45">
        <v>28</v>
      </c>
      <c r="Z67" s="45">
        <v>28</v>
      </c>
      <c r="AA67" s="45">
        <v>28</v>
      </c>
      <c r="AB67" s="45">
        <v>23</v>
      </c>
      <c r="AC67" s="45">
        <v>15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0.2</v>
      </c>
      <c r="M68" s="65">
        <v>0.9</v>
      </c>
      <c r="N68" s="65">
        <v>1.6</v>
      </c>
      <c r="O68" s="65">
        <v>3.7</v>
      </c>
      <c r="P68" s="65">
        <v>7.6</v>
      </c>
      <c r="Q68" s="65">
        <v>7.6</v>
      </c>
      <c r="R68" s="65">
        <v>15.1</v>
      </c>
      <c r="S68" s="65">
        <v>8.4</v>
      </c>
      <c r="T68" s="45">
        <v>7.2</v>
      </c>
      <c r="U68" s="45">
        <v>7.2</v>
      </c>
      <c r="V68" s="45">
        <v>2</v>
      </c>
      <c r="W68" s="45">
        <v>1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15.1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13</v>
      </c>
      <c r="U69" s="65">
        <v>13</v>
      </c>
      <c r="V69" s="65">
        <v>13</v>
      </c>
      <c r="W69" s="65">
        <v>13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13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0</v>
      </c>
      <c r="T70" s="65">
        <v>0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0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9.9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9.6999999999999993</v>
      </c>
      <c r="U71" s="65">
        <v>9.6999999999999993</v>
      </c>
      <c r="V71" s="65">
        <v>9.6999999999999993</v>
      </c>
      <c r="W71" s="65">
        <v>9.6999999999999993</v>
      </c>
      <c r="X71" s="65">
        <v>9.6999999999999993</v>
      </c>
      <c r="Y71" s="65">
        <v>9.6999999999999993</v>
      </c>
      <c r="Z71" s="65">
        <v>9.6999999999999993</v>
      </c>
      <c r="AA71" s="65">
        <v>9.6999999999999993</v>
      </c>
      <c r="AB71" s="65">
        <v>9.6999999999999993</v>
      </c>
      <c r="AC71" s="65">
        <v>9.6999999999999993</v>
      </c>
      <c r="AD71" s="65">
        <v>9.6999999999999993</v>
      </c>
      <c r="AE71" s="65">
        <v>9.6999999999999993</v>
      </c>
      <c r="AF71" s="65">
        <v>9.6999999999999993</v>
      </c>
      <c r="AG71" s="55">
        <v>14.1</v>
      </c>
      <c r="AH71" s="47">
        <f t="shared" si="2"/>
        <v>9.9</v>
      </c>
      <c r="AI71" s="48">
        <f t="shared" si="3"/>
        <v>9.6999999999999993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4.8</v>
      </c>
      <c r="C72" s="65">
        <v>4.8</v>
      </c>
      <c r="D72" s="65">
        <v>4.8</v>
      </c>
      <c r="E72" s="65">
        <v>4.8</v>
      </c>
      <c r="F72" s="65">
        <v>4.8</v>
      </c>
      <c r="G72" s="65">
        <v>4.8</v>
      </c>
      <c r="H72" s="65">
        <v>4.8</v>
      </c>
      <c r="I72" s="65">
        <v>4.8</v>
      </c>
      <c r="J72" s="65">
        <v>4.8</v>
      </c>
      <c r="K72" s="65">
        <v>4.8</v>
      </c>
      <c r="L72" s="65">
        <v>4.8</v>
      </c>
      <c r="M72" s="65">
        <v>4.8</v>
      </c>
      <c r="N72" s="65">
        <v>4.8</v>
      </c>
      <c r="O72" s="65">
        <v>4.8</v>
      </c>
      <c r="P72" s="65">
        <v>4.8</v>
      </c>
      <c r="Q72" s="65">
        <v>4.8</v>
      </c>
      <c r="R72" s="65">
        <v>4.8</v>
      </c>
      <c r="S72" s="65">
        <v>4.8</v>
      </c>
      <c r="T72" s="65">
        <v>3.3</v>
      </c>
      <c r="U72" s="65">
        <v>3.3</v>
      </c>
      <c r="V72" s="65">
        <v>3.3</v>
      </c>
      <c r="W72" s="65">
        <v>3.3</v>
      </c>
      <c r="X72" s="65">
        <v>5.3</v>
      </c>
      <c r="Y72" s="65">
        <v>5.3</v>
      </c>
      <c r="Z72" s="65">
        <v>5.3</v>
      </c>
      <c r="AA72" s="65">
        <v>5.3</v>
      </c>
      <c r="AB72" s="65">
        <v>5.3</v>
      </c>
      <c r="AC72" s="65">
        <v>5.3</v>
      </c>
      <c r="AD72" s="65">
        <v>5.3</v>
      </c>
      <c r="AE72" s="65">
        <v>5.3</v>
      </c>
      <c r="AF72" s="65">
        <v>5.3</v>
      </c>
      <c r="AG72" s="55">
        <v>14</v>
      </c>
      <c r="AH72" s="47">
        <f t="shared" si="2"/>
        <v>5.3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5.5</v>
      </c>
      <c r="C73" s="65">
        <v>5.5</v>
      </c>
      <c r="D73" s="65">
        <v>5.5</v>
      </c>
      <c r="E73" s="65">
        <v>5.5</v>
      </c>
      <c r="F73" s="65">
        <v>5.5</v>
      </c>
      <c r="G73" s="65">
        <v>5.5</v>
      </c>
      <c r="H73" s="65">
        <v>5.5</v>
      </c>
      <c r="I73" s="65">
        <v>5.5</v>
      </c>
      <c r="J73" s="65">
        <v>5.5</v>
      </c>
      <c r="K73" s="65">
        <v>5.5</v>
      </c>
      <c r="L73" s="65">
        <v>5.5</v>
      </c>
      <c r="M73" s="65">
        <v>5.5</v>
      </c>
      <c r="N73" s="65">
        <v>5.5</v>
      </c>
      <c r="O73" s="65">
        <v>5.5</v>
      </c>
      <c r="P73" s="65">
        <v>5.5</v>
      </c>
      <c r="Q73" s="65">
        <v>5.5</v>
      </c>
      <c r="R73" s="65">
        <v>5.5</v>
      </c>
      <c r="S73" s="65">
        <v>5.5</v>
      </c>
      <c r="T73" s="65">
        <v>5.5</v>
      </c>
      <c r="U73" s="65">
        <v>5.5</v>
      </c>
      <c r="V73" s="65">
        <v>5.5</v>
      </c>
      <c r="W73" s="65">
        <v>5.5</v>
      </c>
      <c r="X73" s="65">
        <v>5.5</v>
      </c>
      <c r="Y73" s="65">
        <v>5.5</v>
      </c>
      <c r="Z73" s="65">
        <v>5.5</v>
      </c>
      <c r="AA73" s="65">
        <v>5.5</v>
      </c>
      <c r="AB73" s="65">
        <v>5.5</v>
      </c>
      <c r="AC73" s="65">
        <v>5.5</v>
      </c>
      <c r="AD73" s="65">
        <v>5.5</v>
      </c>
      <c r="AE73" s="65">
        <v>5.5</v>
      </c>
      <c r="AF73" s="65">
        <v>5.5</v>
      </c>
      <c r="AG73" s="55">
        <v>10.050000000000001</v>
      </c>
      <c r="AH73" s="47">
        <f t="shared" si="2"/>
        <v>5.5</v>
      </c>
      <c r="AI73" s="48">
        <f t="shared" si="3"/>
        <v>5.5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D76" si="12">SUM(B63:B75)</f>
        <v>110.74000000000001</v>
      </c>
      <c r="C76" s="60">
        <f t="shared" si="12"/>
        <v>93.740000000000009</v>
      </c>
      <c r="D76" s="60">
        <f t="shared" si="12"/>
        <v>93.740000000000009</v>
      </c>
      <c r="E76" s="60">
        <f t="shared" ref="E76:AG76" si="13">SUM(E63:E75)</f>
        <v>94.34</v>
      </c>
      <c r="F76" s="60">
        <f t="shared" si="13"/>
        <v>94.34</v>
      </c>
      <c r="G76" s="60">
        <f t="shared" si="13"/>
        <v>107.34</v>
      </c>
      <c r="H76" s="60">
        <f t="shared" si="13"/>
        <v>104.34</v>
      </c>
      <c r="I76" s="60">
        <f t="shared" si="13"/>
        <v>104.34</v>
      </c>
      <c r="J76" s="60">
        <f t="shared" si="13"/>
        <v>287.74</v>
      </c>
      <c r="K76" s="60">
        <f t="shared" si="13"/>
        <v>398.64000000000004</v>
      </c>
      <c r="L76" s="60">
        <f t="shared" si="13"/>
        <v>399.04</v>
      </c>
      <c r="M76" s="60">
        <f t="shared" si="13"/>
        <v>403.84000000000003</v>
      </c>
      <c r="N76" s="60">
        <f t="shared" si="13"/>
        <v>382.34000000000009</v>
      </c>
      <c r="O76" s="60">
        <f t="shared" si="13"/>
        <v>361.34000000000003</v>
      </c>
      <c r="P76" s="60">
        <f t="shared" si="13"/>
        <v>344.84000000000009</v>
      </c>
      <c r="Q76" s="60">
        <f t="shared" si="13"/>
        <v>322.44000000000005</v>
      </c>
      <c r="R76" s="60">
        <f t="shared" si="13"/>
        <v>248.44</v>
      </c>
      <c r="S76" s="60">
        <f t="shared" ref="S76" si="14">SUM(S63:S75)</f>
        <v>237.74</v>
      </c>
      <c r="T76" s="60">
        <f t="shared" si="13"/>
        <v>231.14</v>
      </c>
      <c r="U76" s="60">
        <f t="shared" ref="U76:V76" si="15">SUM(U63:U75)</f>
        <v>225.64</v>
      </c>
      <c r="V76" s="60">
        <f t="shared" si="15"/>
        <v>220.44</v>
      </c>
      <c r="W76" s="60">
        <f t="shared" si="13"/>
        <v>247.84</v>
      </c>
      <c r="X76" s="60">
        <f t="shared" si="13"/>
        <v>345.8</v>
      </c>
      <c r="Y76" s="60">
        <f t="shared" si="13"/>
        <v>400.94000000000005</v>
      </c>
      <c r="Z76" s="60">
        <f t="shared" si="13"/>
        <v>394.64000000000004</v>
      </c>
      <c r="AA76" s="60">
        <f t="shared" si="13"/>
        <v>366.84000000000003</v>
      </c>
      <c r="AB76" s="60">
        <f t="shared" si="13"/>
        <v>367.34</v>
      </c>
      <c r="AC76" s="60">
        <f t="shared" si="13"/>
        <v>306.54000000000002</v>
      </c>
      <c r="AD76" s="60">
        <f t="shared" si="13"/>
        <v>305.74000000000007</v>
      </c>
      <c r="AE76" s="60">
        <f t="shared" si="13"/>
        <v>242.04</v>
      </c>
      <c r="AF76" s="60">
        <f t="shared" si="13"/>
        <v>141.34</v>
      </c>
      <c r="AG76" s="61">
        <f t="shared" si="13"/>
        <v>489.91</v>
      </c>
      <c r="AH76" s="47">
        <f t="shared" si="2"/>
        <v>403.84000000000003</v>
      </c>
      <c r="AI76" s="48">
        <f t="shared" si="3"/>
        <v>93.740000000000009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/>
      <c r="L77" s="45"/>
      <c r="M77" s="45">
        <v>43</v>
      </c>
      <c r="N77" s="45">
        <v>14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59.5</v>
      </c>
      <c r="X77" s="45">
        <v>49.4</v>
      </c>
      <c r="Y77" s="45">
        <v>39.700000000000003</v>
      </c>
      <c r="Z77" s="45">
        <v>13.8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59.5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/>
      <c r="F78" s="65"/>
      <c r="G78" s="65"/>
      <c r="H78" s="65"/>
      <c r="I78" s="65"/>
      <c r="J78" s="65"/>
      <c r="K78" s="65"/>
      <c r="L78" s="65"/>
      <c r="M78" s="65">
        <v>17.2</v>
      </c>
      <c r="N78" s="65">
        <v>7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27.5</v>
      </c>
      <c r="X78" s="65">
        <v>22.7</v>
      </c>
      <c r="Y78" s="65">
        <v>15.3</v>
      </c>
      <c r="Z78" s="65">
        <v>6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27.5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/>
      <c r="F79" s="67"/>
      <c r="G79" s="67"/>
      <c r="H79" s="67"/>
      <c r="I79" s="67"/>
      <c r="J79" s="67"/>
      <c r="K79" s="67"/>
      <c r="L79" s="67"/>
      <c r="M79" s="67">
        <v>6.3</v>
      </c>
      <c r="N79" s="67">
        <v>3</v>
      </c>
      <c r="O79" s="67">
        <v>0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0</v>
      </c>
      <c r="W79" s="67">
        <v>10</v>
      </c>
      <c r="X79" s="67">
        <v>8.3000000000000007</v>
      </c>
      <c r="Y79" s="67">
        <v>5.6</v>
      </c>
      <c r="Z79" s="67">
        <v>2.2000000000000002</v>
      </c>
      <c r="AA79" s="67">
        <v>0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10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D80" si="16">B77+B78+B79</f>
        <v>0</v>
      </c>
      <c r="C80" s="60">
        <f t="shared" si="16"/>
        <v>0</v>
      </c>
      <c r="D80" s="60">
        <f t="shared" si="16"/>
        <v>0</v>
      </c>
      <c r="E80" s="60">
        <f t="shared" ref="E80:AF80" si="17">E77+E78+E79</f>
        <v>0</v>
      </c>
      <c r="F80" s="60">
        <f t="shared" si="17"/>
        <v>0</v>
      </c>
      <c r="G80" s="60">
        <f t="shared" si="17"/>
        <v>0</v>
      </c>
      <c r="H80" s="60">
        <f t="shared" si="17"/>
        <v>0</v>
      </c>
      <c r="I80" s="60">
        <f t="shared" si="17"/>
        <v>0</v>
      </c>
      <c r="J80" s="60">
        <f t="shared" si="17"/>
        <v>0</v>
      </c>
      <c r="K80" s="60">
        <f t="shared" si="17"/>
        <v>0</v>
      </c>
      <c r="L80" s="60">
        <f t="shared" si="17"/>
        <v>0</v>
      </c>
      <c r="M80" s="60">
        <f t="shared" si="17"/>
        <v>66.5</v>
      </c>
      <c r="N80" s="60">
        <f t="shared" si="17"/>
        <v>24</v>
      </c>
      <c r="O80" s="60">
        <f t="shared" si="17"/>
        <v>0</v>
      </c>
      <c r="P80" s="60">
        <f t="shared" si="17"/>
        <v>0</v>
      </c>
      <c r="Q80" s="60">
        <f t="shared" si="17"/>
        <v>0</v>
      </c>
      <c r="R80" s="60">
        <f t="shared" si="17"/>
        <v>0</v>
      </c>
      <c r="S80" s="60">
        <f t="shared" ref="S80" si="18">S77+S78+S79</f>
        <v>0</v>
      </c>
      <c r="T80" s="60">
        <f t="shared" si="17"/>
        <v>0</v>
      </c>
      <c r="U80" s="60">
        <f t="shared" si="17"/>
        <v>0</v>
      </c>
      <c r="V80" s="60">
        <f t="shared" si="17"/>
        <v>0</v>
      </c>
      <c r="W80" s="60">
        <f t="shared" si="17"/>
        <v>97</v>
      </c>
      <c r="X80" s="60">
        <f t="shared" si="17"/>
        <v>80.399999999999991</v>
      </c>
      <c r="Y80" s="60">
        <f t="shared" si="17"/>
        <v>60.6</v>
      </c>
      <c r="Z80" s="60">
        <f t="shared" si="17"/>
        <v>22</v>
      </c>
      <c r="AA80" s="60">
        <f>AA77+AA78+AA79</f>
        <v>0</v>
      </c>
      <c r="AB80" s="60">
        <f t="shared" si="17"/>
        <v>0</v>
      </c>
      <c r="AC80" s="60">
        <f t="shared" si="17"/>
        <v>0</v>
      </c>
      <c r="AD80" s="60">
        <f t="shared" si="17"/>
        <v>0</v>
      </c>
      <c r="AE80" s="60">
        <f t="shared" si="17"/>
        <v>0</v>
      </c>
      <c r="AF80" s="60">
        <f t="shared" si="17"/>
        <v>0</v>
      </c>
      <c r="AG80" s="61">
        <f>SUM(AG77:AG79)</f>
        <v>106</v>
      </c>
      <c r="AH80" s="47">
        <f t="shared" si="2"/>
        <v>97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57</v>
      </c>
      <c r="C81" s="45">
        <v>55</v>
      </c>
      <c r="D81" s="45">
        <v>57</v>
      </c>
      <c r="E81" s="45">
        <v>54</v>
      </c>
      <c r="F81" s="45">
        <v>48</v>
      </c>
      <c r="G81" s="45">
        <v>50</v>
      </c>
      <c r="H81" s="45">
        <v>57</v>
      </c>
      <c r="I81" s="45">
        <v>54</v>
      </c>
      <c r="J81" s="45">
        <v>62.3</v>
      </c>
      <c r="K81" s="45">
        <v>59</v>
      </c>
      <c r="L81" s="45">
        <v>60.2</v>
      </c>
      <c r="M81" s="45">
        <v>68</v>
      </c>
      <c r="N81" s="45">
        <v>44.3</v>
      </c>
      <c r="O81" s="45">
        <v>43.4</v>
      </c>
      <c r="P81" s="45">
        <v>60.8</v>
      </c>
      <c r="Q81" s="45">
        <v>58.8</v>
      </c>
      <c r="R81" s="45">
        <v>64.8</v>
      </c>
      <c r="S81" s="45">
        <v>60.2</v>
      </c>
      <c r="T81" s="45">
        <v>57.4</v>
      </c>
      <c r="U81" s="45">
        <v>65.3</v>
      </c>
      <c r="V81" s="45">
        <v>65.099999999999994</v>
      </c>
      <c r="W81" s="45">
        <v>65.8</v>
      </c>
      <c r="X81" s="45">
        <v>64</v>
      </c>
      <c r="Y81" s="45">
        <v>64.8</v>
      </c>
      <c r="Z81" s="45">
        <v>65.7</v>
      </c>
      <c r="AA81" s="45">
        <v>61.9</v>
      </c>
      <c r="AB81" s="45">
        <v>57</v>
      </c>
      <c r="AC81" s="45">
        <v>67</v>
      </c>
      <c r="AD81" s="45">
        <v>64.7</v>
      </c>
      <c r="AE81" s="45">
        <v>59</v>
      </c>
      <c r="AF81" s="45">
        <v>52.2</v>
      </c>
      <c r="AG81" s="52"/>
      <c r="AH81" s="47">
        <f t="shared" si="2"/>
        <v>68</v>
      </c>
      <c r="AI81" s="48">
        <f t="shared" si="3"/>
        <v>43.4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199</v>
      </c>
      <c r="C83" s="65">
        <v>198</v>
      </c>
      <c r="D83" s="65">
        <v>195</v>
      </c>
      <c r="E83" s="65">
        <v>185.6</v>
      </c>
      <c r="F83" s="65">
        <v>196</v>
      </c>
      <c r="G83" s="65">
        <v>279</v>
      </c>
      <c r="H83" s="65">
        <v>324</v>
      </c>
      <c r="I83" s="65">
        <v>374</v>
      </c>
      <c r="J83" s="65">
        <v>381</v>
      </c>
      <c r="K83" s="65">
        <v>380</v>
      </c>
      <c r="L83" s="65">
        <v>142</v>
      </c>
      <c r="M83" s="65">
        <v>259</v>
      </c>
      <c r="N83" s="65">
        <v>125</v>
      </c>
      <c r="O83" s="65">
        <v>212.4</v>
      </c>
      <c r="P83" s="65">
        <v>309</v>
      </c>
      <c r="Q83" s="65">
        <v>372.5</v>
      </c>
      <c r="R83" s="65">
        <v>414</v>
      </c>
      <c r="S83" s="65">
        <v>429</v>
      </c>
      <c r="T83" s="65">
        <v>430</v>
      </c>
      <c r="U83" s="65">
        <v>417.2</v>
      </c>
      <c r="V83" s="65">
        <v>330.3</v>
      </c>
      <c r="W83" s="65">
        <v>283.8</v>
      </c>
      <c r="X83" s="65">
        <v>260</v>
      </c>
      <c r="Y83" s="65">
        <v>242.3</v>
      </c>
      <c r="Z83" s="65">
        <v>261.39999999999998</v>
      </c>
      <c r="AA83" s="65">
        <v>284.89999999999998</v>
      </c>
      <c r="AB83" s="65">
        <v>237</v>
      </c>
      <c r="AC83" s="65">
        <v>245.3</v>
      </c>
      <c r="AD83" s="65">
        <v>271.3</v>
      </c>
      <c r="AE83" s="65">
        <v>250</v>
      </c>
      <c r="AF83" s="65">
        <v>248</v>
      </c>
      <c r="AG83" s="75"/>
      <c r="AH83" s="47">
        <f t="shared" si="2"/>
        <v>430</v>
      </c>
      <c r="AI83" s="48">
        <f t="shared" si="3"/>
        <v>125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19">MAX(B85:AF85)</f>
        <v>0</v>
      </c>
      <c r="AI85" s="48">
        <f t="shared" ref="AI85:AI130" si="20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19"/>
        <v>0</v>
      </c>
      <c r="AI86" s="48">
        <f t="shared" si="20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0</v>
      </c>
      <c r="Z87" s="77">
        <v>0</v>
      </c>
      <c r="AA87" s="77">
        <v>0</v>
      </c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19"/>
        <v>0</v>
      </c>
      <c r="AI87" s="48">
        <f t="shared" si="20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0</v>
      </c>
      <c r="Z88" s="77">
        <v>0</v>
      </c>
      <c r="AA88" s="77">
        <v>0</v>
      </c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19"/>
        <v>0</v>
      </c>
      <c r="AI88" s="48">
        <f t="shared" si="20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0</v>
      </c>
      <c r="Z89" s="77">
        <v>0</v>
      </c>
      <c r="AA89" s="77">
        <v>0</v>
      </c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19"/>
        <v>0</v>
      </c>
      <c r="AI89" s="48">
        <f t="shared" si="20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19"/>
        <v>0</v>
      </c>
      <c r="AI90" s="48">
        <f t="shared" si="20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>
        <v>0</v>
      </c>
      <c r="T91" s="77">
        <v>0</v>
      </c>
      <c r="U91" s="77">
        <v>0</v>
      </c>
      <c r="V91" s="77">
        <v>0</v>
      </c>
      <c r="W91" s="77">
        <v>0</v>
      </c>
      <c r="X91" s="77">
        <v>0</v>
      </c>
      <c r="Y91" s="77">
        <v>0</v>
      </c>
      <c r="Z91" s="77">
        <v>0</v>
      </c>
      <c r="AA91" s="77">
        <v>0</v>
      </c>
      <c r="AB91" s="77">
        <v>0</v>
      </c>
      <c r="AC91" s="77">
        <v>0</v>
      </c>
      <c r="AD91" s="77">
        <v>0</v>
      </c>
      <c r="AE91" s="77">
        <v>0</v>
      </c>
      <c r="AF91" s="77">
        <v>0</v>
      </c>
      <c r="AG91" s="85"/>
      <c r="AH91" s="47">
        <f t="shared" si="19"/>
        <v>0</v>
      </c>
      <c r="AI91" s="48">
        <f t="shared" si="20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D92" si="21">SUMIF(B81:B91,"&gt;0")</f>
        <v>256</v>
      </c>
      <c r="C92" s="60">
        <f t="shared" si="21"/>
        <v>253</v>
      </c>
      <c r="D92" s="60">
        <f t="shared" si="21"/>
        <v>252</v>
      </c>
      <c r="E92" s="60">
        <f t="shared" ref="E92:AF92" si="22">SUMIF(E81:E91,"&gt;0")</f>
        <v>239.6</v>
      </c>
      <c r="F92" s="60">
        <f t="shared" si="22"/>
        <v>244</v>
      </c>
      <c r="G92" s="60">
        <f t="shared" si="22"/>
        <v>329</v>
      </c>
      <c r="H92" s="60">
        <f t="shared" si="22"/>
        <v>381</v>
      </c>
      <c r="I92" s="60">
        <f t="shared" si="22"/>
        <v>428</v>
      </c>
      <c r="J92" s="60">
        <f t="shared" si="22"/>
        <v>443.3</v>
      </c>
      <c r="K92" s="60">
        <f t="shared" si="22"/>
        <v>439</v>
      </c>
      <c r="L92" s="60">
        <f t="shared" si="22"/>
        <v>202.2</v>
      </c>
      <c r="M92" s="60">
        <f t="shared" si="22"/>
        <v>327</v>
      </c>
      <c r="N92" s="60">
        <f t="shared" si="22"/>
        <v>169.3</v>
      </c>
      <c r="O92" s="60">
        <f t="shared" si="22"/>
        <v>255.8</v>
      </c>
      <c r="P92" s="60">
        <f t="shared" si="22"/>
        <v>369.8</v>
      </c>
      <c r="Q92" s="60">
        <f t="shared" si="22"/>
        <v>431.3</v>
      </c>
      <c r="R92" s="60">
        <f t="shared" si="22"/>
        <v>478.8</v>
      </c>
      <c r="S92" s="60">
        <f t="shared" si="22"/>
        <v>489.2</v>
      </c>
      <c r="T92" s="60">
        <f t="shared" si="22"/>
        <v>487.4</v>
      </c>
      <c r="U92" s="60">
        <f t="shared" si="22"/>
        <v>482.5</v>
      </c>
      <c r="V92" s="60">
        <f t="shared" si="22"/>
        <v>395.4</v>
      </c>
      <c r="W92" s="60">
        <f t="shared" si="22"/>
        <v>349.6</v>
      </c>
      <c r="X92" s="60">
        <f t="shared" si="22"/>
        <v>324</v>
      </c>
      <c r="Y92" s="60">
        <f t="shared" si="22"/>
        <v>307.10000000000002</v>
      </c>
      <c r="Z92" s="60">
        <f t="shared" si="22"/>
        <v>327.09999999999997</v>
      </c>
      <c r="AA92" s="60">
        <f t="shared" si="22"/>
        <v>346.79999999999995</v>
      </c>
      <c r="AB92" s="60">
        <f t="shared" si="22"/>
        <v>294</v>
      </c>
      <c r="AC92" s="60">
        <f t="shared" si="22"/>
        <v>312.3</v>
      </c>
      <c r="AD92" s="60">
        <f t="shared" si="22"/>
        <v>336</v>
      </c>
      <c r="AE92" s="60">
        <f t="shared" si="22"/>
        <v>309</v>
      </c>
      <c r="AF92" s="60">
        <f t="shared" si="22"/>
        <v>300.2</v>
      </c>
      <c r="AG92" s="88">
        <f>SUM(AG81:AG91)</f>
        <v>0</v>
      </c>
      <c r="AH92" s="47">
        <f t="shared" si="19"/>
        <v>489.2</v>
      </c>
      <c r="AI92" s="48">
        <f t="shared" si="20"/>
        <v>169.3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19"/>
        <v>0</v>
      </c>
      <c r="AI93" s="48">
        <f t="shared" si="20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19"/>
        <v>0</v>
      </c>
      <c r="AI94" s="48">
        <f t="shared" si="20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19"/>
        <v>0</v>
      </c>
      <c r="AI95" s="48">
        <f t="shared" si="20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19"/>
        <v>0</v>
      </c>
      <c r="AI96" s="48">
        <f t="shared" si="20"/>
        <v>0</v>
      </c>
    </row>
    <row r="97" spans="1:37" ht="15.75" thickBot="1" x14ac:dyDescent="0.3">
      <c r="A97" s="74" t="s">
        <v>100</v>
      </c>
      <c r="B97" s="95">
        <f t="shared" ref="B97:D97" si="23">B58+B62+B80+B76+B92+B96</f>
        <v>998.04</v>
      </c>
      <c r="C97" s="95">
        <f t="shared" si="23"/>
        <v>978.04</v>
      </c>
      <c r="D97" s="95">
        <f t="shared" si="23"/>
        <v>977.04</v>
      </c>
      <c r="E97" s="95">
        <f t="shared" ref="E97:AG97" si="24">E58+E62+E80+E76+E92+E96</f>
        <v>964.54000000000019</v>
      </c>
      <c r="F97" s="95">
        <f t="shared" si="24"/>
        <v>970.34000000000015</v>
      </c>
      <c r="G97" s="95">
        <f t="shared" si="24"/>
        <v>1065.04</v>
      </c>
      <c r="H97" s="95">
        <f t="shared" si="24"/>
        <v>1114.04</v>
      </c>
      <c r="I97" s="95">
        <f t="shared" si="24"/>
        <v>1161.8400000000001</v>
      </c>
      <c r="J97" s="95">
        <f t="shared" si="24"/>
        <v>1362.94</v>
      </c>
      <c r="K97" s="95">
        <f t="shared" si="24"/>
        <v>1518.5400000000002</v>
      </c>
      <c r="L97" s="95">
        <f t="shared" si="24"/>
        <v>1612.24</v>
      </c>
      <c r="M97" s="95">
        <f t="shared" si="24"/>
        <v>1646.94</v>
      </c>
      <c r="N97" s="95">
        <f t="shared" si="24"/>
        <v>1483.3400000000001</v>
      </c>
      <c r="O97" s="95">
        <f t="shared" si="24"/>
        <v>1444.84</v>
      </c>
      <c r="P97" s="95">
        <f t="shared" si="24"/>
        <v>1492.24</v>
      </c>
      <c r="Q97" s="95">
        <f t="shared" si="24"/>
        <v>1426.34</v>
      </c>
      <c r="R97" s="95">
        <f t="shared" si="24"/>
        <v>1399.84</v>
      </c>
      <c r="S97" s="95">
        <f t="shared" si="24"/>
        <v>1397.84</v>
      </c>
      <c r="T97" s="95">
        <f t="shared" si="24"/>
        <v>1394.94</v>
      </c>
      <c r="U97" s="95">
        <f t="shared" si="24"/>
        <v>1387.54</v>
      </c>
      <c r="V97" s="95">
        <f t="shared" si="24"/>
        <v>1395.1399999999999</v>
      </c>
      <c r="W97" s="95">
        <f t="shared" si="24"/>
        <v>1485.1399999999999</v>
      </c>
      <c r="X97" s="95">
        <f t="shared" si="24"/>
        <v>1646.5</v>
      </c>
      <c r="Y97" s="95">
        <f t="shared" si="24"/>
        <v>1684.94</v>
      </c>
      <c r="Z97" s="95">
        <f t="shared" si="24"/>
        <v>1620.04</v>
      </c>
      <c r="AA97" s="95">
        <f t="shared" si="24"/>
        <v>1572.24</v>
      </c>
      <c r="AB97" s="95">
        <f t="shared" si="24"/>
        <v>1535.64</v>
      </c>
      <c r="AC97" s="95">
        <f t="shared" si="24"/>
        <v>1468.14</v>
      </c>
      <c r="AD97" s="95">
        <f t="shared" si="24"/>
        <v>1421.0400000000002</v>
      </c>
      <c r="AE97" s="95">
        <f t="shared" si="24"/>
        <v>1192.3400000000001</v>
      </c>
      <c r="AF97" s="95">
        <f t="shared" si="24"/>
        <v>1070.8400000000001</v>
      </c>
      <c r="AG97" s="61">
        <f t="shared" si="24"/>
        <v>2231.81</v>
      </c>
      <c r="AH97" s="47">
        <f t="shared" si="19"/>
        <v>1684.94</v>
      </c>
      <c r="AI97" s="48">
        <f t="shared" si="20"/>
        <v>964.54000000000019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80</v>
      </c>
      <c r="M98" s="97">
        <v>80</v>
      </c>
      <c r="N98" s="97">
        <v>80</v>
      </c>
      <c r="O98" s="97">
        <v>80</v>
      </c>
      <c r="P98" s="97">
        <v>20</v>
      </c>
      <c r="Q98" s="97">
        <v>0</v>
      </c>
      <c r="R98" s="97">
        <v>0</v>
      </c>
      <c r="S98" s="97"/>
      <c r="T98" s="97"/>
      <c r="U98" s="97"/>
      <c r="V98" s="97"/>
      <c r="W98" s="97"/>
      <c r="X98" s="97">
        <v>80</v>
      </c>
      <c r="Y98" s="97">
        <v>60</v>
      </c>
      <c r="Z98" s="97">
        <v>50</v>
      </c>
      <c r="AA98" s="97"/>
      <c r="AB98" s="97">
        <v>50</v>
      </c>
      <c r="AC98" s="97">
        <v>50</v>
      </c>
      <c r="AD98" s="97">
        <v>50</v>
      </c>
      <c r="AE98" s="97"/>
      <c r="AF98" s="97"/>
      <c r="AG98" s="88"/>
      <c r="AH98" s="47">
        <f t="shared" si="19"/>
        <v>80</v>
      </c>
      <c r="AI98" s="48">
        <f t="shared" si="20"/>
        <v>0</v>
      </c>
    </row>
    <row r="99" spans="1:37" ht="15.75" thickBot="1" x14ac:dyDescent="0.3">
      <c r="A99" s="74" t="s">
        <v>102</v>
      </c>
      <c r="B99" s="95">
        <f t="shared" ref="B99:D99" si="25">B97+B98</f>
        <v>998.04</v>
      </c>
      <c r="C99" s="95">
        <f t="shared" si="25"/>
        <v>978.04</v>
      </c>
      <c r="D99" s="95">
        <f t="shared" si="25"/>
        <v>977.04</v>
      </c>
      <c r="E99" s="95">
        <f t="shared" ref="E99:AF99" si="26">E97+E98</f>
        <v>964.54000000000019</v>
      </c>
      <c r="F99" s="95">
        <f t="shared" si="26"/>
        <v>970.34000000000015</v>
      </c>
      <c r="G99" s="95">
        <f t="shared" si="26"/>
        <v>1065.04</v>
      </c>
      <c r="H99" s="95">
        <f t="shared" si="26"/>
        <v>1114.04</v>
      </c>
      <c r="I99" s="95">
        <f t="shared" si="26"/>
        <v>1161.8400000000001</v>
      </c>
      <c r="J99" s="95">
        <f t="shared" si="26"/>
        <v>1362.94</v>
      </c>
      <c r="K99" s="95">
        <f t="shared" si="26"/>
        <v>1518.5400000000002</v>
      </c>
      <c r="L99" s="95">
        <f t="shared" si="26"/>
        <v>1692.24</v>
      </c>
      <c r="M99" s="95">
        <f t="shared" si="26"/>
        <v>1726.94</v>
      </c>
      <c r="N99" s="95">
        <f t="shared" si="26"/>
        <v>1563.3400000000001</v>
      </c>
      <c r="O99" s="95">
        <f t="shared" si="26"/>
        <v>1524.84</v>
      </c>
      <c r="P99" s="95">
        <f t="shared" si="26"/>
        <v>1512.24</v>
      </c>
      <c r="Q99" s="95">
        <f t="shared" si="26"/>
        <v>1426.34</v>
      </c>
      <c r="R99" s="95">
        <f t="shared" si="26"/>
        <v>1399.84</v>
      </c>
      <c r="S99" s="95">
        <f t="shared" si="26"/>
        <v>1397.84</v>
      </c>
      <c r="T99" s="95">
        <f t="shared" si="26"/>
        <v>1394.94</v>
      </c>
      <c r="U99" s="95">
        <f t="shared" si="26"/>
        <v>1387.54</v>
      </c>
      <c r="V99" s="95">
        <f t="shared" si="26"/>
        <v>1395.1399999999999</v>
      </c>
      <c r="W99" s="95">
        <f t="shared" si="26"/>
        <v>1485.1399999999999</v>
      </c>
      <c r="X99" s="95">
        <f t="shared" si="26"/>
        <v>1726.5</v>
      </c>
      <c r="Y99" s="95">
        <f t="shared" si="26"/>
        <v>1744.94</v>
      </c>
      <c r="Z99" s="95">
        <f t="shared" si="26"/>
        <v>1670.04</v>
      </c>
      <c r="AA99" s="95">
        <f t="shared" si="26"/>
        <v>1572.24</v>
      </c>
      <c r="AB99" s="95">
        <f t="shared" si="26"/>
        <v>1585.64</v>
      </c>
      <c r="AC99" s="95">
        <f t="shared" si="26"/>
        <v>1518.14</v>
      </c>
      <c r="AD99" s="95">
        <f t="shared" si="26"/>
        <v>1471.0400000000002</v>
      </c>
      <c r="AE99" s="95">
        <f t="shared" si="26"/>
        <v>1192.3400000000001</v>
      </c>
      <c r="AF99" s="95">
        <f t="shared" si="26"/>
        <v>1070.8400000000001</v>
      </c>
      <c r="AG99" s="88">
        <f>AG96+AG92+AG80+AG76+AG58+AG98</f>
        <v>1693.71</v>
      </c>
      <c r="AH99" s="47">
        <f t="shared" si="19"/>
        <v>1744.94</v>
      </c>
      <c r="AI99" s="48">
        <f t="shared" si="20"/>
        <v>964.54000000000019</v>
      </c>
    </row>
    <row r="100" spans="1:37" ht="15.75" thickBot="1" x14ac:dyDescent="0.3">
      <c r="A100" s="74" t="s">
        <v>103</v>
      </c>
      <c r="B100" s="95">
        <f t="shared" ref="B100:D100" si="27">B99-(B107)</f>
        <v>997.04</v>
      </c>
      <c r="C100" s="95">
        <f t="shared" si="27"/>
        <v>976.04</v>
      </c>
      <c r="D100" s="95">
        <f t="shared" si="27"/>
        <v>974.04</v>
      </c>
      <c r="E100" s="95">
        <f t="shared" ref="E100:M100" si="28">E99-(E107)</f>
        <v>964.54000000000019</v>
      </c>
      <c r="F100" s="95">
        <f t="shared" si="28"/>
        <v>970.34000000000015</v>
      </c>
      <c r="G100" s="95">
        <f t="shared" si="28"/>
        <v>1065.04</v>
      </c>
      <c r="H100" s="95">
        <f t="shared" si="28"/>
        <v>1114.04</v>
      </c>
      <c r="I100" s="95">
        <f t="shared" si="28"/>
        <v>1161.8400000000001</v>
      </c>
      <c r="J100" s="95">
        <f t="shared" si="28"/>
        <v>1362.94</v>
      </c>
      <c r="K100" s="95">
        <f t="shared" si="28"/>
        <v>1518.5400000000002</v>
      </c>
      <c r="L100" s="95">
        <f t="shared" si="28"/>
        <v>1692.24</v>
      </c>
      <c r="M100" s="95">
        <f t="shared" si="28"/>
        <v>1726.94</v>
      </c>
      <c r="N100" s="95">
        <f>N99-(N107)</f>
        <v>1563.3400000000001</v>
      </c>
      <c r="O100" s="95">
        <f t="shared" ref="O100:AF100" si="29">O99-(O107)</f>
        <v>1524.84</v>
      </c>
      <c r="P100" s="95">
        <f t="shared" si="29"/>
        <v>1512.24</v>
      </c>
      <c r="Q100" s="95">
        <f t="shared" si="29"/>
        <v>1426.34</v>
      </c>
      <c r="R100" s="95">
        <f t="shared" si="29"/>
        <v>1399.84</v>
      </c>
      <c r="S100" s="95">
        <f t="shared" si="29"/>
        <v>1397.84</v>
      </c>
      <c r="T100" s="95">
        <f t="shared" si="29"/>
        <v>1394.94</v>
      </c>
      <c r="U100" s="95">
        <f t="shared" si="29"/>
        <v>1387.54</v>
      </c>
      <c r="V100" s="95">
        <f t="shared" si="29"/>
        <v>1395.1399999999999</v>
      </c>
      <c r="W100" s="95">
        <f t="shared" si="29"/>
        <v>1485.1399999999999</v>
      </c>
      <c r="X100" s="95">
        <f t="shared" si="29"/>
        <v>1726.5</v>
      </c>
      <c r="Y100" s="95">
        <f t="shared" si="29"/>
        <v>1744.94</v>
      </c>
      <c r="Z100" s="95">
        <f t="shared" si="29"/>
        <v>1670.04</v>
      </c>
      <c r="AA100" s="95">
        <f t="shared" si="29"/>
        <v>1572.24</v>
      </c>
      <c r="AB100" s="95">
        <f t="shared" si="29"/>
        <v>1585.64</v>
      </c>
      <c r="AC100" s="95">
        <f t="shared" si="29"/>
        <v>1518.14</v>
      </c>
      <c r="AD100" s="95">
        <f t="shared" si="29"/>
        <v>1471.0400000000002</v>
      </c>
      <c r="AE100" s="95">
        <f t="shared" si="29"/>
        <v>1192.3400000000001</v>
      </c>
      <c r="AF100" s="95">
        <f t="shared" si="29"/>
        <v>1070.8400000000001</v>
      </c>
      <c r="AG100" s="88"/>
      <c r="AH100" s="47">
        <f t="shared" si="19"/>
        <v>1744.94</v>
      </c>
      <c r="AI100" s="48">
        <f t="shared" si="20"/>
        <v>964.54000000000019</v>
      </c>
    </row>
    <row r="101" spans="1:37" x14ac:dyDescent="0.25">
      <c r="A101" s="44" t="s">
        <v>84</v>
      </c>
      <c r="B101" s="76">
        <f t="shared" ref="B101:D101" si="30">IF(B84&lt;0,B84*-1,0)</f>
        <v>0</v>
      </c>
      <c r="C101" s="76">
        <f t="shared" si="30"/>
        <v>0</v>
      </c>
      <c r="D101" s="76">
        <f t="shared" si="30"/>
        <v>0</v>
      </c>
      <c r="E101" s="76">
        <f t="shared" ref="E101:AF101" si="31">IF(E84&lt;0,E84*-1,0)</f>
        <v>0</v>
      </c>
      <c r="F101" s="76">
        <f t="shared" si="31"/>
        <v>0</v>
      </c>
      <c r="G101" s="76">
        <f t="shared" si="31"/>
        <v>0</v>
      </c>
      <c r="H101" s="76">
        <f t="shared" si="31"/>
        <v>0</v>
      </c>
      <c r="I101" s="76">
        <f t="shared" si="31"/>
        <v>0</v>
      </c>
      <c r="J101" s="76">
        <f t="shared" si="31"/>
        <v>0</v>
      </c>
      <c r="K101" s="76">
        <f t="shared" si="31"/>
        <v>0</v>
      </c>
      <c r="L101" s="76">
        <f t="shared" si="31"/>
        <v>0</v>
      </c>
      <c r="M101" s="76">
        <f t="shared" si="31"/>
        <v>0</v>
      </c>
      <c r="N101" s="76">
        <f t="shared" si="31"/>
        <v>0</v>
      </c>
      <c r="O101" s="76">
        <f t="shared" si="31"/>
        <v>0</v>
      </c>
      <c r="P101" s="76">
        <f t="shared" si="31"/>
        <v>0</v>
      </c>
      <c r="Q101" s="76">
        <f t="shared" si="31"/>
        <v>0</v>
      </c>
      <c r="R101" s="76">
        <f t="shared" si="31"/>
        <v>0</v>
      </c>
      <c r="S101" s="76">
        <f t="shared" si="31"/>
        <v>0</v>
      </c>
      <c r="T101" s="76">
        <f t="shared" si="31"/>
        <v>0</v>
      </c>
      <c r="U101" s="76">
        <f t="shared" si="31"/>
        <v>0</v>
      </c>
      <c r="V101" s="76">
        <f t="shared" si="31"/>
        <v>0</v>
      </c>
      <c r="W101" s="76">
        <f t="shared" si="31"/>
        <v>0</v>
      </c>
      <c r="X101" s="76">
        <f t="shared" si="31"/>
        <v>0</v>
      </c>
      <c r="Y101" s="76">
        <f t="shared" si="31"/>
        <v>0</v>
      </c>
      <c r="Z101" s="76">
        <f t="shared" si="31"/>
        <v>0</v>
      </c>
      <c r="AA101" s="76">
        <f t="shared" si="31"/>
        <v>0</v>
      </c>
      <c r="AB101" s="76">
        <f t="shared" si="31"/>
        <v>0</v>
      </c>
      <c r="AC101" s="76">
        <f t="shared" si="31"/>
        <v>0</v>
      </c>
      <c r="AD101" s="76">
        <f t="shared" si="31"/>
        <v>0</v>
      </c>
      <c r="AE101" s="76">
        <f t="shared" si="31"/>
        <v>0</v>
      </c>
      <c r="AF101" s="76">
        <f t="shared" si="31"/>
        <v>0</v>
      </c>
      <c r="AG101" s="52"/>
      <c r="AH101" s="47">
        <f t="shared" si="19"/>
        <v>0</v>
      </c>
      <c r="AI101" s="48">
        <f t="shared" si="20"/>
        <v>0</v>
      </c>
    </row>
    <row r="102" spans="1:37" x14ac:dyDescent="0.25">
      <c r="A102" s="54" t="s">
        <v>82</v>
      </c>
      <c r="B102" s="76">
        <f t="shared" ref="B102:D102" si="32">IF(B82&lt;0,B82*-1,0)</f>
        <v>0</v>
      </c>
      <c r="C102" s="76">
        <f t="shared" si="32"/>
        <v>0</v>
      </c>
      <c r="D102" s="76">
        <f t="shared" si="32"/>
        <v>0</v>
      </c>
      <c r="E102" s="76">
        <f t="shared" ref="E102:AF102" si="33">IF(E82&lt;0,E82*-1,0)</f>
        <v>0</v>
      </c>
      <c r="F102" s="76">
        <f t="shared" si="33"/>
        <v>0</v>
      </c>
      <c r="G102" s="76">
        <f t="shared" si="33"/>
        <v>0</v>
      </c>
      <c r="H102" s="76">
        <f t="shared" si="33"/>
        <v>0</v>
      </c>
      <c r="I102" s="76">
        <f t="shared" si="33"/>
        <v>0</v>
      </c>
      <c r="J102" s="76">
        <f t="shared" si="33"/>
        <v>0</v>
      </c>
      <c r="K102" s="76">
        <f t="shared" si="33"/>
        <v>0</v>
      </c>
      <c r="L102" s="76">
        <f t="shared" si="33"/>
        <v>0</v>
      </c>
      <c r="M102" s="76">
        <f t="shared" si="33"/>
        <v>0</v>
      </c>
      <c r="N102" s="76">
        <f t="shared" si="33"/>
        <v>0</v>
      </c>
      <c r="O102" s="76">
        <f t="shared" si="33"/>
        <v>0</v>
      </c>
      <c r="P102" s="76">
        <f t="shared" si="33"/>
        <v>0</v>
      </c>
      <c r="Q102" s="76">
        <f t="shared" si="33"/>
        <v>0</v>
      </c>
      <c r="R102" s="76">
        <f t="shared" si="33"/>
        <v>0</v>
      </c>
      <c r="S102" s="76">
        <f t="shared" si="33"/>
        <v>0</v>
      </c>
      <c r="T102" s="76">
        <f t="shared" si="33"/>
        <v>0</v>
      </c>
      <c r="U102" s="76">
        <f t="shared" si="33"/>
        <v>0</v>
      </c>
      <c r="V102" s="76">
        <f t="shared" si="33"/>
        <v>0</v>
      </c>
      <c r="W102" s="76">
        <f t="shared" si="33"/>
        <v>0</v>
      </c>
      <c r="X102" s="76">
        <f t="shared" si="33"/>
        <v>0</v>
      </c>
      <c r="Y102" s="76">
        <f t="shared" si="33"/>
        <v>0</v>
      </c>
      <c r="Z102" s="76">
        <f t="shared" si="33"/>
        <v>0</v>
      </c>
      <c r="AA102" s="76">
        <f t="shared" si="33"/>
        <v>0</v>
      </c>
      <c r="AB102" s="76">
        <f t="shared" si="33"/>
        <v>0</v>
      </c>
      <c r="AC102" s="76">
        <f t="shared" si="33"/>
        <v>0</v>
      </c>
      <c r="AD102" s="76">
        <f t="shared" si="33"/>
        <v>0</v>
      </c>
      <c r="AE102" s="76">
        <f t="shared" si="33"/>
        <v>0</v>
      </c>
      <c r="AF102" s="76">
        <f t="shared" si="33"/>
        <v>0</v>
      </c>
      <c r="AG102" s="55"/>
      <c r="AH102" s="47">
        <f t="shared" si="19"/>
        <v>0</v>
      </c>
      <c r="AI102" s="48">
        <f t="shared" si="20"/>
        <v>0</v>
      </c>
    </row>
    <row r="103" spans="1:37" x14ac:dyDescent="0.25">
      <c r="A103" s="84" t="s">
        <v>104</v>
      </c>
      <c r="B103" s="76">
        <f t="shared" ref="B103:D103" si="34">IF(B85&lt;0,B85*-1,0)</f>
        <v>0</v>
      </c>
      <c r="C103" s="76">
        <f t="shared" si="34"/>
        <v>0</v>
      </c>
      <c r="D103" s="76">
        <f t="shared" si="34"/>
        <v>0</v>
      </c>
      <c r="E103" s="76">
        <f t="shared" ref="E103:AF103" si="35">IF(E85&lt;0,E85*-1,0)</f>
        <v>0</v>
      </c>
      <c r="F103" s="76">
        <f t="shared" si="35"/>
        <v>0</v>
      </c>
      <c r="G103" s="76">
        <f t="shared" si="35"/>
        <v>0</v>
      </c>
      <c r="H103" s="76">
        <f t="shared" si="35"/>
        <v>0</v>
      </c>
      <c r="I103" s="76">
        <f t="shared" si="35"/>
        <v>0</v>
      </c>
      <c r="J103" s="76">
        <f t="shared" si="35"/>
        <v>0</v>
      </c>
      <c r="K103" s="76">
        <f t="shared" si="35"/>
        <v>0</v>
      </c>
      <c r="L103" s="76">
        <f t="shared" si="35"/>
        <v>0</v>
      </c>
      <c r="M103" s="76">
        <f t="shared" si="35"/>
        <v>0</v>
      </c>
      <c r="N103" s="76">
        <f t="shared" si="35"/>
        <v>0</v>
      </c>
      <c r="O103" s="76">
        <f t="shared" si="35"/>
        <v>0</v>
      </c>
      <c r="P103" s="76">
        <f t="shared" si="35"/>
        <v>0</v>
      </c>
      <c r="Q103" s="76">
        <f t="shared" si="35"/>
        <v>0</v>
      </c>
      <c r="R103" s="76">
        <f t="shared" si="35"/>
        <v>0</v>
      </c>
      <c r="S103" s="76">
        <f t="shared" si="35"/>
        <v>0</v>
      </c>
      <c r="T103" s="76">
        <f t="shared" si="35"/>
        <v>0</v>
      </c>
      <c r="U103" s="76">
        <f t="shared" si="35"/>
        <v>0</v>
      </c>
      <c r="V103" s="76">
        <f t="shared" si="35"/>
        <v>0</v>
      </c>
      <c r="W103" s="76">
        <f t="shared" si="35"/>
        <v>0</v>
      </c>
      <c r="X103" s="76">
        <f t="shared" si="35"/>
        <v>0</v>
      </c>
      <c r="Y103" s="76">
        <f t="shared" si="35"/>
        <v>0</v>
      </c>
      <c r="Z103" s="76">
        <f t="shared" si="35"/>
        <v>0</v>
      </c>
      <c r="AA103" s="76">
        <f t="shared" si="35"/>
        <v>0</v>
      </c>
      <c r="AB103" s="76">
        <f t="shared" si="35"/>
        <v>0</v>
      </c>
      <c r="AC103" s="76">
        <f t="shared" si="35"/>
        <v>0</v>
      </c>
      <c r="AD103" s="76">
        <f t="shared" si="35"/>
        <v>0</v>
      </c>
      <c r="AE103" s="76">
        <f t="shared" si="35"/>
        <v>0</v>
      </c>
      <c r="AF103" s="76">
        <f t="shared" si="35"/>
        <v>0</v>
      </c>
      <c r="AG103" s="98"/>
      <c r="AH103" s="47">
        <f t="shared" si="19"/>
        <v>0</v>
      </c>
      <c r="AI103" s="48">
        <f t="shared" si="20"/>
        <v>0</v>
      </c>
    </row>
    <row r="104" spans="1:37" x14ac:dyDescent="0.25">
      <c r="A104" s="84" t="s">
        <v>105</v>
      </c>
      <c r="B104" s="76">
        <f t="shared" ref="B104:D104" si="36">IF(B83&lt;0,B83*-1,0)</f>
        <v>0</v>
      </c>
      <c r="C104" s="76">
        <f t="shared" si="36"/>
        <v>0</v>
      </c>
      <c r="D104" s="76">
        <f t="shared" si="36"/>
        <v>0</v>
      </c>
      <c r="E104" s="76">
        <f t="shared" ref="E104:AF104" si="37">IF(E83&lt;0,E83*-1,0)</f>
        <v>0</v>
      </c>
      <c r="F104" s="76">
        <f t="shared" si="37"/>
        <v>0</v>
      </c>
      <c r="G104" s="76">
        <f t="shared" si="37"/>
        <v>0</v>
      </c>
      <c r="H104" s="76">
        <f t="shared" si="37"/>
        <v>0</v>
      </c>
      <c r="I104" s="76">
        <f t="shared" si="37"/>
        <v>0</v>
      </c>
      <c r="J104" s="76">
        <f t="shared" si="37"/>
        <v>0</v>
      </c>
      <c r="K104" s="76">
        <f t="shared" si="37"/>
        <v>0</v>
      </c>
      <c r="L104" s="76">
        <f t="shared" si="37"/>
        <v>0</v>
      </c>
      <c r="M104" s="76">
        <f t="shared" si="37"/>
        <v>0</v>
      </c>
      <c r="N104" s="76">
        <f t="shared" si="37"/>
        <v>0</v>
      </c>
      <c r="O104" s="76">
        <f t="shared" si="37"/>
        <v>0</v>
      </c>
      <c r="P104" s="76">
        <f t="shared" si="37"/>
        <v>0</v>
      </c>
      <c r="Q104" s="76">
        <f t="shared" si="37"/>
        <v>0</v>
      </c>
      <c r="R104" s="76">
        <f t="shared" si="37"/>
        <v>0</v>
      </c>
      <c r="S104" s="76">
        <f t="shared" si="37"/>
        <v>0</v>
      </c>
      <c r="T104" s="76">
        <f t="shared" si="37"/>
        <v>0</v>
      </c>
      <c r="U104" s="76">
        <f t="shared" si="37"/>
        <v>0</v>
      </c>
      <c r="V104" s="76">
        <f t="shared" si="37"/>
        <v>0</v>
      </c>
      <c r="W104" s="76">
        <f t="shared" si="37"/>
        <v>0</v>
      </c>
      <c r="X104" s="76">
        <f t="shared" si="37"/>
        <v>0</v>
      </c>
      <c r="Y104" s="76">
        <f t="shared" si="37"/>
        <v>0</v>
      </c>
      <c r="Z104" s="76">
        <f t="shared" si="37"/>
        <v>0</v>
      </c>
      <c r="AA104" s="76">
        <f t="shared" si="37"/>
        <v>0</v>
      </c>
      <c r="AB104" s="76">
        <f t="shared" si="37"/>
        <v>0</v>
      </c>
      <c r="AC104" s="76">
        <f t="shared" si="37"/>
        <v>0</v>
      </c>
      <c r="AD104" s="76">
        <f t="shared" si="37"/>
        <v>0</v>
      </c>
      <c r="AE104" s="76">
        <f t="shared" si="37"/>
        <v>0</v>
      </c>
      <c r="AF104" s="76">
        <f t="shared" si="37"/>
        <v>0</v>
      </c>
      <c r="AG104" s="98"/>
      <c r="AH104" s="47">
        <f t="shared" si="19"/>
        <v>0</v>
      </c>
      <c r="AI104" s="48">
        <f t="shared" si="20"/>
        <v>0</v>
      </c>
    </row>
    <row r="105" spans="1:37" x14ac:dyDescent="0.25">
      <c r="A105" s="84" t="s">
        <v>81</v>
      </c>
      <c r="B105" s="76">
        <f t="shared" ref="B105:D105" si="38">IF(B81&lt;0,B81*-1,0)</f>
        <v>0</v>
      </c>
      <c r="C105" s="76">
        <f t="shared" si="38"/>
        <v>0</v>
      </c>
      <c r="D105" s="76">
        <f t="shared" si="38"/>
        <v>0</v>
      </c>
      <c r="E105" s="76">
        <f t="shared" ref="E105:AF105" si="39">IF(E81&lt;0,E81*-1,0)</f>
        <v>0</v>
      </c>
      <c r="F105" s="76">
        <f t="shared" si="39"/>
        <v>0</v>
      </c>
      <c r="G105" s="76">
        <f t="shared" si="39"/>
        <v>0</v>
      </c>
      <c r="H105" s="76">
        <f t="shared" si="39"/>
        <v>0</v>
      </c>
      <c r="I105" s="76">
        <f t="shared" si="39"/>
        <v>0</v>
      </c>
      <c r="J105" s="76">
        <f t="shared" si="39"/>
        <v>0</v>
      </c>
      <c r="K105" s="76">
        <f t="shared" si="39"/>
        <v>0</v>
      </c>
      <c r="L105" s="76">
        <f t="shared" si="39"/>
        <v>0</v>
      </c>
      <c r="M105" s="76">
        <f t="shared" si="39"/>
        <v>0</v>
      </c>
      <c r="N105" s="76">
        <f t="shared" si="39"/>
        <v>0</v>
      </c>
      <c r="O105" s="76">
        <f t="shared" si="39"/>
        <v>0</v>
      </c>
      <c r="P105" s="76">
        <f t="shared" si="39"/>
        <v>0</v>
      </c>
      <c r="Q105" s="76">
        <f t="shared" si="39"/>
        <v>0</v>
      </c>
      <c r="R105" s="76">
        <f t="shared" si="39"/>
        <v>0</v>
      </c>
      <c r="S105" s="76">
        <f t="shared" si="39"/>
        <v>0</v>
      </c>
      <c r="T105" s="76">
        <f t="shared" si="39"/>
        <v>0</v>
      </c>
      <c r="U105" s="76">
        <f t="shared" si="39"/>
        <v>0</v>
      </c>
      <c r="V105" s="76">
        <f t="shared" si="39"/>
        <v>0</v>
      </c>
      <c r="W105" s="76">
        <f t="shared" si="39"/>
        <v>0</v>
      </c>
      <c r="X105" s="76">
        <f t="shared" si="39"/>
        <v>0</v>
      </c>
      <c r="Y105" s="76">
        <f t="shared" si="39"/>
        <v>0</v>
      </c>
      <c r="Z105" s="76">
        <f t="shared" si="39"/>
        <v>0</v>
      </c>
      <c r="AA105" s="76">
        <f t="shared" si="39"/>
        <v>0</v>
      </c>
      <c r="AB105" s="76">
        <f t="shared" si="39"/>
        <v>0</v>
      </c>
      <c r="AC105" s="76">
        <f t="shared" si="39"/>
        <v>0</v>
      </c>
      <c r="AD105" s="76">
        <f t="shared" si="39"/>
        <v>0</v>
      </c>
      <c r="AE105" s="76">
        <f t="shared" si="39"/>
        <v>0</v>
      </c>
      <c r="AF105" s="76">
        <f t="shared" si="39"/>
        <v>0</v>
      </c>
      <c r="AG105" s="98"/>
      <c r="AH105" s="47">
        <f t="shared" si="19"/>
        <v>0</v>
      </c>
      <c r="AI105" s="48">
        <f t="shared" si="20"/>
        <v>0</v>
      </c>
    </row>
    <row r="106" spans="1:37" ht="15.75" thickBot="1" x14ac:dyDescent="0.3">
      <c r="A106" s="84" t="s">
        <v>106</v>
      </c>
      <c r="B106" s="94">
        <v>1</v>
      </c>
      <c r="C106" s="94">
        <v>2</v>
      </c>
      <c r="D106" s="94">
        <v>3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19"/>
        <v>3</v>
      </c>
      <c r="AI106" s="48">
        <f t="shared" si="20"/>
        <v>0</v>
      </c>
    </row>
    <row r="107" spans="1:37" ht="15.75" thickBot="1" x14ac:dyDescent="0.3">
      <c r="A107" s="99" t="s">
        <v>107</v>
      </c>
      <c r="B107" s="60">
        <f t="shared" ref="B107:D107" si="40">SUM(B101:B106)</f>
        <v>1</v>
      </c>
      <c r="C107" s="60">
        <f t="shared" si="40"/>
        <v>2</v>
      </c>
      <c r="D107" s="60">
        <f t="shared" si="40"/>
        <v>3</v>
      </c>
      <c r="E107" s="60">
        <f t="shared" ref="E107:AF107" si="41">SUM(E101:E106)</f>
        <v>0</v>
      </c>
      <c r="F107" s="60">
        <f t="shared" si="41"/>
        <v>0</v>
      </c>
      <c r="G107" s="60">
        <f t="shared" si="41"/>
        <v>0</v>
      </c>
      <c r="H107" s="60">
        <f t="shared" si="41"/>
        <v>0</v>
      </c>
      <c r="I107" s="60">
        <f t="shared" si="41"/>
        <v>0</v>
      </c>
      <c r="J107" s="60">
        <f t="shared" si="41"/>
        <v>0</v>
      </c>
      <c r="K107" s="60">
        <f t="shared" si="41"/>
        <v>0</v>
      </c>
      <c r="L107" s="60">
        <f t="shared" si="41"/>
        <v>0</v>
      </c>
      <c r="M107" s="60">
        <f t="shared" si="41"/>
        <v>0</v>
      </c>
      <c r="N107" s="60">
        <f t="shared" si="41"/>
        <v>0</v>
      </c>
      <c r="O107" s="60">
        <f t="shared" si="41"/>
        <v>0</v>
      </c>
      <c r="P107" s="60">
        <f t="shared" si="41"/>
        <v>0</v>
      </c>
      <c r="Q107" s="60">
        <f t="shared" si="41"/>
        <v>0</v>
      </c>
      <c r="R107" s="60">
        <f t="shared" si="41"/>
        <v>0</v>
      </c>
      <c r="S107" s="60">
        <f t="shared" si="41"/>
        <v>0</v>
      </c>
      <c r="T107" s="60">
        <f t="shared" si="41"/>
        <v>0</v>
      </c>
      <c r="U107" s="60">
        <f t="shared" si="41"/>
        <v>0</v>
      </c>
      <c r="V107" s="60">
        <f t="shared" si="41"/>
        <v>0</v>
      </c>
      <c r="W107" s="60">
        <f t="shared" si="41"/>
        <v>0</v>
      </c>
      <c r="X107" s="60">
        <f t="shared" si="41"/>
        <v>0</v>
      </c>
      <c r="Y107" s="60">
        <f t="shared" si="41"/>
        <v>0</v>
      </c>
      <c r="Z107" s="60">
        <f t="shared" si="41"/>
        <v>0</v>
      </c>
      <c r="AA107" s="60">
        <f t="shared" si="41"/>
        <v>0</v>
      </c>
      <c r="AB107" s="60">
        <f t="shared" si="41"/>
        <v>0</v>
      </c>
      <c r="AC107" s="60">
        <f t="shared" si="41"/>
        <v>0</v>
      </c>
      <c r="AD107" s="60">
        <f t="shared" si="41"/>
        <v>0</v>
      </c>
      <c r="AE107" s="60">
        <f t="shared" si="41"/>
        <v>0</v>
      </c>
      <c r="AF107" s="60">
        <f t="shared" si="41"/>
        <v>0</v>
      </c>
      <c r="AG107" s="88"/>
      <c r="AH107" s="47">
        <f t="shared" si="19"/>
        <v>3</v>
      </c>
      <c r="AI107" s="48">
        <f t="shared" si="20"/>
        <v>0</v>
      </c>
      <c r="AK107" s="50"/>
    </row>
    <row r="108" spans="1:37" ht="15.75" thickBot="1" x14ac:dyDescent="0.3">
      <c r="A108" s="74" t="s">
        <v>108</v>
      </c>
      <c r="B108" s="60">
        <f t="shared" ref="B108:D108" si="42">B92-B107</f>
        <v>255</v>
      </c>
      <c r="C108" s="60">
        <f t="shared" si="42"/>
        <v>251</v>
      </c>
      <c r="D108" s="60">
        <f t="shared" si="42"/>
        <v>249</v>
      </c>
      <c r="E108" s="60">
        <f t="shared" ref="E108:AF108" si="43">E92-E107</f>
        <v>239.6</v>
      </c>
      <c r="F108" s="60">
        <f t="shared" si="43"/>
        <v>244</v>
      </c>
      <c r="G108" s="60">
        <f t="shared" si="43"/>
        <v>329</v>
      </c>
      <c r="H108" s="60">
        <f t="shared" si="43"/>
        <v>381</v>
      </c>
      <c r="I108" s="60">
        <f t="shared" si="43"/>
        <v>428</v>
      </c>
      <c r="J108" s="60">
        <f t="shared" si="43"/>
        <v>443.3</v>
      </c>
      <c r="K108" s="60">
        <f t="shared" si="43"/>
        <v>439</v>
      </c>
      <c r="L108" s="60">
        <f t="shared" si="43"/>
        <v>202.2</v>
      </c>
      <c r="M108" s="60">
        <f t="shared" si="43"/>
        <v>327</v>
      </c>
      <c r="N108" s="60">
        <f t="shared" si="43"/>
        <v>169.3</v>
      </c>
      <c r="O108" s="60">
        <f t="shared" si="43"/>
        <v>255.8</v>
      </c>
      <c r="P108" s="60">
        <f t="shared" si="43"/>
        <v>369.8</v>
      </c>
      <c r="Q108" s="60">
        <f t="shared" si="43"/>
        <v>431.3</v>
      </c>
      <c r="R108" s="60">
        <f t="shared" si="43"/>
        <v>478.8</v>
      </c>
      <c r="S108" s="60">
        <f t="shared" si="43"/>
        <v>489.2</v>
      </c>
      <c r="T108" s="60">
        <f t="shared" si="43"/>
        <v>487.4</v>
      </c>
      <c r="U108" s="60">
        <f t="shared" si="43"/>
        <v>482.5</v>
      </c>
      <c r="V108" s="60">
        <f t="shared" si="43"/>
        <v>395.4</v>
      </c>
      <c r="W108" s="60">
        <f t="shared" si="43"/>
        <v>349.6</v>
      </c>
      <c r="X108" s="60">
        <f t="shared" si="43"/>
        <v>324</v>
      </c>
      <c r="Y108" s="60">
        <f t="shared" si="43"/>
        <v>307.10000000000002</v>
      </c>
      <c r="Z108" s="60">
        <f t="shared" si="43"/>
        <v>327.09999999999997</v>
      </c>
      <c r="AA108" s="60">
        <f t="shared" si="43"/>
        <v>346.79999999999995</v>
      </c>
      <c r="AB108" s="60">
        <f t="shared" si="43"/>
        <v>294</v>
      </c>
      <c r="AC108" s="60">
        <f t="shared" si="43"/>
        <v>312.3</v>
      </c>
      <c r="AD108" s="60">
        <f t="shared" si="43"/>
        <v>336</v>
      </c>
      <c r="AE108" s="60">
        <f t="shared" si="43"/>
        <v>309</v>
      </c>
      <c r="AF108" s="60">
        <f t="shared" si="43"/>
        <v>300.2</v>
      </c>
      <c r="AG108" s="88"/>
      <c r="AH108" s="47">
        <f t="shared" si="19"/>
        <v>489.2</v>
      </c>
      <c r="AI108" s="48">
        <f t="shared" si="20"/>
        <v>169.3</v>
      </c>
    </row>
    <row r="109" spans="1:37" x14ac:dyDescent="0.25">
      <c r="A109" s="100" t="s">
        <v>109</v>
      </c>
      <c r="B109" s="101">
        <v>50.06</v>
      </c>
      <c r="C109" s="101">
        <v>49.97</v>
      </c>
      <c r="D109" s="101">
        <v>50.06</v>
      </c>
      <c r="E109" s="101">
        <v>49.956000000000003</v>
      </c>
      <c r="F109" s="101">
        <v>50.08</v>
      </c>
      <c r="G109" s="101">
        <v>49.942999999999998</v>
      </c>
      <c r="H109" s="101">
        <v>50.012</v>
      </c>
      <c r="I109" s="101">
        <v>50.101999999999997</v>
      </c>
      <c r="J109" s="101">
        <v>50.017000000000003</v>
      </c>
      <c r="K109" s="101">
        <v>50.055999999999997</v>
      </c>
      <c r="L109" s="101">
        <v>50.027999999999999</v>
      </c>
      <c r="M109" s="101">
        <v>50.06</v>
      </c>
      <c r="N109" s="101">
        <v>50.055999999999997</v>
      </c>
      <c r="O109" s="101">
        <v>50.055999999999997</v>
      </c>
      <c r="P109" s="101">
        <v>49.988</v>
      </c>
      <c r="Q109" s="101">
        <v>50.015000000000001</v>
      </c>
      <c r="R109" s="101">
        <v>49.997999999999998</v>
      </c>
      <c r="S109" s="101">
        <v>50.063000000000002</v>
      </c>
      <c r="T109" s="101">
        <v>49.999000000000002</v>
      </c>
      <c r="U109" s="101">
        <v>50.023000000000003</v>
      </c>
      <c r="V109" s="101">
        <v>50.037999999999997</v>
      </c>
      <c r="W109" s="101">
        <v>50.07</v>
      </c>
      <c r="X109" s="101">
        <v>49.987000000000002</v>
      </c>
      <c r="Y109" s="101">
        <v>49.988</v>
      </c>
      <c r="Z109" s="101">
        <v>49.985999999999997</v>
      </c>
      <c r="AA109" s="101">
        <v>49.942999999999998</v>
      </c>
      <c r="AB109" s="101">
        <v>50.05</v>
      </c>
      <c r="AC109" s="101">
        <v>49.927999999999997</v>
      </c>
      <c r="AD109" s="101">
        <v>49.970999999999997</v>
      </c>
      <c r="AE109" s="101">
        <v>50.027999999999999</v>
      </c>
      <c r="AF109" s="101">
        <v>49.91</v>
      </c>
      <c r="AG109" s="102"/>
      <c r="AH109" s="47">
        <f t="shared" si="19"/>
        <v>50.101999999999997</v>
      </c>
      <c r="AI109" s="48">
        <f t="shared" si="20"/>
        <v>49.91</v>
      </c>
    </row>
    <row r="110" spans="1:37" x14ac:dyDescent="0.25">
      <c r="A110" s="103" t="s">
        <v>110</v>
      </c>
      <c r="B110" s="65">
        <v>132</v>
      </c>
      <c r="C110" s="65">
        <v>132</v>
      </c>
      <c r="D110" s="65">
        <v>132</v>
      </c>
      <c r="E110" s="65">
        <v>132.9</v>
      </c>
      <c r="F110" s="65">
        <v>132.9</v>
      </c>
      <c r="G110" s="65">
        <v>130.9</v>
      </c>
      <c r="H110" s="65">
        <v>129.9</v>
      </c>
      <c r="I110" s="65">
        <v>128.4</v>
      </c>
      <c r="J110" s="65">
        <v>127</v>
      </c>
      <c r="K110" s="65">
        <v>123.4</v>
      </c>
      <c r="L110" s="65">
        <v>124.5</v>
      </c>
      <c r="M110" s="65">
        <v>127</v>
      </c>
      <c r="N110" s="65">
        <v>127</v>
      </c>
      <c r="O110" s="65">
        <v>124.4</v>
      </c>
      <c r="P110" s="65">
        <v>124.6</v>
      </c>
      <c r="Q110" s="65">
        <v>125.2</v>
      </c>
      <c r="R110" s="65">
        <v>125.5</v>
      </c>
      <c r="S110" s="65">
        <v>124.5</v>
      </c>
      <c r="T110" s="65">
        <v>124.7</v>
      </c>
      <c r="U110" s="65">
        <v>125.7</v>
      </c>
      <c r="V110" s="65">
        <v>128.4</v>
      </c>
      <c r="W110" s="65">
        <v>128.4</v>
      </c>
      <c r="X110" s="65">
        <v>127.3</v>
      </c>
      <c r="Y110" s="65">
        <v>126.9</v>
      </c>
      <c r="Z110" s="65">
        <v>127.3</v>
      </c>
      <c r="AA110" s="65">
        <v>126.6</v>
      </c>
      <c r="AB110" s="65">
        <v>127.8</v>
      </c>
      <c r="AC110" s="65">
        <v>127.5</v>
      </c>
      <c r="AD110" s="65">
        <v>128</v>
      </c>
      <c r="AE110" s="65">
        <v>129.80000000000001</v>
      </c>
      <c r="AF110" s="65">
        <v>130.69999999999999</v>
      </c>
      <c r="AG110" s="104"/>
      <c r="AH110" s="47">
        <f t="shared" si="19"/>
        <v>132.9</v>
      </c>
      <c r="AI110" s="48">
        <f t="shared" si="20"/>
        <v>123.4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19"/>
        <v>0</v>
      </c>
      <c r="AI111" s="48">
        <f t="shared" si="20"/>
        <v>0</v>
      </c>
    </row>
    <row r="112" spans="1:37" x14ac:dyDescent="0.25">
      <c r="A112" s="103" t="s">
        <v>112</v>
      </c>
      <c r="B112" s="65">
        <v>129</v>
      </c>
      <c r="C112" s="65">
        <v>131</v>
      </c>
      <c r="D112" s="65">
        <v>129</v>
      </c>
      <c r="E112" s="65">
        <v>131.80000000000001</v>
      </c>
      <c r="F112" s="65">
        <v>131.9</v>
      </c>
      <c r="G112" s="65">
        <v>130.9</v>
      </c>
      <c r="H112" s="65">
        <v>131.69999999999999</v>
      </c>
      <c r="I112" s="65">
        <v>129.30000000000001</v>
      </c>
      <c r="J112" s="65">
        <v>128.4</v>
      </c>
      <c r="K112" s="65">
        <v>123.9</v>
      </c>
      <c r="L112" s="65">
        <v>127</v>
      </c>
      <c r="M112" s="65">
        <v>127</v>
      </c>
      <c r="N112" s="65">
        <v>127</v>
      </c>
      <c r="O112" s="65">
        <v>129.69999999999999</v>
      </c>
      <c r="P112" s="65">
        <v>127.6</v>
      </c>
      <c r="Q112" s="65">
        <v>121.9</v>
      </c>
      <c r="R112" s="65">
        <v>127.7</v>
      </c>
      <c r="S112" s="65">
        <v>125</v>
      </c>
      <c r="T112" s="65">
        <v>126.5</v>
      </c>
      <c r="U112" s="65">
        <v>126.1</v>
      </c>
      <c r="V112" s="65">
        <v>128</v>
      </c>
      <c r="W112" s="65">
        <v>127.5</v>
      </c>
      <c r="X112" s="65">
        <v>129</v>
      </c>
      <c r="Y112" s="65">
        <v>129.30000000000001</v>
      </c>
      <c r="Z112" s="65">
        <v>130.69999999999999</v>
      </c>
      <c r="AA112" s="65">
        <v>130.19999999999999</v>
      </c>
      <c r="AB112" s="65">
        <v>129.6</v>
      </c>
      <c r="AC112" s="65">
        <v>131.5</v>
      </c>
      <c r="AD112" s="65">
        <v>130.80000000000001</v>
      </c>
      <c r="AE112" s="65">
        <v>130.1</v>
      </c>
      <c r="AF112" s="65">
        <v>131.6</v>
      </c>
      <c r="AG112" s="104"/>
      <c r="AH112" s="47">
        <f t="shared" si="19"/>
        <v>131.9</v>
      </c>
      <c r="AI112" s="48">
        <f t="shared" si="20"/>
        <v>121.9</v>
      </c>
    </row>
    <row r="113" spans="1:35" x14ac:dyDescent="0.25">
      <c r="A113" s="105" t="s">
        <v>113</v>
      </c>
      <c r="B113" s="65">
        <v>130</v>
      </c>
      <c r="C113" s="65">
        <v>131</v>
      </c>
      <c r="D113" s="65">
        <v>130</v>
      </c>
      <c r="E113" s="65">
        <v>132.9</v>
      </c>
      <c r="F113" s="65">
        <v>132.30000000000001</v>
      </c>
      <c r="G113" s="65">
        <v>132.9</v>
      </c>
      <c r="H113" s="65">
        <v>133.30000000000001</v>
      </c>
      <c r="I113" s="65">
        <v>133</v>
      </c>
      <c r="J113" s="65">
        <v>131.30000000000001</v>
      </c>
      <c r="K113" s="65">
        <v>126.5</v>
      </c>
      <c r="L113" s="65">
        <v>128.6</v>
      </c>
      <c r="M113" s="65">
        <v>126.6</v>
      </c>
      <c r="N113" s="65">
        <v>126.6</v>
      </c>
      <c r="O113" s="65">
        <v>131.19999999999999</v>
      </c>
      <c r="P113" s="65">
        <v>129.19999999999999</v>
      </c>
      <c r="Q113" s="65">
        <v>131.1</v>
      </c>
      <c r="R113" s="65">
        <v>130.4</v>
      </c>
      <c r="S113" s="65">
        <v>128.1</v>
      </c>
      <c r="T113" s="65">
        <v>128.80000000000001</v>
      </c>
      <c r="U113" s="65">
        <v>128.4</v>
      </c>
      <c r="V113" s="65">
        <v>129.5</v>
      </c>
      <c r="W113" s="65">
        <v>128.5</v>
      </c>
      <c r="X113" s="65">
        <v>129.6</v>
      </c>
      <c r="Y113" s="65">
        <v>130.4</v>
      </c>
      <c r="Z113" s="65">
        <v>132.19999999999999</v>
      </c>
      <c r="AA113" s="65">
        <v>132.1</v>
      </c>
      <c r="AB113" s="65">
        <v>133.30000000000001</v>
      </c>
      <c r="AC113" s="65">
        <v>134.4</v>
      </c>
      <c r="AD113" s="65">
        <v>134.30000000000001</v>
      </c>
      <c r="AE113" s="65">
        <v>132.6</v>
      </c>
      <c r="AF113" s="65">
        <v>133.9</v>
      </c>
      <c r="AG113" s="104"/>
      <c r="AH113" s="47">
        <f t="shared" si="19"/>
        <v>134.4</v>
      </c>
      <c r="AI113" s="48">
        <f t="shared" si="20"/>
        <v>126.5</v>
      </c>
    </row>
    <row r="114" spans="1:35" x14ac:dyDescent="0.25">
      <c r="A114" s="105" t="s">
        <v>114</v>
      </c>
      <c r="B114" s="106">
        <v>136.6</v>
      </c>
      <c r="C114" s="106">
        <v>136</v>
      </c>
      <c r="D114" s="106">
        <v>136.6</v>
      </c>
      <c r="E114" s="106">
        <v>136.19999999999999</v>
      </c>
      <c r="F114" s="106">
        <v>137.30000000000001</v>
      </c>
      <c r="G114" s="106">
        <v>135.19999999999999</v>
      </c>
      <c r="H114" s="106">
        <v>135.19999999999999</v>
      </c>
      <c r="I114" s="106">
        <v>133.5</v>
      </c>
      <c r="J114" s="106">
        <v>132.30000000000001</v>
      </c>
      <c r="K114" s="106">
        <v>131.5</v>
      </c>
      <c r="L114" s="106">
        <v>131.9</v>
      </c>
      <c r="M114" s="106">
        <v>134</v>
      </c>
      <c r="N114" s="106">
        <v>134</v>
      </c>
      <c r="O114" s="106">
        <v>131.6</v>
      </c>
      <c r="P114" s="106">
        <v>134</v>
      </c>
      <c r="Q114" s="106">
        <v>134.5</v>
      </c>
      <c r="R114" s="106">
        <v>134</v>
      </c>
      <c r="S114" s="106">
        <v>133.30000000000001</v>
      </c>
      <c r="T114" s="106">
        <v>132.9</v>
      </c>
      <c r="U114" s="106">
        <v>134</v>
      </c>
      <c r="V114" s="106">
        <v>135.9</v>
      </c>
      <c r="W114" s="106">
        <v>135.6</v>
      </c>
      <c r="X114" s="106">
        <v>135.6</v>
      </c>
      <c r="Y114" s="106">
        <v>134.69999999999999</v>
      </c>
      <c r="Z114" s="106">
        <v>135.69999999999999</v>
      </c>
      <c r="AA114" s="106">
        <v>136.5</v>
      </c>
      <c r="AB114" s="106">
        <v>136.69999999999999</v>
      </c>
      <c r="AC114" s="106">
        <v>135.30000000000001</v>
      </c>
      <c r="AD114" s="106">
        <v>135.80000000000001</v>
      </c>
      <c r="AE114" s="106">
        <v>136.80000000000001</v>
      </c>
      <c r="AF114" s="106">
        <v>137.80000000000001</v>
      </c>
      <c r="AG114" s="107"/>
      <c r="AH114" s="47">
        <f t="shared" si="19"/>
        <v>137.80000000000001</v>
      </c>
      <c r="AI114" s="48">
        <f t="shared" si="20"/>
        <v>131.5</v>
      </c>
    </row>
    <row r="115" spans="1:35" x14ac:dyDescent="0.25">
      <c r="A115" s="103" t="s">
        <v>115</v>
      </c>
      <c r="B115" s="65">
        <v>130</v>
      </c>
      <c r="C115" s="65">
        <v>130</v>
      </c>
      <c r="D115" s="65">
        <v>130</v>
      </c>
      <c r="E115" s="65">
        <v>134.1</v>
      </c>
      <c r="F115" s="65">
        <v>133.9</v>
      </c>
      <c r="G115" s="65">
        <v>127.8</v>
      </c>
      <c r="H115" s="65">
        <v>130.19999999999999</v>
      </c>
      <c r="I115" s="65">
        <v>133</v>
      </c>
      <c r="J115" s="65">
        <v>129</v>
      </c>
      <c r="K115" s="65">
        <v>130.1</v>
      </c>
      <c r="L115" s="65">
        <v>131.1</v>
      </c>
      <c r="M115" s="65">
        <v>127.6</v>
      </c>
      <c r="N115" s="65">
        <v>127.6</v>
      </c>
      <c r="O115" s="65">
        <v>129.69999999999999</v>
      </c>
      <c r="P115" s="65">
        <v>126</v>
      </c>
      <c r="Q115" s="65">
        <v>137.69999999999999</v>
      </c>
      <c r="R115" s="65">
        <v>129.80000000000001</v>
      </c>
      <c r="S115" s="65">
        <v>132.30000000000001</v>
      </c>
      <c r="T115" s="65">
        <v>132.9</v>
      </c>
      <c r="U115" s="65">
        <v>134.69999999999999</v>
      </c>
      <c r="V115" s="65">
        <v>134.19999999999999</v>
      </c>
      <c r="W115" s="65">
        <v>131.5</v>
      </c>
      <c r="X115" s="65">
        <v>132.6</v>
      </c>
      <c r="Y115" s="65">
        <v>134.80000000000001</v>
      </c>
      <c r="Z115" s="65">
        <v>134.6</v>
      </c>
      <c r="AA115" s="65">
        <v>133.9</v>
      </c>
      <c r="AB115" s="65">
        <v>132.1</v>
      </c>
      <c r="AC115" s="65">
        <v>133.80000000000001</v>
      </c>
      <c r="AD115" s="65">
        <v>133.6</v>
      </c>
      <c r="AE115" s="65">
        <v>133.30000000000001</v>
      </c>
      <c r="AF115" s="65">
        <v>134.30000000000001</v>
      </c>
      <c r="AG115" s="104"/>
      <c r="AH115" s="47">
        <f t="shared" si="19"/>
        <v>137.69999999999999</v>
      </c>
      <c r="AI115" s="48">
        <f t="shared" si="20"/>
        <v>126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19"/>
        <v>0</v>
      </c>
      <c r="AI116" s="48">
        <f t="shared" si="20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9"/>
        <v>0</v>
      </c>
      <c r="AI117" s="48">
        <f t="shared" si="20"/>
        <v>0</v>
      </c>
    </row>
    <row r="118" spans="1:35" ht="15.75" thickBot="1" x14ac:dyDescent="0.3">
      <c r="A118" s="110" t="s">
        <v>118</v>
      </c>
      <c r="B118" s="111">
        <f t="shared" ref="B118" si="44">SUM(B22,B28,B31:B32,B66,B68:B69,B71,B73,B119:B123,B155,B161,B167,B176,B178,B190,B197,B200:B201,B208,B210,B212,B216:B218,B220:B222,B227,B233:B234,B236:B238,B246,B251)</f>
        <v>89.14</v>
      </c>
      <c r="C118" s="111">
        <f t="shared" ref="C118" si="45">SUM(C22,C28,C31:C32,C66,C68:C69,C71,C73,C119:C123,C155,C161,C167,C176,C178,C190,C197,C200:C201,C208,C210,C212,C216:C218,C220:C222,C227,C233:C234,C236:C238,C246,C251)</f>
        <v>81.14</v>
      </c>
      <c r="D118" s="111">
        <f t="shared" ref="D118" si="46">SUM(D22,D28,D31:D32,D66,D68:D69,D71,D73,D119:D123,D155,D161,D167,D176,D178,D190,D197,D200:D201,D208,D210,D212,D216:D218,D220:D222,D227,D233:D234,D236:D238,D246,D251)</f>
        <v>89.14</v>
      </c>
      <c r="E118" s="111">
        <f t="shared" ref="E118:O118" si="47">SUM(E22,E28,E31:E32,E66,E68:E69,E71,E73,E119:E123,E155,E161,E167,E176,E178,E190,E197,E200:E201,E208,E210,E212,E216:E218,E220:E222,E227,E233:E234,E236:E238,E246,E251)</f>
        <v>93.34</v>
      </c>
      <c r="F118" s="111">
        <f t="shared" si="47"/>
        <v>100.84</v>
      </c>
      <c r="G118" s="111">
        <f t="shared" si="47"/>
        <v>132.64000000000001</v>
      </c>
      <c r="H118" s="111">
        <f t="shared" si="47"/>
        <v>150.14000000000001</v>
      </c>
      <c r="I118" s="111">
        <f t="shared" si="47"/>
        <v>193.04000000000002</v>
      </c>
      <c r="J118" s="111">
        <f t="shared" si="47"/>
        <v>217.14000000000001</v>
      </c>
      <c r="K118" s="111">
        <f t="shared" si="47"/>
        <v>274.24</v>
      </c>
      <c r="L118" s="111">
        <f t="shared" si="47"/>
        <v>288.24</v>
      </c>
      <c r="M118" s="111">
        <f t="shared" si="47"/>
        <v>277.84000000000003</v>
      </c>
      <c r="N118" s="111">
        <f t="shared" si="47"/>
        <v>285.94</v>
      </c>
      <c r="O118" s="111">
        <f t="shared" si="47"/>
        <v>280.64</v>
      </c>
      <c r="P118" s="111">
        <v>42</v>
      </c>
      <c r="Q118" s="111">
        <f t="shared" ref="Q118:AC118" si="48">SUM(Q22,Q28,Q31:Q32,Q66,Q68:Q69,Q71,Q73,Q119:Q123,Q155,Q161,Q167,Q176,Q178,Q190,Q197,Q200:Q201,Q208,Q210,Q212,Q216:Q218,Q220:Q222,Q227,Q233:Q234,Q236:Q238,Q246,Q251)</f>
        <v>252.54</v>
      </c>
      <c r="R118" s="111">
        <f t="shared" si="48"/>
        <v>257.74</v>
      </c>
      <c r="S118" s="111">
        <f t="shared" si="48"/>
        <v>194.44000000000003</v>
      </c>
      <c r="T118" s="111">
        <f t="shared" si="48"/>
        <v>262.21300000000002</v>
      </c>
      <c r="U118" s="111">
        <f t="shared" si="48"/>
        <v>268.58800000000002</v>
      </c>
      <c r="V118" s="111">
        <f t="shared" si="48"/>
        <v>202.31299999999999</v>
      </c>
      <c r="W118" s="111">
        <f t="shared" si="48"/>
        <v>258.14800000000002</v>
      </c>
      <c r="X118" s="111">
        <f t="shared" si="48"/>
        <v>302.11200000000002</v>
      </c>
      <c r="Y118" s="111">
        <f t="shared" si="48"/>
        <v>323.887</v>
      </c>
      <c r="Z118" s="111">
        <f t="shared" si="48"/>
        <v>334.85200000000003</v>
      </c>
      <c r="AA118" s="111">
        <f t="shared" si="48"/>
        <v>338.48499999999996</v>
      </c>
      <c r="AB118" s="111">
        <f t="shared" si="48"/>
        <v>316.74</v>
      </c>
      <c r="AC118" s="111">
        <f t="shared" si="48"/>
        <v>288.44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183.08999999999997</v>
      </c>
      <c r="AF118" s="111">
        <f>SUM(AF22,AF28,AF31:AF32,AF66,AF68:AF69,AF71,AF73,AF119:AF123,AF155,AF161,AF167,AF176,AF178,AF190,AF197,AF200:AF201,AF208,AF210,AF212,AF216:AF218,AF220:AF222,AF227,AF233:AF234,AF236:AF238,AF246,AF251)</f>
        <v>144.715</v>
      </c>
      <c r="AG118" s="112"/>
      <c r="AH118" s="47">
        <f t="shared" si="19"/>
        <v>338.48499999999996</v>
      </c>
      <c r="AI118" s="48">
        <f t="shared" si="20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19"/>
        <v>0</v>
      </c>
      <c r="AI119" s="48">
        <f t="shared" si="20"/>
        <v>0</v>
      </c>
    </row>
    <row r="120" spans="1:35" x14ac:dyDescent="0.25">
      <c r="A120" s="182" t="s">
        <v>120</v>
      </c>
      <c r="B120" s="115">
        <v>7</v>
      </c>
      <c r="C120" s="115">
        <v>-4</v>
      </c>
      <c r="D120" s="115">
        <v>7</v>
      </c>
      <c r="E120" s="115">
        <v>-5.4</v>
      </c>
      <c r="F120" s="115">
        <v>-5.3</v>
      </c>
      <c r="G120" s="115">
        <v>-14.1</v>
      </c>
      <c r="H120" s="115">
        <v>-8.6</v>
      </c>
      <c r="I120" s="115">
        <v>1.9</v>
      </c>
      <c r="J120" s="115">
        <v>21</v>
      </c>
      <c r="K120" s="115">
        <v>44.7</v>
      </c>
      <c r="L120" s="115">
        <v>40.700000000000003</v>
      </c>
      <c r="M120" s="115">
        <v>43.2</v>
      </c>
      <c r="N120" s="115">
        <v>40.799999999999997</v>
      </c>
      <c r="O120" s="115">
        <v>44.6</v>
      </c>
      <c r="P120" s="115">
        <v>40.200000000000003</v>
      </c>
      <c r="Q120" s="115">
        <v>34.1</v>
      </c>
      <c r="R120" s="115">
        <v>19.2</v>
      </c>
      <c r="S120" s="115">
        <v>16.600000000000001</v>
      </c>
      <c r="T120" s="115">
        <v>21.2</v>
      </c>
      <c r="U120" s="115">
        <v>15.6</v>
      </c>
      <c r="V120" s="115">
        <v>2.1</v>
      </c>
      <c r="W120" s="115">
        <v>11.7</v>
      </c>
      <c r="X120" s="115">
        <v>38.6</v>
      </c>
      <c r="Y120" s="115">
        <v>48.2</v>
      </c>
      <c r="Z120" s="115">
        <v>54</v>
      </c>
      <c r="AA120" s="115">
        <v>52.8</v>
      </c>
      <c r="AB120" s="115">
        <v>58.1</v>
      </c>
      <c r="AC120" s="115">
        <v>47.7</v>
      </c>
      <c r="AD120" s="115">
        <v>52.5</v>
      </c>
      <c r="AE120" s="115">
        <v>35.799999999999997</v>
      </c>
      <c r="AF120" s="115">
        <v>12.5</v>
      </c>
      <c r="AG120" s="114">
        <v>240</v>
      </c>
      <c r="AH120" s="47">
        <f t="shared" si="19"/>
        <v>58.1</v>
      </c>
      <c r="AI120" s="48">
        <f t="shared" si="20"/>
        <v>-14.1</v>
      </c>
    </row>
    <row r="121" spans="1:35" x14ac:dyDescent="0.25">
      <c r="A121" s="182" t="s">
        <v>121</v>
      </c>
      <c r="B121" s="115">
        <v>-48</v>
      </c>
      <c r="C121" s="115">
        <v>-48</v>
      </c>
      <c r="D121" s="115">
        <v>-48</v>
      </c>
      <c r="E121" s="115">
        <f>-22-26</f>
        <v>-48</v>
      </c>
      <c r="F121" s="115">
        <f>-20-23.6</f>
        <v>-43.6</v>
      </c>
      <c r="G121" s="115">
        <f>-16-17</f>
        <v>-33</v>
      </c>
      <c r="H121" s="115">
        <f>-13-14</f>
        <v>-27</v>
      </c>
      <c r="I121" s="115">
        <f>-6.4-7.7</f>
        <v>-14.100000000000001</v>
      </c>
      <c r="J121" s="115">
        <f>-4-6.1</f>
        <v>-10.1</v>
      </c>
      <c r="K121" s="115">
        <f>-3.6-4.6</f>
        <v>-8.1999999999999993</v>
      </c>
      <c r="L121" s="115">
        <v>2.1</v>
      </c>
      <c r="M121" s="115">
        <v>-0.5</v>
      </c>
      <c r="N121" s="115">
        <v>1.4</v>
      </c>
      <c r="O121" s="115">
        <v>0.2</v>
      </c>
      <c r="P121" s="115">
        <v>-3</v>
      </c>
      <c r="Q121" s="115">
        <v>-4.3</v>
      </c>
      <c r="R121" s="115">
        <v>-5.7</v>
      </c>
      <c r="S121" s="115">
        <v>-11.6</v>
      </c>
      <c r="T121" s="115">
        <v>-6.3</v>
      </c>
      <c r="U121" s="115">
        <v>1.9</v>
      </c>
      <c r="V121" s="115">
        <v>-30.8</v>
      </c>
      <c r="W121" s="115">
        <v>4.5</v>
      </c>
      <c r="X121" s="115">
        <v>7.5</v>
      </c>
      <c r="Y121" s="115">
        <v>13</v>
      </c>
      <c r="Z121" s="115">
        <v>19</v>
      </c>
      <c r="AA121" s="115">
        <v>24</v>
      </c>
      <c r="AB121" s="115">
        <v>12.1</v>
      </c>
      <c r="AC121" s="115">
        <v>-3.4</v>
      </c>
      <c r="AD121" s="115">
        <v>-11</v>
      </c>
      <c r="AE121" s="115">
        <v>-33</v>
      </c>
      <c r="AF121" s="115">
        <v>-42.3</v>
      </c>
      <c r="AG121" s="114">
        <v>240</v>
      </c>
      <c r="AH121" s="47">
        <f t="shared" si="19"/>
        <v>24</v>
      </c>
      <c r="AI121" s="48">
        <f t="shared" si="20"/>
        <v>-48</v>
      </c>
    </row>
    <row r="122" spans="1:35" ht="15.75" thickBot="1" x14ac:dyDescent="0.3">
      <c r="A122" s="182" t="s">
        <v>122</v>
      </c>
      <c r="B122" s="115">
        <v>-4</v>
      </c>
      <c r="C122" s="115">
        <v>-5</v>
      </c>
      <c r="D122" s="115">
        <v>-4</v>
      </c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19"/>
        <v>-4</v>
      </c>
      <c r="AI122" s="48">
        <f t="shared" si="20"/>
        <v>-5</v>
      </c>
    </row>
    <row r="123" spans="1:35" x14ac:dyDescent="0.25">
      <c r="A123" s="181" t="s">
        <v>267</v>
      </c>
      <c r="B123" s="117">
        <v>27</v>
      </c>
      <c r="C123" s="117">
        <v>31</v>
      </c>
      <c r="D123" s="117">
        <v>27</v>
      </c>
      <c r="E123" s="117">
        <f>26*1.5</f>
        <v>39</v>
      </c>
      <c r="F123" s="117">
        <f>28*1.5</f>
        <v>42</v>
      </c>
      <c r="G123" s="117">
        <f>48*1.5</f>
        <v>72</v>
      </c>
      <c r="H123" s="117">
        <f>52*1.5</f>
        <v>78</v>
      </c>
      <c r="I123" s="117">
        <f>65*1.5</f>
        <v>97.5</v>
      </c>
      <c r="J123" s="117">
        <f>66*1.5</f>
        <v>99</v>
      </c>
      <c r="K123" s="117">
        <f>87*1.5</f>
        <v>130.5</v>
      </c>
      <c r="L123" s="117">
        <f>92*1.5</f>
        <v>138</v>
      </c>
      <c r="M123" s="117">
        <v>127</v>
      </c>
      <c r="N123" s="117">
        <v>135</v>
      </c>
      <c r="O123" s="117">
        <v>125</v>
      </c>
      <c r="P123" s="117">
        <v>115</v>
      </c>
      <c r="Q123" s="117">
        <v>110</v>
      </c>
      <c r="R123" s="117">
        <v>126</v>
      </c>
      <c r="S123" s="117">
        <v>77.900000000000006</v>
      </c>
      <c r="T123" s="117">
        <f>81.9*1.67</f>
        <v>136.773</v>
      </c>
      <c r="U123" s="117">
        <f>1.64*85.7</f>
        <v>140.548</v>
      </c>
      <c r="V123" s="117">
        <f>1.63*77.1</f>
        <v>125.67299999999999</v>
      </c>
      <c r="W123" s="117">
        <f>82.4*1.67</f>
        <v>137.608</v>
      </c>
      <c r="X123" s="117">
        <v>152.97199999999998</v>
      </c>
      <c r="Y123" s="117">
        <f>94.1*1.67</f>
        <v>157.14699999999999</v>
      </c>
      <c r="Z123" s="117">
        <f>93.6*1.67</f>
        <v>156.31199999999998</v>
      </c>
      <c r="AA123" s="117">
        <f>93.5*1.67</f>
        <v>156.14499999999998</v>
      </c>
      <c r="AB123" s="117">
        <f>84.5*1.6</f>
        <v>135.20000000000002</v>
      </c>
      <c r="AC123" s="117">
        <f>83*1.6</f>
        <v>132.80000000000001</v>
      </c>
      <c r="AD123" s="117">
        <f>71.1*1.65</f>
        <v>117.31499999999998</v>
      </c>
      <c r="AE123" s="117">
        <f>43*1.65</f>
        <v>70.95</v>
      </c>
      <c r="AF123" s="117">
        <f>39.5*1.65</f>
        <v>65.174999999999997</v>
      </c>
      <c r="AG123" s="118">
        <v>120</v>
      </c>
      <c r="AH123" s="47">
        <f t="shared" si="19"/>
        <v>157.14699999999999</v>
      </c>
      <c r="AI123" s="48">
        <f t="shared" si="20"/>
        <v>27</v>
      </c>
    </row>
    <row r="124" spans="1:35" x14ac:dyDescent="0.25">
      <c r="A124" s="182" t="s">
        <v>266</v>
      </c>
      <c r="B124" s="117">
        <v>52</v>
      </c>
      <c r="C124" s="117">
        <v>56</v>
      </c>
      <c r="D124" s="117">
        <v>52</v>
      </c>
      <c r="E124" s="117">
        <v>50.4</v>
      </c>
      <c r="F124" s="117">
        <v>52.5</v>
      </c>
      <c r="G124" s="117">
        <v>68.400000000000006</v>
      </c>
      <c r="H124" s="117">
        <v>72.5</v>
      </c>
      <c r="I124" s="117">
        <v>82.2</v>
      </c>
      <c r="J124" s="117">
        <v>82.6</v>
      </c>
      <c r="K124" s="117">
        <v>99.5</v>
      </c>
      <c r="L124" s="117">
        <v>103.4</v>
      </c>
      <c r="M124" s="117">
        <v>91</v>
      </c>
      <c r="N124" s="117">
        <v>101.4</v>
      </c>
      <c r="O124" s="117">
        <v>94.9</v>
      </c>
      <c r="P124" s="117">
        <v>89.3</v>
      </c>
      <c r="Q124" s="117">
        <v>86.1</v>
      </c>
      <c r="R124" s="117">
        <v>89.9</v>
      </c>
      <c r="S124" s="117">
        <v>92.5</v>
      </c>
      <c r="T124" s="117">
        <v>95.3</v>
      </c>
      <c r="U124" s="117">
        <v>99.9</v>
      </c>
      <c r="V124" s="117">
        <v>93.2</v>
      </c>
      <c r="W124" s="117">
        <v>96.3</v>
      </c>
      <c r="X124" s="117">
        <v>104</v>
      </c>
      <c r="Y124" s="117">
        <v>105.2</v>
      </c>
      <c r="Z124" s="117">
        <v>105.4</v>
      </c>
      <c r="AA124" s="117">
        <v>105.6</v>
      </c>
      <c r="AB124" s="117">
        <v>98.8</v>
      </c>
      <c r="AC124" s="117">
        <v>98</v>
      </c>
      <c r="AD124" s="117">
        <v>89</v>
      </c>
      <c r="AE124" s="117">
        <v>66</v>
      </c>
      <c r="AF124" s="117">
        <v>63</v>
      </c>
      <c r="AG124" s="118"/>
      <c r="AH124" s="47"/>
      <c r="AI124" s="48"/>
    </row>
    <row r="125" spans="1:35" x14ac:dyDescent="0.25">
      <c r="A125" s="182" t="s">
        <v>263</v>
      </c>
      <c r="B125" s="117">
        <v>29</v>
      </c>
      <c r="C125" s="117">
        <v>44</v>
      </c>
      <c r="D125" s="117">
        <v>29</v>
      </c>
      <c r="E125" s="117">
        <v>41.1</v>
      </c>
      <c r="F125" s="117">
        <v>41.6</v>
      </c>
      <c r="G125" s="117">
        <v>52.2</v>
      </c>
      <c r="H125" s="117">
        <v>44</v>
      </c>
      <c r="I125" s="117">
        <v>30.7</v>
      </c>
      <c r="J125" s="117">
        <v>7.3</v>
      </c>
      <c r="K125" s="117">
        <v>-6</v>
      </c>
      <c r="L125" s="117">
        <v>-7.3</v>
      </c>
      <c r="M125" s="117">
        <v>-41.2</v>
      </c>
      <c r="N125" s="117">
        <v>-7.5</v>
      </c>
      <c r="O125" s="117">
        <v>-3.6</v>
      </c>
      <c r="P125" s="117">
        <v>-8</v>
      </c>
      <c r="Q125" s="117">
        <v>0.9</v>
      </c>
      <c r="R125" s="117">
        <v>16.899999999999999</v>
      </c>
      <c r="S125" s="117">
        <v>24.3</v>
      </c>
      <c r="T125" s="117">
        <v>16.3</v>
      </c>
      <c r="U125" s="117">
        <v>19.600000000000001</v>
      </c>
      <c r="V125" s="117">
        <v>0.4</v>
      </c>
      <c r="W125" s="117">
        <v>-26.2</v>
      </c>
      <c r="X125" s="117">
        <v>-50.1</v>
      </c>
      <c r="Y125" s="117">
        <v>-55.6</v>
      </c>
      <c r="Z125" s="117">
        <v>-55.6</v>
      </c>
      <c r="AA125" s="117">
        <v>-50.3</v>
      </c>
      <c r="AB125" s="117">
        <v>-49.2</v>
      </c>
      <c r="AC125" s="117">
        <v>-30</v>
      </c>
      <c r="AD125" s="117">
        <v>-37</v>
      </c>
      <c r="AE125" s="117">
        <v>-15</v>
      </c>
      <c r="AF125" s="117">
        <v>15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51</v>
      </c>
      <c r="C126" s="117">
        <v>58</v>
      </c>
      <c r="D126" s="117">
        <v>51</v>
      </c>
      <c r="E126" s="117">
        <v>47.7</v>
      </c>
      <c r="F126" s="117">
        <v>51.7</v>
      </c>
      <c r="G126" s="117">
        <v>76.2</v>
      </c>
      <c r="H126" s="117">
        <v>84.2</v>
      </c>
      <c r="I126" s="117">
        <v>92.1</v>
      </c>
      <c r="J126" s="117">
        <v>91</v>
      </c>
      <c r="K126" s="117">
        <v>95.4</v>
      </c>
      <c r="L126" s="117">
        <v>92</v>
      </c>
      <c r="M126" s="117">
        <v>80.2</v>
      </c>
      <c r="N126" s="117">
        <v>92.6</v>
      </c>
      <c r="O126" s="117">
        <v>89.6</v>
      </c>
      <c r="P126" s="117">
        <v>91.1</v>
      </c>
      <c r="Q126" s="117">
        <v>92.4</v>
      </c>
      <c r="R126" s="117">
        <v>98.5</v>
      </c>
      <c r="S126" s="117">
        <v>99.2</v>
      </c>
      <c r="T126" s="117">
        <v>108</v>
      </c>
      <c r="U126" s="117">
        <v>107</v>
      </c>
      <c r="V126" s="117">
        <v>97</v>
      </c>
      <c r="W126" s="117">
        <v>88.2</v>
      </c>
      <c r="X126" s="117">
        <v>95.3</v>
      </c>
      <c r="Y126" s="117">
        <v>94.8</v>
      </c>
      <c r="Z126" s="117">
        <v>94.7</v>
      </c>
      <c r="AA126" s="117">
        <v>97</v>
      </c>
      <c r="AB126" s="117">
        <v>91.4</v>
      </c>
      <c r="AC126" s="117">
        <v>88</v>
      </c>
      <c r="AD126" s="117">
        <v>84</v>
      </c>
      <c r="AE126" s="117">
        <v>63</v>
      </c>
      <c r="AF126" s="117">
        <v>62</v>
      </c>
      <c r="AG126" s="114"/>
      <c r="AH126" s="47">
        <f t="shared" si="19"/>
        <v>108</v>
      </c>
      <c r="AI126" s="48">
        <f t="shared" si="20"/>
        <v>47.7</v>
      </c>
    </row>
    <row r="127" spans="1:35" x14ac:dyDescent="0.25">
      <c r="A127" s="181" t="s">
        <v>264</v>
      </c>
      <c r="B127" s="117">
        <v>0</v>
      </c>
      <c r="C127" s="117">
        <v>9</v>
      </c>
      <c r="D127" s="117">
        <v>0</v>
      </c>
      <c r="E127" s="117">
        <v>8.5</v>
      </c>
      <c r="F127" s="117">
        <v>8.4</v>
      </c>
      <c r="G127" s="117">
        <v>15.2</v>
      </c>
      <c r="H127" s="117">
        <v>14.6</v>
      </c>
      <c r="I127" s="117">
        <v>12.8</v>
      </c>
      <c r="J127" s="117">
        <v>2.5</v>
      </c>
      <c r="K127" s="117">
        <v>-9.5</v>
      </c>
      <c r="L127" s="117">
        <v>-6.5</v>
      </c>
      <c r="M127" s="117">
        <v>-11.7</v>
      </c>
      <c r="N127" s="117">
        <v>-10.199999999999999</v>
      </c>
      <c r="O127" s="117">
        <v>-9.1999999999999993</v>
      </c>
      <c r="P127" s="117">
        <v>-15.1</v>
      </c>
      <c r="Q127" s="117">
        <v>-11</v>
      </c>
      <c r="R127" s="117">
        <v>3.8</v>
      </c>
      <c r="S127" s="117">
        <v>5.4</v>
      </c>
      <c r="T127" s="117">
        <v>3.5</v>
      </c>
      <c r="U127" s="117">
        <v>12.7</v>
      </c>
      <c r="V127" s="117">
        <v>22.8</v>
      </c>
      <c r="W127" s="117">
        <v>15.5</v>
      </c>
      <c r="X127" s="117">
        <v>-1</v>
      </c>
      <c r="Y127" s="117">
        <v>-8.3000000000000007</v>
      </c>
      <c r="Z127" s="117">
        <v>-11.8</v>
      </c>
      <c r="AA127" s="117">
        <v>-13.3</v>
      </c>
      <c r="AB127" s="117">
        <v>-15.9</v>
      </c>
      <c r="AC127" s="117">
        <v>0</v>
      </c>
      <c r="AD127" s="117">
        <v>-4.2</v>
      </c>
      <c r="AE127" s="117">
        <v>4</v>
      </c>
      <c r="AF127" s="106">
        <v>19</v>
      </c>
      <c r="AG127" s="114"/>
      <c r="AH127" s="47">
        <f t="shared" si="19"/>
        <v>22.8</v>
      </c>
      <c r="AI127" s="48">
        <f t="shared" si="20"/>
        <v>-15.9</v>
      </c>
    </row>
    <row r="128" spans="1:35" x14ac:dyDescent="0.25">
      <c r="A128" s="182" t="s">
        <v>126</v>
      </c>
      <c r="B128" s="106">
        <v>0</v>
      </c>
      <c r="C128" s="106">
        <v>5</v>
      </c>
      <c r="D128" s="106">
        <v>0</v>
      </c>
      <c r="E128" s="106">
        <v>3</v>
      </c>
      <c r="F128" s="106">
        <v>2.8</v>
      </c>
      <c r="G128" s="106">
        <v>-2.7</v>
      </c>
      <c r="H128" s="106">
        <v>-7.9</v>
      </c>
      <c r="I128" s="106">
        <v>-18</v>
      </c>
      <c r="J128" s="106">
        <v>-22.4</v>
      </c>
      <c r="K128" s="106">
        <v>-30.6</v>
      </c>
      <c r="L128" s="106">
        <v>-33.799999999999997</v>
      </c>
      <c r="M128" s="106">
        <v>-34.4</v>
      </c>
      <c r="N128" s="106">
        <v>-27.2</v>
      </c>
      <c r="O128" s="106">
        <v>-22.7</v>
      </c>
      <c r="P128" s="106">
        <v>-18.399999999999999</v>
      </c>
      <c r="Q128" s="106">
        <v>-14.3</v>
      </c>
      <c r="R128" s="106">
        <v>-14.1</v>
      </c>
      <c r="S128" s="106">
        <v>-15</v>
      </c>
      <c r="T128" s="106">
        <v>-18.3</v>
      </c>
      <c r="U128" s="106">
        <v>-24.5</v>
      </c>
      <c r="V128" s="106">
        <v>-33.6</v>
      </c>
      <c r="W128" s="106">
        <v>-45.5</v>
      </c>
      <c r="X128" s="106">
        <v>-49.5</v>
      </c>
      <c r="Y128" s="106">
        <v>-44.8</v>
      </c>
      <c r="Z128" s="106">
        <v>-40.200000000000003</v>
      </c>
      <c r="AA128" s="106">
        <v>-33.5</v>
      </c>
      <c r="AB128" s="106">
        <v>-28.7</v>
      </c>
      <c r="AC128" s="106">
        <v>-23</v>
      </c>
      <c r="AD128" s="106">
        <v>-18.600000000000001</v>
      </c>
      <c r="AE128" s="106">
        <v>-10</v>
      </c>
      <c r="AF128" s="106">
        <v>-5.4</v>
      </c>
      <c r="AG128" s="114"/>
      <c r="AH128" s="47">
        <f t="shared" si="19"/>
        <v>5</v>
      </c>
      <c r="AI128" s="48">
        <f t="shared" si="20"/>
        <v>-49.5</v>
      </c>
    </row>
    <row r="129" spans="1:37" x14ac:dyDescent="0.25">
      <c r="A129" s="182" t="s">
        <v>268</v>
      </c>
      <c r="B129" s="106">
        <v>27</v>
      </c>
      <c r="C129" s="106">
        <v>20</v>
      </c>
      <c r="D129" s="106">
        <v>27</v>
      </c>
      <c r="E129" s="106">
        <v>22</v>
      </c>
      <c r="F129" s="106">
        <v>18.7</v>
      </c>
      <c r="G129" s="106">
        <v>9</v>
      </c>
      <c r="H129" s="106">
        <v>7.1</v>
      </c>
      <c r="I129" s="106">
        <v>-1.9</v>
      </c>
      <c r="J129" s="106">
        <v>0</v>
      </c>
      <c r="K129" s="106">
        <v>1.3</v>
      </c>
      <c r="L129" s="106">
        <v>-9.5</v>
      </c>
      <c r="M129" s="106">
        <v>3.1</v>
      </c>
      <c r="N129" s="106">
        <v>-7.7</v>
      </c>
      <c r="O129" s="106">
        <v>-7.2</v>
      </c>
      <c r="P129" s="106">
        <v>2</v>
      </c>
      <c r="Q129" s="106">
        <v>8.4</v>
      </c>
      <c r="R129" s="106">
        <v>-3.3</v>
      </c>
      <c r="S129" s="106">
        <v>1.4</v>
      </c>
      <c r="T129" s="106">
        <v>-2.2000000000000002</v>
      </c>
      <c r="U129" s="106">
        <v>-9</v>
      </c>
      <c r="V129" s="106">
        <v>3.1</v>
      </c>
      <c r="W129" s="106">
        <v>-6</v>
      </c>
      <c r="X129" s="106">
        <v>-4.3</v>
      </c>
      <c r="Y129" s="106">
        <v>-3.4</v>
      </c>
      <c r="Z129" s="106">
        <v>-11.5</v>
      </c>
      <c r="AA129" s="106">
        <v>-13.6</v>
      </c>
      <c r="AB129" s="106">
        <v>-4.2</v>
      </c>
      <c r="AC129" s="106">
        <v>-2.1</v>
      </c>
      <c r="AD129" s="106">
        <v>5.7</v>
      </c>
      <c r="AE129" s="106">
        <v>18</v>
      </c>
      <c r="AF129" s="106">
        <v>16</v>
      </c>
      <c r="AG129" s="114"/>
      <c r="AH129" s="47">
        <f t="shared" si="19"/>
        <v>27</v>
      </c>
      <c r="AI129" s="48">
        <f t="shared" si="20"/>
        <v>-13.6</v>
      </c>
    </row>
    <row r="130" spans="1:37" ht="15.75" thickBot="1" x14ac:dyDescent="0.3">
      <c r="A130" s="205" t="s">
        <v>265</v>
      </c>
      <c r="B130" s="206">
        <v>73</v>
      </c>
      <c r="C130" s="206">
        <v>70</v>
      </c>
      <c r="D130" s="206">
        <v>73</v>
      </c>
      <c r="E130" s="206">
        <v>72</v>
      </c>
      <c r="F130" s="206">
        <v>69</v>
      </c>
      <c r="G130" s="206">
        <v>74</v>
      </c>
      <c r="H130" s="206">
        <v>58.4</v>
      </c>
      <c r="I130" s="206">
        <v>85.2</v>
      </c>
      <c r="J130" s="206">
        <v>95.2</v>
      </c>
      <c r="K130" s="206">
        <v>95.6</v>
      </c>
      <c r="L130" s="206">
        <v>110.2</v>
      </c>
      <c r="M130" s="206">
        <v>107.5</v>
      </c>
      <c r="N130" s="206">
        <v>97.2</v>
      </c>
      <c r="O130" s="206">
        <v>100.7</v>
      </c>
      <c r="P130" s="206">
        <v>98</v>
      </c>
      <c r="Q130" s="206">
        <v>102.7</v>
      </c>
      <c r="R130" s="206">
        <v>105.4</v>
      </c>
      <c r="S130" s="206">
        <v>109.7</v>
      </c>
      <c r="T130" s="206">
        <v>104.1</v>
      </c>
      <c r="U130" s="206">
        <v>107.9</v>
      </c>
      <c r="V130" s="206">
        <v>112.1</v>
      </c>
      <c r="W130" s="206">
        <v>116.6</v>
      </c>
      <c r="X130" s="206">
        <v>116.9</v>
      </c>
      <c r="Y130" s="206">
        <v>116.4</v>
      </c>
      <c r="Z130" s="206">
        <v>108.1</v>
      </c>
      <c r="AA130" s="206">
        <v>107.6</v>
      </c>
      <c r="AB130" s="206">
        <v>110.9</v>
      </c>
      <c r="AC130" s="206">
        <v>111</v>
      </c>
      <c r="AD130" s="206">
        <v>108.3</v>
      </c>
      <c r="AE130" s="206">
        <v>89</v>
      </c>
      <c r="AF130" s="206">
        <v>77</v>
      </c>
      <c r="AG130" s="118"/>
      <c r="AH130" s="47">
        <f t="shared" si="19"/>
        <v>116.9</v>
      </c>
      <c r="AI130" s="48">
        <f t="shared" si="20"/>
        <v>58.4</v>
      </c>
    </row>
    <row r="131" spans="1:37" ht="15.75" thickBot="1" x14ac:dyDescent="0.3">
      <c r="A131" s="211" t="s">
        <v>242</v>
      </c>
      <c r="B131" s="212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10"/>
      <c r="AG131" s="213"/>
      <c r="AH131" s="47"/>
      <c r="AI131" s="48"/>
    </row>
    <row r="132" spans="1:37" ht="16.5" x14ac:dyDescent="0.25">
      <c r="A132" s="207" t="s">
        <v>376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217">
        <v>1985.35</v>
      </c>
      <c r="N132" s="217">
        <v>1985</v>
      </c>
      <c r="O132" s="218">
        <v>1984.2</v>
      </c>
      <c r="P132" s="218">
        <v>1983.82</v>
      </c>
      <c r="Q132" s="218">
        <v>1983.78</v>
      </c>
      <c r="R132" s="218">
        <v>1983.9</v>
      </c>
      <c r="S132" s="218">
        <v>1984.1</v>
      </c>
      <c r="T132" s="218">
        <v>1984.22</v>
      </c>
      <c r="U132" s="218">
        <v>1984.33</v>
      </c>
      <c r="V132" s="218">
        <v>1984.33</v>
      </c>
      <c r="W132" s="218"/>
      <c r="X132" s="218"/>
      <c r="Y132" s="217"/>
      <c r="Z132" s="217"/>
      <c r="AA132" s="218"/>
      <c r="AB132" s="117">
        <v>1983.2</v>
      </c>
      <c r="AC132" s="117"/>
      <c r="AD132" s="117"/>
      <c r="AE132" s="117">
        <v>1982.78</v>
      </c>
      <c r="AF132" s="223">
        <v>1983.15</v>
      </c>
      <c r="AG132" s="208"/>
      <c r="AH132" s="47"/>
      <c r="AI132" s="48"/>
    </row>
    <row r="133" spans="1:37" ht="16.5" x14ac:dyDescent="0.25">
      <c r="A133" s="199" t="s">
        <v>243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219">
        <v>522.32000000000005</v>
      </c>
      <c r="N133" s="219">
        <v>521.86</v>
      </c>
      <c r="O133" s="220">
        <v>521.44000000000005</v>
      </c>
      <c r="P133" s="220">
        <v>521.09</v>
      </c>
      <c r="Q133" s="220">
        <v>520.84</v>
      </c>
      <c r="R133" s="220">
        <v>520.74</v>
      </c>
      <c r="S133" s="220">
        <v>520.78</v>
      </c>
      <c r="T133" s="220">
        <v>520.84</v>
      </c>
      <c r="U133" s="220">
        <v>520.91</v>
      </c>
      <c r="V133" s="220">
        <v>520.96</v>
      </c>
      <c r="W133" s="220"/>
      <c r="X133" s="220"/>
      <c r="Y133" s="219"/>
      <c r="Z133" s="219"/>
      <c r="AA133" s="220"/>
      <c r="AB133" s="117">
        <v>519.72</v>
      </c>
      <c r="AC133" s="117"/>
      <c r="AD133" s="117"/>
      <c r="AE133" s="117">
        <v>519.55999999999995</v>
      </c>
      <c r="AF133" s="223">
        <v>519.84</v>
      </c>
      <c r="AG133" s="153"/>
      <c r="AH133" s="47"/>
      <c r="AI133" s="48"/>
    </row>
    <row r="134" spans="1:37" ht="16.5" x14ac:dyDescent="0.25">
      <c r="A134" s="199" t="s">
        <v>244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219">
        <v>624.65</v>
      </c>
      <c r="N134" s="219">
        <v>624.4</v>
      </c>
      <c r="O134" s="220">
        <v>624.13</v>
      </c>
      <c r="P134" s="220">
        <v>623.79999999999995</v>
      </c>
      <c r="Q134" s="220">
        <v>623.26</v>
      </c>
      <c r="R134" s="220">
        <v>623.11</v>
      </c>
      <c r="S134" s="220">
        <v>623.21</v>
      </c>
      <c r="T134" s="220">
        <v>623.37</v>
      </c>
      <c r="U134" s="220">
        <v>623.39</v>
      </c>
      <c r="V134" s="220">
        <v>623.57000000000005</v>
      </c>
      <c r="W134" s="220"/>
      <c r="X134" s="220"/>
      <c r="Y134" s="219"/>
      <c r="Z134" s="219"/>
      <c r="AA134" s="220"/>
      <c r="AB134" s="117">
        <v>622.6</v>
      </c>
      <c r="AC134" s="117"/>
      <c r="AD134" s="117"/>
      <c r="AE134" s="117">
        <v>621.59</v>
      </c>
      <c r="AF134" s="223">
        <v>622.02</v>
      </c>
      <c r="AG134" s="153"/>
      <c r="AH134" s="47"/>
      <c r="AI134" s="48"/>
    </row>
    <row r="135" spans="1:37" ht="16.5" x14ac:dyDescent="0.25">
      <c r="A135" s="199" t="s">
        <v>245</v>
      </c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219">
        <v>336.62</v>
      </c>
      <c r="N135" s="219">
        <v>336.13</v>
      </c>
      <c r="O135" s="220">
        <v>335.59</v>
      </c>
      <c r="P135" s="220">
        <v>334.9</v>
      </c>
      <c r="Q135" s="220">
        <v>334.59</v>
      </c>
      <c r="R135" s="220">
        <v>334.61</v>
      </c>
      <c r="S135" s="220">
        <v>334.97</v>
      </c>
      <c r="T135" s="220">
        <v>335.28</v>
      </c>
      <c r="U135" s="220">
        <v>335.53</v>
      </c>
      <c r="V135" s="220"/>
      <c r="W135" s="220"/>
      <c r="X135" s="220"/>
      <c r="Y135" s="219"/>
      <c r="Z135" s="219"/>
      <c r="AA135" s="220"/>
      <c r="AB135" s="117">
        <v>335.49</v>
      </c>
      <c r="AC135" s="117"/>
      <c r="AD135" s="117"/>
      <c r="AE135" s="117">
        <v>334.86</v>
      </c>
      <c r="AF135" s="223">
        <v>334.78</v>
      </c>
      <c r="AG135" s="153"/>
      <c r="AH135" s="47"/>
      <c r="AI135" s="48"/>
    </row>
    <row r="136" spans="1:37" ht="16.5" x14ac:dyDescent="0.25">
      <c r="A136" s="199" t="s">
        <v>415</v>
      </c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219">
        <v>887</v>
      </c>
      <c r="N136" s="219">
        <v>885.9</v>
      </c>
      <c r="O136" s="220">
        <v>884.8</v>
      </c>
      <c r="P136" s="220">
        <v>884.4</v>
      </c>
      <c r="Q136" s="220">
        <v>884.2</v>
      </c>
      <c r="R136" s="220">
        <v>884.1</v>
      </c>
      <c r="S136" s="220">
        <v>884</v>
      </c>
      <c r="T136" s="220">
        <v>884</v>
      </c>
      <c r="U136" s="220">
        <v>884.7</v>
      </c>
      <c r="V136" s="220"/>
      <c r="W136" s="220"/>
      <c r="X136" s="220"/>
      <c r="Y136" s="219"/>
      <c r="Z136" s="219"/>
      <c r="AA136" s="220"/>
      <c r="AB136" s="117">
        <v>883.2</v>
      </c>
      <c r="AC136" s="117"/>
      <c r="AD136" s="117"/>
      <c r="AE136" s="117">
        <v>883.1</v>
      </c>
      <c r="AF136" s="223">
        <v>883.2</v>
      </c>
      <c r="AG136" s="153"/>
      <c r="AH136" s="47"/>
      <c r="AI136" s="48"/>
    </row>
    <row r="137" spans="1:37" ht="17.25" thickBot="1" x14ac:dyDescent="0.3">
      <c r="A137" s="199" t="s">
        <v>246</v>
      </c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221">
        <v>1522.45</v>
      </c>
      <c r="N137" s="221">
        <v>1522.43</v>
      </c>
      <c r="O137" s="222">
        <v>1522.43</v>
      </c>
      <c r="P137" s="222">
        <v>1522.44</v>
      </c>
      <c r="Q137" s="222">
        <v>1522.44</v>
      </c>
      <c r="R137" s="222">
        <v>1522.44</v>
      </c>
      <c r="S137" s="222">
        <v>1522.44</v>
      </c>
      <c r="T137" s="222">
        <v>1522.44</v>
      </c>
      <c r="U137" s="222"/>
      <c r="V137" s="222"/>
      <c r="W137" s="222"/>
      <c r="X137" s="222"/>
      <c r="Y137" s="221"/>
      <c r="Z137" s="221"/>
      <c r="AA137" s="222"/>
      <c r="AB137" s="117"/>
      <c r="AC137" s="117"/>
      <c r="AD137" s="117"/>
      <c r="AE137" s="117">
        <v>1522.41</v>
      </c>
      <c r="AF137" s="117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49">SUM(B139:B243)</f>
        <v>0</v>
      </c>
      <c r="C244" s="137">
        <f t="shared" si="49"/>
        <v>0</v>
      </c>
      <c r="D244" s="137">
        <f t="shared" si="49"/>
        <v>0</v>
      </c>
      <c r="E244" s="137">
        <f t="shared" si="49"/>
        <v>0</v>
      </c>
      <c r="F244" s="137">
        <f t="shared" si="49"/>
        <v>0</v>
      </c>
      <c r="G244" s="137">
        <f t="shared" si="49"/>
        <v>0</v>
      </c>
      <c r="H244" s="137">
        <f t="shared" si="49"/>
        <v>0</v>
      </c>
      <c r="I244" s="137">
        <f t="shared" si="49"/>
        <v>0</v>
      </c>
      <c r="J244" s="137">
        <f t="shared" si="49"/>
        <v>0</v>
      </c>
      <c r="K244" s="137">
        <f t="shared" si="49"/>
        <v>0</v>
      </c>
      <c r="L244" s="137">
        <f t="shared" si="49"/>
        <v>0</v>
      </c>
      <c r="M244" s="137">
        <f t="shared" si="49"/>
        <v>0</v>
      </c>
      <c r="N244" s="137">
        <f t="shared" si="49"/>
        <v>0</v>
      </c>
      <c r="O244" s="137">
        <f t="shared" si="49"/>
        <v>0</v>
      </c>
      <c r="P244" s="137">
        <f t="shared" si="49"/>
        <v>0</v>
      </c>
      <c r="Q244" s="137">
        <f t="shared" si="49"/>
        <v>0</v>
      </c>
      <c r="R244" s="137">
        <f t="shared" si="49"/>
        <v>0</v>
      </c>
      <c r="S244" s="137">
        <f t="shared" si="49"/>
        <v>0</v>
      </c>
      <c r="T244" s="137">
        <f t="shared" si="49"/>
        <v>0</v>
      </c>
      <c r="U244" s="137">
        <f t="shared" si="49"/>
        <v>0</v>
      </c>
      <c r="V244" s="137">
        <f t="shared" si="49"/>
        <v>0</v>
      </c>
      <c r="W244" s="137">
        <f t="shared" si="49"/>
        <v>0</v>
      </c>
      <c r="X244" s="137">
        <f t="shared" si="49"/>
        <v>0</v>
      </c>
      <c r="Y244" s="137">
        <f t="shared" si="49"/>
        <v>0</v>
      </c>
      <c r="Z244" s="137">
        <f t="shared" si="49"/>
        <v>0</v>
      </c>
      <c r="AA244" s="137">
        <f t="shared" si="49"/>
        <v>0</v>
      </c>
      <c r="AB244" s="137">
        <f t="shared" si="49"/>
        <v>0</v>
      </c>
      <c r="AC244" s="137">
        <f t="shared" si="49"/>
        <v>0</v>
      </c>
      <c r="AD244" s="137">
        <f t="shared" si="49"/>
        <v>0</v>
      </c>
      <c r="AE244" s="137">
        <f t="shared" si="49"/>
        <v>0</v>
      </c>
      <c r="AF244" s="138">
        <f t="shared" si="49"/>
        <v>0</v>
      </c>
      <c r="AG244" s="139">
        <f t="shared" si="4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50">AF246</f>
        <v>0.3</v>
      </c>
      <c r="C246" s="141">
        <v>0.3</v>
      </c>
      <c r="D246" s="141">
        <f t="shared" ref="D246:S251" si="51">C246</f>
        <v>0.3</v>
      </c>
      <c r="E246" s="141">
        <f t="shared" si="51"/>
        <v>0.3</v>
      </c>
      <c r="F246" s="141">
        <f t="shared" si="51"/>
        <v>0.3</v>
      </c>
      <c r="G246" s="141">
        <f t="shared" si="51"/>
        <v>0.3</v>
      </c>
      <c r="H246" s="141">
        <f t="shared" si="51"/>
        <v>0.3</v>
      </c>
      <c r="I246" s="141">
        <f t="shared" si="51"/>
        <v>0.3</v>
      </c>
      <c r="J246" s="141">
        <f t="shared" si="51"/>
        <v>0.3</v>
      </c>
      <c r="K246" s="141">
        <f t="shared" si="51"/>
        <v>0.3</v>
      </c>
      <c r="L246" s="141">
        <f t="shared" si="51"/>
        <v>0.3</v>
      </c>
      <c r="M246" s="141">
        <f t="shared" si="51"/>
        <v>0.3</v>
      </c>
      <c r="N246" s="141">
        <f t="shared" si="51"/>
        <v>0.3</v>
      </c>
      <c r="O246" s="141">
        <f t="shared" si="51"/>
        <v>0.3</v>
      </c>
      <c r="P246" s="141">
        <f t="shared" si="51"/>
        <v>0.3</v>
      </c>
      <c r="Q246" s="141">
        <f t="shared" si="51"/>
        <v>0.3</v>
      </c>
      <c r="R246" s="141">
        <f t="shared" si="51"/>
        <v>0.3</v>
      </c>
      <c r="S246" s="141">
        <f t="shared" si="51"/>
        <v>0.3</v>
      </c>
      <c r="T246" s="141">
        <f t="shared" ref="T246:AF251" si="52">S246</f>
        <v>0.3</v>
      </c>
      <c r="U246" s="141">
        <f t="shared" si="52"/>
        <v>0.3</v>
      </c>
      <c r="V246" s="141">
        <f t="shared" si="52"/>
        <v>0.3</v>
      </c>
      <c r="W246" s="141">
        <f t="shared" si="52"/>
        <v>0.3</v>
      </c>
      <c r="X246" s="141">
        <f t="shared" si="52"/>
        <v>0.3</v>
      </c>
      <c r="Y246" s="141">
        <f t="shared" si="52"/>
        <v>0.3</v>
      </c>
      <c r="Z246" s="141">
        <f t="shared" si="52"/>
        <v>0.3</v>
      </c>
      <c r="AA246" s="141">
        <f t="shared" si="52"/>
        <v>0.3</v>
      </c>
      <c r="AB246" s="141">
        <f t="shared" si="52"/>
        <v>0.3</v>
      </c>
      <c r="AC246" s="141">
        <f t="shared" si="52"/>
        <v>0.3</v>
      </c>
      <c r="AD246" s="141">
        <f t="shared" si="52"/>
        <v>0.3</v>
      </c>
      <c r="AE246" s="141">
        <f t="shared" si="52"/>
        <v>0.3</v>
      </c>
      <c r="AF246" s="141">
        <f t="shared" si="52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50"/>
        <v>0.4</v>
      </c>
      <c r="C247" s="129">
        <v>0.4</v>
      </c>
      <c r="D247" s="129">
        <f t="shared" si="51"/>
        <v>0.4</v>
      </c>
      <c r="E247" s="129">
        <f t="shared" si="51"/>
        <v>0.4</v>
      </c>
      <c r="F247" s="129">
        <f t="shared" si="51"/>
        <v>0.4</v>
      </c>
      <c r="G247" s="129">
        <f t="shared" si="51"/>
        <v>0.4</v>
      </c>
      <c r="H247" s="129">
        <f t="shared" si="51"/>
        <v>0.4</v>
      </c>
      <c r="I247" s="129">
        <f t="shared" si="51"/>
        <v>0.4</v>
      </c>
      <c r="J247" s="129">
        <f t="shared" si="51"/>
        <v>0.4</v>
      </c>
      <c r="K247" s="129">
        <f t="shared" si="51"/>
        <v>0.4</v>
      </c>
      <c r="L247" s="129">
        <f t="shared" si="51"/>
        <v>0.4</v>
      </c>
      <c r="M247" s="129">
        <f t="shared" si="51"/>
        <v>0.4</v>
      </c>
      <c r="N247" s="129">
        <f t="shared" si="51"/>
        <v>0.4</v>
      </c>
      <c r="O247" s="129">
        <f t="shared" si="51"/>
        <v>0.4</v>
      </c>
      <c r="P247" s="129">
        <f t="shared" si="51"/>
        <v>0.4</v>
      </c>
      <c r="Q247" s="129">
        <f t="shared" si="51"/>
        <v>0.4</v>
      </c>
      <c r="R247" s="129">
        <f t="shared" si="51"/>
        <v>0.4</v>
      </c>
      <c r="S247" s="129">
        <f t="shared" si="51"/>
        <v>0.4</v>
      </c>
      <c r="T247" s="129">
        <f t="shared" si="52"/>
        <v>0.4</v>
      </c>
      <c r="U247" s="129">
        <f t="shared" si="52"/>
        <v>0.4</v>
      </c>
      <c r="V247" s="129">
        <f t="shared" si="52"/>
        <v>0.4</v>
      </c>
      <c r="W247" s="129">
        <f t="shared" si="52"/>
        <v>0.4</v>
      </c>
      <c r="X247" s="129">
        <f t="shared" si="52"/>
        <v>0.4</v>
      </c>
      <c r="Y247" s="129">
        <f t="shared" si="52"/>
        <v>0.4</v>
      </c>
      <c r="Z247" s="129">
        <f t="shared" si="52"/>
        <v>0.4</v>
      </c>
      <c r="AA247" s="129">
        <f t="shared" si="52"/>
        <v>0.4</v>
      </c>
      <c r="AB247" s="129">
        <f t="shared" si="52"/>
        <v>0.4</v>
      </c>
      <c r="AC247" s="129">
        <f t="shared" si="52"/>
        <v>0.4</v>
      </c>
      <c r="AD247" s="129">
        <f t="shared" si="52"/>
        <v>0.4</v>
      </c>
      <c r="AE247" s="129">
        <f t="shared" si="52"/>
        <v>0.4</v>
      </c>
      <c r="AF247" s="129">
        <f t="shared" si="52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50"/>
        <v>1.5</v>
      </c>
      <c r="C248" s="129">
        <v>1.5</v>
      </c>
      <c r="D248" s="129">
        <f t="shared" si="51"/>
        <v>1.5</v>
      </c>
      <c r="E248" s="129">
        <f t="shared" si="51"/>
        <v>1.5</v>
      </c>
      <c r="F248" s="129">
        <f t="shared" si="51"/>
        <v>1.5</v>
      </c>
      <c r="G248" s="129">
        <f t="shared" si="51"/>
        <v>1.5</v>
      </c>
      <c r="H248" s="129">
        <f t="shared" si="51"/>
        <v>1.5</v>
      </c>
      <c r="I248" s="129">
        <f t="shared" si="51"/>
        <v>1.5</v>
      </c>
      <c r="J248" s="129">
        <f t="shared" si="51"/>
        <v>1.5</v>
      </c>
      <c r="K248" s="129">
        <f t="shared" si="51"/>
        <v>1.5</v>
      </c>
      <c r="L248" s="129">
        <f t="shared" si="51"/>
        <v>1.5</v>
      </c>
      <c r="M248" s="129">
        <f t="shared" si="51"/>
        <v>1.5</v>
      </c>
      <c r="N248" s="129">
        <f t="shared" si="51"/>
        <v>1.5</v>
      </c>
      <c r="O248" s="129">
        <f t="shared" si="51"/>
        <v>1.5</v>
      </c>
      <c r="P248" s="129">
        <f t="shared" si="51"/>
        <v>1.5</v>
      </c>
      <c r="Q248" s="129">
        <f t="shared" si="51"/>
        <v>1.5</v>
      </c>
      <c r="R248" s="129">
        <f t="shared" si="51"/>
        <v>1.5</v>
      </c>
      <c r="S248" s="129">
        <f t="shared" si="51"/>
        <v>1.5</v>
      </c>
      <c r="T248" s="129">
        <f t="shared" si="52"/>
        <v>1.5</v>
      </c>
      <c r="U248" s="129">
        <f t="shared" si="52"/>
        <v>1.5</v>
      </c>
      <c r="V248" s="129">
        <f t="shared" si="52"/>
        <v>1.5</v>
      </c>
      <c r="W248" s="129">
        <f t="shared" si="52"/>
        <v>1.5</v>
      </c>
      <c r="X248" s="129">
        <f t="shared" si="52"/>
        <v>1.5</v>
      </c>
      <c r="Y248" s="129">
        <f t="shared" si="52"/>
        <v>1.5</v>
      </c>
      <c r="Z248" s="129">
        <f t="shared" si="52"/>
        <v>1.5</v>
      </c>
      <c r="AA248" s="129">
        <f t="shared" si="52"/>
        <v>1.5</v>
      </c>
      <c r="AB248" s="129">
        <f t="shared" si="52"/>
        <v>1.5</v>
      </c>
      <c r="AC248" s="129">
        <f t="shared" si="52"/>
        <v>1.5</v>
      </c>
      <c r="AD248" s="129">
        <f t="shared" si="52"/>
        <v>1.5</v>
      </c>
      <c r="AE248" s="129">
        <f t="shared" si="52"/>
        <v>1.5</v>
      </c>
      <c r="AF248" s="129">
        <f t="shared" si="52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50"/>
        <v>0.3</v>
      </c>
      <c r="C249" s="129">
        <v>0.3</v>
      </c>
      <c r="D249" s="129">
        <f t="shared" si="51"/>
        <v>0.3</v>
      </c>
      <c r="E249" s="129">
        <f t="shared" si="51"/>
        <v>0.3</v>
      </c>
      <c r="F249" s="129">
        <f t="shared" si="51"/>
        <v>0.3</v>
      </c>
      <c r="G249" s="129">
        <f t="shared" si="51"/>
        <v>0.3</v>
      </c>
      <c r="H249" s="129">
        <f t="shared" si="51"/>
        <v>0.3</v>
      </c>
      <c r="I249" s="129">
        <f t="shared" si="51"/>
        <v>0.3</v>
      </c>
      <c r="J249" s="129">
        <f t="shared" si="51"/>
        <v>0.3</v>
      </c>
      <c r="K249" s="129">
        <f t="shared" si="51"/>
        <v>0.3</v>
      </c>
      <c r="L249" s="129">
        <f t="shared" si="51"/>
        <v>0.3</v>
      </c>
      <c r="M249" s="129">
        <f t="shared" si="51"/>
        <v>0.3</v>
      </c>
      <c r="N249" s="129">
        <f t="shared" si="51"/>
        <v>0.3</v>
      </c>
      <c r="O249" s="129">
        <f t="shared" si="51"/>
        <v>0.3</v>
      </c>
      <c r="P249" s="129">
        <f t="shared" si="51"/>
        <v>0.3</v>
      </c>
      <c r="Q249" s="129">
        <f t="shared" si="51"/>
        <v>0.3</v>
      </c>
      <c r="R249" s="129">
        <f t="shared" si="51"/>
        <v>0.3</v>
      </c>
      <c r="S249" s="129">
        <f t="shared" si="51"/>
        <v>0.3</v>
      </c>
      <c r="T249" s="129">
        <f t="shared" si="52"/>
        <v>0.3</v>
      </c>
      <c r="U249" s="129">
        <f t="shared" si="52"/>
        <v>0.3</v>
      </c>
      <c r="V249" s="129">
        <f t="shared" si="52"/>
        <v>0.3</v>
      </c>
      <c r="W249" s="129">
        <f t="shared" si="52"/>
        <v>0.3</v>
      </c>
      <c r="X249" s="129">
        <f t="shared" si="52"/>
        <v>0.3</v>
      </c>
      <c r="Y249" s="129">
        <f t="shared" si="52"/>
        <v>0.3</v>
      </c>
      <c r="Z249" s="129">
        <f t="shared" si="52"/>
        <v>0.3</v>
      </c>
      <c r="AA249" s="129">
        <f t="shared" si="52"/>
        <v>0.3</v>
      </c>
      <c r="AB249" s="129">
        <f t="shared" si="52"/>
        <v>0.3</v>
      </c>
      <c r="AC249" s="129">
        <f t="shared" si="52"/>
        <v>0.3</v>
      </c>
      <c r="AD249" s="129">
        <f t="shared" si="52"/>
        <v>0.3</v>
      </c>
      <c r="AE249" s="129">
        <f t="shared" si="52"/>
        <v>0.3</v>
      </c>
      <c r="AF249" s="129">
        <f t="shared" si="52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50"/>
        <v>0.4</v>
      </c>
      <c r="C250" s="129">
        <v>0.4</v>
      </c>
      <c r="D250" s="129">
        <f t="shared" si="51"/>
        <v>0.4</v>
      </c>
      <c r="E250" s="129">
        <f t="shared" si="51"/>
        <v>0.4</v>
      </c>
      <c r="F250" s="129">
        <f t="shared" si="51"/>
        <v>0.4</v>
      </c>
      <c r="G250" s="129">
        <f t="shared" si="51"/>
        <v>0.4</v>
      </c>
      <c r="H250" s="129">
        <f t="shared" si="51"/>
        <v>0.4</v>
      </c>
      <c r="I250" s="129">
        <f t="shared" si="51"/>
        <v>0.4</v>
      </c>
      <c r="J250" s="129">
        <f t="shared" si="51"/>
        <v>0.4</v>
      </c>
      <c r="K250" s="129">
        <f t="shared" si="51"/>
        <v>0.4</v>
      </c>
      <c r="L250" s="129">
        <f t="shared" si="51"/>
        <v>0.4</v>
      </c>
      <c r="M250" s="129">
        <f t="shared" si="51"/>
        <v>0.4</v>
      </c>
      <c r="N250" s="129">
        <f t="shared" si="51"/>
        <v>0.4</v>
      </c>
      <c r="O250" s="129">
        <f t="shared" si="51"/>
        <v>0.4</v>
      </c>
      <c r="P250" s="129">
        <f t="shared" si="51"/>
        <v>0.4</v>
      </c>
      <c r="Q250" s="129">
        <f t="shared" si="51"/>
        <v>0.4</v>
      </c>
      <c r="R250" s="129">
        <f t="shared" si="51"/>
        <v>0.4</v>
      </c>
      <c r="S250" s="129">
        <f t="shared" si="51"/>
        <v>0.4</v>
      </c>
      <c r="T250" s="129">
        <f t="shared" si="52"/>
        <v>0.4</v>
      </c>
      <c r="U250" s="129">
        <f t="shared" si="52"/>
        <v>0.4</v>
      </c>
      <c r="V250" s="129">
        <f t="shared" si="52"/>
        <v>0.4</v>
      </c>
      <c r="W250" s="129">
        <f t="shared" si="52"/>
        <v>0.4</v>
      </c>
      <c r="X250" s="129">
        <f t="shared" si="52"/>
        <v>0.4</v>
      </c>
      <c r="Y250" s="129">
        <f t="shared" si="52"/>
        <v>0.4</v>
      </c>
      <c r="Z250" s="129">
        <f t="shared" si="52"/>
        <v>0.4</v>
      </c>
      <c r="AA250" s="129">
        <f t="shared" si="52"/>
        <v>0.4</v>
      </c>
      <c r="AB250" s="129">
        <f t="shared" si="52"/>
        <v>0.4</v>
      </c>
      <c r="AC250" s="129">
        <f t="shared" si="52"/>
        <v>0.4</v>
      </c>
      <c r="AD250" s="129">
        <f t="shared" si="52"/>
        <v>0.4</v>
      </c>
      <c r="AE250" s="129">
        <f t="shared" si="52"/>
        <v>0.4</v>
      </c>
      <c r="AF250" s="129">
        <f t="shared" si="52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50"/>
        <v>0.64</v>
      </c>
      <c r="C251" s="133">
        <v>0.64</v>
      </c>
      <c r="D251" s="133">
        <f t="shared" si="51"/>
        <v>0.64</v>
      </c>
      <c r="E251" s="133">
        <f t="shared" si="51"/>
        <v>0.64</v>
      </c>
      <c r="F251" s="133">
        <f t="shared" si="51"/>
        <v>0.64</v>
      </c>
      <c r="G251" s="133">
        <f t="shared" si="51"/>
        <v>0.64</v>
      </c>
      <c r="H251" s="133">
        <f t="shared" si="51"/>
        <v>0.64</v>
      </c>
      <c r="I251" s="133">
        <f t="shared" si="51"/>
        <v>0.64</v>
      </c>
      <c r="J251" s="133">
        <f t="shared" si="51"/>
        <v>0.64</v>
      </c>
      <c r="K251" s="133">
        <f t="shared" si="51"/>
        <v>0.64</v>
      </c>
      <c r="L251" s="133">
        <f t="shared" si="51"/>
        <v>0.64</v>
      </c>
      <c r="M251" s="133">
        <f t="shared" si="51"/>
        <v>0.64</v>
      </c>
      <c r="N251" s="133">
        <f t="shared" si="51"/>
        <v>0.64</v>
      </c>
      <c r="O251" s="133">
        <f t="shared" si="51"/>
        <v>0.64</v>
      </c>
      <c r="P251" s="133">
        <f t="shared" si="51"/>
        <v>0.64</v>
      </c>
      <c r="Q251" s="133">
        <f t="shared" si="51"/>
        <v>0.64</v>
      </c>
      <c r="R251" s="133">
        <f t="shared" si="51"/>
        <v>0.64</v>
      </c>
      <c r="S251" s="133">
        <f t="shared" si="51"/>
        <v>0.64</v>
      </c>
      <c r="T251" s="133">
        <f t="shared" si="52"/>
        <v>0.64</v>
      </c>
      <c r="U251" s="133">
        <f t="shared" si="52"/>
        <v>0.64</v>
      </c>
      <c r="V251" s="133">
        <f t="shared" si="52"/>
        <v>0.64</v>
      </c>
      <c r="W251" s="133">
        <f t="shared" si="52"/>
        <v>0.64</v>
      </c>
      <c r="X251" s="133">
        <f t="shared" si="52"/>
        <v>0.64</v>
      </c>
      <c r="Y251" s="133">
        <f t="shared" si="52"/>
        <v>0.64</v>
      </c>
      <c r="Z251" s="133">
        <f t="shared" si="52"/>
        <v>0.64</v>
      </c>
      <c r="AA251" s="133">
        <f t="shared" si="52"/>
        <v>0.64</v>
      </c>
      <c r="AB251" s="133">
        <f t="shared" si="52"/>
        <v>0.64</v>
      </c>
      <c r="AC251" s="133">
        <f t="shared" si="52"/>
        <v>0.64</v>
      </c>
      <c r="AD251" s="133">
        <f t="shared" si="52"/>
        <v>0.64</v>
      </c>
      <c r="AE251" s="133">
        <f t="shared" si="52"/>
        <v>0.64</v>
      </c>
      <c r="AF251" s="133">
        <f t="shared" si="52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53">SUM(B246:B251)</f>
        <v>3.54</v>
      </c>
      <c r="C252" s="137">
        <f t="shared" si="53"/>
        <v>3.54</v>
      </c>
      <c r="D252" s="137">
        <f t="shared" si="53"/>
        <v>3.54</v>
      </c>
      <c r="E252" s="137">
        <f t="shared" si="53"/>
        <v>3.54</v>
      </c>
      <c r="F252" s="137">
        <f t="shared" si="53"/>
        <v>3.54</v>
      </c>
      <c r="G252" s="137">
        <f t="shared" si="53"/>
        <v>3.54</v>
      </c>
      <c r="H252" s="137">
        <f t="shared" si="53"/>
        <v>3.54</v>
      </c>
      <c r="I252" s="137">
        <f t="shared" si="53"/>
        <v>3.54</v>
      </c>
      <c r="J252" s="137">
        <f t="shared" si="53"/>
        <v>3.54</v>
      </c>
      <c r="K252" s="137">
        <f t="shared" si="53"/>
        <v>3.54</v>
      </c>
      <c r="L252" s="137">
        <f t="shared" si="53"/>
        <v>3.54</v>
      </c>
      <c r="M252" s="137">
        <f t="shared" si="53"/>
        <v>3.54</v>
      </c>
      <c r="N252" s="137">
        <f t="shared" si="53"/>
        <v>3.54</v>
      </c>
      <c r="O252" s="137">
        <f t="shared" si="53"/>
        <v>3.54</v>
      </c>
      <c r="P252" s="137">
        <f t="shared" si="53"/>
        <v>3.54</v>
      </c>
      <c r="Q252" s="137">
        <f t="shared" si="53"/>
        <v>3.54</v>
      </c>
      <c r="R252" s="137">
        <f t="shared" si="53"/>
        <v>3.54</v>
      </c>
      <c r="S252" s="137">
        <f t="shared" si="53"/>
        <v>3.54</v>
      </c>
      <c r="T252" s="137">
        <f t="shared" si="53"/>
        <v>3.54</v>
      </c>
      <c r="U252" s="137">
        <f t="shared" si="53"/>
        <v>3.54</v>
      </c>
      <c r="V252" s="137">
        <f t="shared" si="53"/>
        <v>3.54</v>
      </c>
      <c r="W252" s="137">
        <f t="shared" si="53"/>
        <v>3.54</v>
      </c>
      <c r="X252" s="137">
        <f t="shared" si="53"/>
        <v>3.54</v>
      </c>
      <c r="Y252" s="137">
        <f t="shared" si="53"/>
        <v>3.54</v>
      </c>
      <c r="Z252" s="137">
        <f t="shared" si="53"/>
        <v>3.54</v>
      </c>
      <c r="AA252" s="137">
        <f t="shared" si="53"/>
        <v>3.54</v>
      </c>
      <c r="AB252" s="137">
        <f t="shared" si="53"/>
        <v>3.54</v>
      </c>
      <c r="AC252" s="137">
        <f t="shared" si="53"/>
        <v>3.54</v>
      </c>
      <c r="AD252" s="137">
        <f t="shared" si="53"/>
        <v>3.54</v>
      </c>
      <c r="AE252" s="137">
        <f t="shared" si="53"/>
        <v>3.54</v>
      </c>
      <c r="AF252" s="137">
        <f t="shared" si="53"/>
        <v>3.54</v>
      </c>
      <c r="AG252" s="146">
        <f t="shared" si="53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1726.94</v>
      </c>
      <c r="C256" s="162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26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str">
        <f ca="1">"Pie Chart of Daily Peak Demand(Inclusive of Export) of Nepal ("&amp;A4&amp;" "&amp;B4&amp;")"</f>
        <v>Pie Chart of Daily Peak Demand(Inclusive of Export) of Nepal (Nepali Date: 2080/09/26)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str">
        <f ca="1">"Daily Load Curve(Excluding of Export) of Nepal ("&amp;A4&amp;" "&amp;B4&amp;")"</f>
        <v>Daily Load Curve(Excluding of Export) of Nepal (Nepali Date: 2080/09/26)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54">B99</f>
        <v>998.04</v>
      </c>
      <c r="U261" s="171">
        <f t="shared" si="54"/>
        <v>978.04</v>
      </c>
      <c r="V261" s="171">
        <f t="shared" si="54"/>
        <v>977.04</v>
      </c>
      <c r="W261" s="171">
        <f t="shared" si="54"/>
        <v>964.54000000000019</v>
      </c>
      <c r="X261" s="171">
        <f t="shared" si="54"/>
        <v>970.34000000000015</v>
      </c>
      <c r="Y261" s="171">
        <f t="shared" si="54"/>
        <v>1065.04</v>
      </c>
      <c r="Z261" s="171">
        <f t="shared" si="54"/>
        <v>1114.04</v>
      </c>
      <c r="AA261" s="171">
        <f t="shared" si="54"/>
        <v>1161.8400000000001</v>
      </c>
      <c r="AB261" s="171">
        <f t="shared" si="54"/>
        <v>1362.94</v>
      </c>
      <c r="AC261" s="171">
        <f t="shared" si="54"/>
        <v>1518.5400000000002</v>
      </c>
      <c r="AD261" s="171">
        <f t="shared" si="54"/>
        <v>1692.24</v>
      </c>
      <c r="AE261" s="171">
        <f t="shared" si="54"/>
        <v>1726.94</v>
      </c>
      <c r="AF261" s="171">
        <f t="shared" si="54"/>
        <v>1563.3400000000001</v>
      </c>
      <c r="AG261" s="171">
        <f t="shared" si="54"/>
        <v>1524.84</v>
      </c>
      <c r="AH261" s="171">
        <f t="shared" si="54"/>
        <v>1512.24</v>
      </c>
      <c r="AI261" s="171">
        <f t="shared" si="54"/>
        <v>1426.34</v>
      </c>
      <c r="AJ261" s="171">
        <f t="shared" si="54"/>
        <v>1399.84</v>
      </c>
      <c r="AK261" s="171">
        <f t="shared" si="54"/>
        <v>1397.84</v>
      </c>
      <c r="AL261" s="171">
        <f t="shared" si="54"/>
        <v>1394.94</v>
      </c>
      <c r="AM261" s="171">
        <f t="shared" si="54"/>
        <v>1387.54</v>
      </c>
      <c r="AN261" s="171">
        <f t="shared" si="54"/>
        <v>1395.1399999999999</v>
      </c>
      <c r="AO261" s="171">
        <f t="shared" si="54"/>
        <v>1485.1399999999999</v>
      </c>
      <c r="AP261" s="171">
        <f t="shared" si="54"/>
        <v>1726.5</v>
      </c>
      <c r="AQ261" s="171">
        <f t="shared" si="54"/>
        <v>1744.94</v>
      </c>
      <c r="AR261" s="171">
        <f t="shared" si="54"/>
        <v>1670.04</v>
      </c>
      <c r="AS261" s="171">
        <f t="shared" si="54"/>
        <v>1572.24</v>
      </c>
      <c r="AT261" s="171">
        <f t="shared" si="54"/>
        <v>1585.64</v>
      </c>
      <c r="AU261" s="171">
        <f t="shared" si="54"/>
        <v>1518.14</v>
      </c>
      <c r="AV261" s="171">
        <f t="shared" si="54"/>
        <v>1471.0400000000002</v>
      </c>
      <c r="AW261" s="171">
        <f t="shared" si="54"/>
        <v>1192.3400000000001</v>
      </c>
      <c r="AX261" s="171">
        <f t="shared" si="54"/>
        <v>1070.8400000000001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55">C251</f>
        <v>0.64</v>
      </c>
      <c r="C282" s="174">
        <f t="shared" si="55"/>
        <v>0.64</v>
      </c>
      <c r="D282" s="174">
        <f t="shared" si="55"/>
        <v>0.64</v>
      </c>
      <c r="E282" s="174">
        <f t="shared" si="55"/>
        <v>0.64</v>
      </c>
      <c r="F282" s="174">
        <f t="shared" si="55"/>
        <v>0.64</v>
      </c>
      <c r="G282" s="174">
        <f t="shared" si="55"/>
        <v>0.64</v>
      </c>
      <c r="H282" s="174">
        <f t="shared" si="55"/>
        <v>0.64</v>
      </c>
      <c r="I282" s="174">
        <f t="shared" si="55"/>
        <v>0.64</v>
      </c>
      <c r="J282" s="174">
        <f t="shared" si="55"/>
        <v>0.64</v>
      </c>
      <c r="K282" s="174">
        <f t="shared" si="55"/>
        <v>0.64</v>
      </c>
      <c r="L282" s="174">
        <f t="shared" si="55"/>
        <v>0.64</v>
      </c>
      <c r="M282" s="174">
        <f t="shared" si="55"/>
        <v>0.64</v>
      </c>
      <c r="N282" s="174">
        <f t="shared" si="55"/>
        <v>0.64</v>
      </c>
      <c r="O282" s="174">
        <f t="shared" si="55"/>
        <v>0.64</v>
      </c>
      <c r="P282" s="174">
        <f t="shared" si="55"/>
        <v>0.64</v>
      </c>
      <c r="Q282" s="174">
        <f t="shared" si="55"/>
        <v>0.64</v>
      </c>
      <c r="R282" s="174">
        <f t="shared" si="55"/>
        <v>0.64</v>
      </c>
      <c r="S282" s="174">
        <f t="shared" si="55"/>
        <v>0.64</v>
      </c>
      <c r="T282" s="174">
        <f t="shared" si="55"/>
        <v>0.64</v>
      </c>
      <c r="U282" s="174">
        <f t="shared" si="55"/>
        <v>0.64</v>
      </c>
      <c r="V282" s="174">
        <f t="shared" si="55"/>
        <v>0.64</v>
      </c>
      <c r="W282" s="174">
        <f t="shared" si="55"/>
        <v>0.64</v>
      </c>
      <c r="X282" s="174">
        <f t="shared" si="55"/>
        <v>0.64</v>
      </c>
      <c r="Y282" s="174">
        <f t="shared" si="55"/>
        <v>0.64</v>
      </c>
      <c r="Z282" s="174">
        <f t="shared" si="55"/>
        <v>0.64</v>
      </c>
      <c r="AA282" s="174">
        <f t="shared" si="55"/>
        <v>0.64</v>
      </c>
      <c r="AB282" s="174">
        <f t="shared" si="55"/>
        <v>0.64</v>
      </c>
      <c r="AC282" s="174">
        <f t="shared" si="55"/>
        <v>0.64</v>
      </c>
      <c r="AD282" s="174">
        <f t="shared" si="55"/>
        <v>0.64</v>
      </c>
      <c r="AE282" s="174">
        <f t="shared" si="55"/>
        <v>0.64</v>
      </c>
      <c r="AF282" s="174">
        <f>B251</f>
        <v>0.64</v>
      </c>
      <c r="AG282" s="43"/>
      <c r="AH282" s="43"/>
    </row>
    <row r="283" spans="1:34" x14ac:dyDescent="0.25">
      <c r="A283" s="175" t="e">
        <f>#REF!</f>
        <v>#REF!</v>
      </c>
      <c r="B283" s="175" t="e">
        <f>IF(#REF!&lt;100,"",#REF!-520)</f>
        <v>#REF!</v>
      </c>
      <c r="C283" s="175" t="e">
        <f>IF(#REF!&lt;100,"",#REF!-520)</f>
        <v>#REF!</v>
      </c>
      <c r="D283" s="175" t="e">
        <f>IF(#REF!&lt;100,"",#REF!-520)</f>
        <v>#REF!</v>
      </c>
      <c r="E283" s="175" t="e">
        <f>IF(#REF!&lt;100,"",#REF!-520)</f>
        <v>#REF!</v>
      </c>
      <c r="F283" s="175" t="e">
        <f>IF(#REF!&lt;100,"",#REF!-520)</f>
        <v>#REF!</v>
      </c>
      <c r="G283" s="175" t="e">
        <f>IF(#REF!&lt;100,"",#REF!-520)</f>
        <v>#REF!</v>
      </c>
      <c r="H283" s="175" t="e">
        <f>IF(#REF!&lt;100,"",#REF!-520)</f>
        <v>#REF!</v>
      </c>
      <c r="I283" s="175" t="e">
        <f>IF(#REF!&lt;100,"",#REF!-520)</f>
        <v>#REF!</v>
      </c>
      <c r="J283" s="175" t="e">
        <f>IF(#REF!&lt;100,"",#REF!-520)</f>
        <v>#REF!</v>
      </c>
      <c r="K283" s="175" t="e">
        <f>IF(#REF!&lt;100,"",#REF!-520)</f>
        <v>#REF!</v>
      </c>
      <c r="L283" s="175" t="e">
        <f>IF(#REF!&lt;100,"",#REF!-520)</f>
        <v>#REF!</v>
      </c>
      <c r="M283" s="175" t="e">
        <f>IF(#REF!&lt;100,"",#REF!-520)</f>
        <v>#REF!</v>
      </c>
      <c r="N283" s="175" t="e">
        <f>IF(#REF!&lt;100,"",#REF!-520)</f>
        <v>#REF!</v>
      </c>
      <c r="O283" s="175" t="e">
        <f>IF(#REF!&lt;100,"",#REF!-520)</f>
        <v>#REF!</v>
      </c>
      <c r="P283" s="175" t="e">
        <f>IF(#REF!&lt;100,"",#REF!-520)</f>
        <v>#REF!</v>
      </c>
      <c r="Q283" s="175" t="e">
        <f>IF(#REF!&lt;100,"",#REF!-520)</f>
        <v>#REF!</v>
      </c>
      <c r="R283" s="175" t="e">
        <f>IF(#REF!&lt;100,"",#REF!-520)</f>
        <v>#REF!</v>
      </c>
      <c r="S283" s="175" t="e">
        <f>IF(#REF!&lt;100,"",#REF!-520)</f>
        <v>#REF!</v>
      </c>
      <c r="T283" s="175" t="e">
        <f>IF(#REF!&lt;100,"",#REF!-520)</f>
        <v>#REF!</v>
      </c>
      <c r="U283" s="175" t="e">
        <f>IF(#REF!&lt;100,"",#REF!-520)</f>
        <v>#REF!</v>
      </c>
      <c r="V283" s="175" t="e">
        <f>IF(#REF!&lt;100,"",#REF!-520)</f>
        <v>#REF!</v>
      </c>
      <c r="W283" s="175" t="e">
        <f>IF(#REF!&lt;100,"",#REF!-520)</f>
        <v>#REF!</v>
      </c>
      <c r="X283" s="175" t="e">
        <f>IF(#REF!&lt;100,"",#REF!-520)</f>
        <v>#REF!</v>
      </c>
      <c r="Y283" s="175" t="e">
        <f>IF(#REF!&lt;100,"",#REF!-520)</f>
        <v>#REF!</v>
      </c>
      <c r="Z283" s="175" t="e">
        <f>IF(#REF!&lt;100,"",#REF!-520)</f>
        <v>#REF!</v>
      </c>
      <c r="AA283" s="175" t="e">
        <f>IF(#REF!&lt;100,"",#REF!-520)</f>
        <v>#REF!</v>
      </c>
      <c r="AB283" s="175" t="e">
        <f>IF(#REF!&lt;100,"",#REF!-520)</f>
        <v>#REF!</v>
      </c>
      <c r="AC283" s="175" t="e">
        <f>IF(#REF!&lt;100,"",#REF!-520)</f>
        <v>#REF!</v>
      </c>
      <c r="AD283" s="175" t="e">
        <f>IF(#REF!&lt;100,"",#REF!-520)</f>
        <v>#REF!</v>
      </c>
      <c r="AE283" s="175" t="e">
        <f>IF(#REF!&lt;100,"",#REF!-520)</f>
        <v>#REF!</v>
      </c>
      <c r="AF283" s="175" t="e">
        <f>IF(#REF!&lt;100,"",#REF!-520)</f>
        <v>#REF!</v>
      </c>
      <c r="AG283" s="43"/>
      <c r="AH283" s="43"/>
    </row>
    <row r="284" spans="1:34" x14ac:dyDescent="0.25">
      <c r="A284" s="175" t="e">
        <f>#REF!</f>
        <v>#REF!</v>
      </c>
      <c r="B284" s="175" t="e">
        <f>IF(#REF!&lt;100,"",#REF!-620)</f>
        <v>#REF!</v>
      </c>
      <c r="C284" s="175" t="e">
        <f>IF(#REF!&lt;100,"",#REF!-620)</f>
        <v>#REF!</v>
      </c>
      <c r="D284" s="175" t="e">
        <f>IF(#REF!&lt;100,"",#REF!-620)</f>
        <v>#REF!</v>
      </c>
      <c r="E284" s="175" t="e">
        <f>IF(#REF!&lt;100,"",#REF!-620)</f>
        <v>#REF!</v>
      </c>
      <c r="F284" s="175" t="e">
        <f>IF(#REF!&lt;100,"",#REF!-620)</f>
        <v>#REF!</v>
      </c>
      <c r="G284" s="175" t="e">
        <f>IF(#REF!&lt;100,"",#REF!-620)</f>
        <v>#REF!</v>
      </c>
      <c r="H284" s="175" t="e">
        <f>IF(#REF!&lt;100,"",#REF!-620)</f>
        <v>#REF!</v>
      </c>
      <c r="I284" s="175" t="e">
        <f>IF(#REF!&lt;100,"",#REF!-620)</f>
        <v>#REF!</v>
      </c>
      <c r="J284" s="175" t="e">
        <f>IF(#REF!&lt;100,"",#REF!-620)</f>
        <v>#REF!</v>
      </c>
      <c r="K284" s="175" t="e">
        <f>IF(#REF!&lt;100,"",#REF!-620)</f>
        <v>#REF!</v>
      </c>
      <c r="L284" s="175" t="e">
        <f>IF(#REF!&lt;100,"",#REF!-620)</f>
        <v>#REF!</v>
      </c>
      <c r="M284" s="175" t="e">
        <f>IF(#REF!&lt;100,"",#REF!-620)</f>
        <v>#REF!</v>
      </c>
      <c r="N284" s="175" t="e">
        <f>IF(#REF!&lt;100,"",#REF!-620)</f>
        <v>#REF!</v>
      </c>
      <c r="O284" s="175" t="e">
        <f>IF(#REF!&lt;100,"",#REF!-620)</f>
        <v>#REF!</v>
      </c>
      <c r="P284" s="175" t="e">
        <f>IF(#REF!&lt;100,"",#REF!-620)</f>
        <v>#REF!</v>
      </c>
      <c r="Q284" s="175" t="e">
        <f>IF(#REF!&lt;100,"",#REF!-620)</f>
        <v>#REF!</v>
      </c>
      <c r="R284" s="175" t="e">
        <f>IF(#REF!&lt;100,"",#REF!-620)</f>
        <v>#REF!</v>
      </c>
      <c r="S284" s="175" t="e">
        <f>IF(#REF!&lt;100,"",#REF!-620)</f>
        <v>#REF!</v>
      </c>
      <c r="T284" s="175" t="e">
        <f>IF(#REF!&lt;100,"",#REF!-620)</f>
        <v>#REF!</v>
      </c>
      <c r="U284" s="175" t="e">
        <f>IF(#REF!&lt;100,"",#REF!-620)</f>
        <v>#REF!</v>
      </c>
      <c r="V284" s="175" t="e">
        <f>IF(#REF!&lt;100,"",#REF!-620)</f>
        <v>#REF!</v>
      </c>
      <c r="W284" s="175" t="e">
        <f>IF(#REF!&lt;100,"",#REF!-620)</f>
        <v>#REF!</v>
      </c>
      <c r="X284" s="175" t="e">
        <f>IF(#REF!&lt;100,"",#REF!-620)</f>
        <v>#REF!</v>
      </c>
      <c r="Y284" s="175" t="e">
        <f>IF(#REF!&lt;100,"",#REF!-620)</f>
        <v>#REF!</v>
      </c>
      <c r="Z284" s="175" t="e">
        <f>IF(#REF!&lt;100,"",#REF!-620)</f>
        <v>#REF!</v>
      </c>
      <c r="AA284" s="175" t="e">
        <f>IF(#REF!&lt;100,"",#REF!-620)</f>
        <v>#REF!</v>
      </c>
      <c r="AB284" s="175" t="e">
        <f>IF(#REF!&lt;100,"",#REF!-620)</f>
        <v>#REF!</v>
      </c>
      <c r="AC284" s="175" t="e">
        <f>IF(#REF!&lt;100,"",#REF!-620)</f>
        <v>#REF!</v>
      </c>
      <c r="AD284" s="175" t="e">
        <f>IF(#REF!&lt;100,"",#REF!-620)</f>
        <v>#REF!</v>
      </c>
      <c r="AE284" s="175" t="e">
        <f>IF(#REF!&lt;100,"",#REF!-620)</f>
        <v>#REF!</v>
      </c>
      <c r="AF284" s="175" t="e">
        <f>IF(#REF!&lt;100,"",#REF!-620)</f>
        <v>#REF!</v>
      </c>
      <c r="AG284" s="43"/>
      <c r="AH284" s="43"/>
    </row>
    <row r="285" spans="1:34" x14ac:dyDescent="0.25">
      <c r="A285" s="175" t="e">
        <f>#REF!</f>
        <v>#REF!</v>
      </c>
      <c r="B285" s="175" t="e">
        <f>IF(#REF!&lt;100,"",#REF!-330)</f>
        <v>#REF!</v>
      </c>
      <c r="C285" s="175" t="e">
        <f>IF(#REF!&lt;100,"",#REF!-330)</f>
        <v>#REF!</v>
      </c>
      <c r="D285" s="175" t="e">
        <f>IF(#REF!&lt;100,"",#REF!-330)</f>
        <v>#REF!</v>
      </c>
      <c r="E285" s="175" t="e">
        <f>IF(#REF!&lt;100,"",#REF!-330)</f>
        <v>#REF!</v>
      </c>
      <c r="F285" s="175" t="e">
        <f>IF(#REF!&lt;100,"",#REF!-330)</f>
        <v>#REF!</v>
      </c>
      <c r="G285" s="175" t="e">
        <f>IF(#REF!&lt;100,"",#REF!-330)</f>
        <v>#REF!</v>
      </c>
      <c r="H285" s="175" t="e">
        <f>IF(#REF!&lt;100,"",#REF!-330)</f>
        <v>#REF!</v>
      </c>
      <c r="I285" s="175" t="e">
        <f>IF(#REF!&lt;100,"",#REF!-330)</f>
        <v>#REF!</v>
      </c>
      <c r="J285" s="175" t="e">
        <f>IF(#REF!&lt;100,"",#REF!-330)</f>
        <v>#REF!</v>
      </c>
      <c r="K285" s="175" t="e">
        <f>IF(#REF!&lt;100,"",#REF!-330)</f>
        <v>#REF!</v>
      </c>
      <c r="L285" s="175" t="e">
        <f>IF(#REF!&lt;100,"",#REF!-330)</f>
        <v>#REF!</v>
      </c>
      <c r="M285" s="175" t="e">
        <f>IF(#REF!&lt;100,"",#REF!-330)</f>
        <v>#REF!</v>
      </c>
      <c r="N285" s="175" t="e">
        <f>IF(#REF!&lt;100,"",#REF!-330)</f>
        <v>#REF!</v>
      </c>
      <c r="O285" s="175" t="e">
        <f>IF(#REF!&lt;100,"",#REF!-330)</f>
        <v>#REF!</v>
      </c>
      <c r="P285" s="175" t="e">
        <f>IF(#REF!&lt;100,"",#REF!-330)</f>
        <v>#REF!</v>
      </c>
      <c r="Q285" s="175" t="e">
        <f>IF(#REF!&lt;100,"",#REF!-330)</f>
        <v>#REF!</v>
      </c>
      <c r="R285" s="175" t="e">
        <f>IF(#REF!&lt;100,"",#REF!-330)</f>
        <v>#REF!</v>
      </c>
      <c r="S285" s="175" t="e">
        <f>IF(#REF!&lt;100,"",#REF!-330)</f>
        <v>#REF!</v>
      </c>
      <c r="T285" s="175" t="e">
        <f>IF(#REF!&lt;100,"",#REF!-330)</f>
        <v>#REF!</v>
      </c>
      <c r="U285" s="175" t="e">
        <f>IF(#REF!&lt;100,"",#REF!-330)</f>
        <v>#REF!</v>
      </c>
      <c r="V285" s="175" t="e">
        <f>IF(#REF!&lt;100,"",#REF!-330)</f>
        <v>#REF!</v>
      </c>
      <c r="W285" s="175" t="e">
        <f>IF(#REF!&lt;100,"",#REF!-330)</f>
        <v>#REF!</v>
      </c>
      <c r="X285" s="175" t="e">
        <f>IF(#REF!&lt;100,"",#REF!-330)</f>
        <v>#REF!</v>
      </c>
      <c r="Y285" s="175" t="e">
        <f>IF(#REF!&lt;100,"",#REF!-330)</f>
        <v>#REF!</v>
      </c>
      <c r="Z285" s="175" t="e">
        <f>IF(#REF!&lt;100,"",#REF!-330)</f>
        <v>#REF!</v>
      </c>
      <c r="AA285" s="175" t="e">
        <f>IF(#REF!&lt;100,"",#REF!-330)</f>
        <v>#REF!</v>
      </c>
      <c r="AB285" s="175" t="e">
        <f>IF(#REF!&lt;100,"",#REF!-330)</f>
        <v>#REF!</v>
      </c>
      <c r="AC285" s="175" t="e">
        <f>IF(#REF!&lt;100,"",#REF!-330)</f>
        <v>#REF!</v>
      </c>
      <c r="AD285" s="175" t="e">
        <f>IF(#REF!&lt;100,"",#REF!-330)</f>
        <v>#REF!</v>
      </c>
      <c r="AE285" s="175" t="e">
        <f>IF(#REF!&lt;100,"",#REF!-330)</f>
        <v>#REF!</v>
      </c>
      <c r="AF285" s="175" t="e">
        <f>IF(#REF!&lt;100,"",#REF!-330)</f>
        <v>#REF!</v>
      </c>
      <c r="AG285" s="43"/>
      <c r="AH285" s="43"/>
    </row>
    <row r="286" spans="1:34" x14ac:dyDescent="0.25">
      <c r="A286" s="175" t="e">
        <f>#REF!</f>
        <v>#REF!</v>
      </c>
      <c r="B286" s="175" t="e">
        <f>IF(#REF!&lt;100,"",#REF!-1500)</f>
        <v>#REF!</v>
      </c>
      <c r="C286" s="175" t="e">
        <f>IF(#REF!&lt;100,"",#REF!-1500)</f>
        <v>#REF!</v>
      </c>
      <c r="D286" s="175" t="e">
        <f>IF(#REF!&lt;100,"",#REF!-1500)</f>
        <v>#REF!</v>
      </c>
      <c r="E286" s="175" t="e">
        <f>IF(#REF!&lt;100,"",#REF!-1500)</f>
        <v>#REF!</v>
      </c>
      <c r="F286" s="175" t="e">
        <f>IF(#REF!&lt;100,"",#REF!-1500)</f>
        <v>#REF!</v>
      </c>
      <c r="G286" s="175" t="e">
        <f>IF(#REF!&lt;100,"",#REF!-1500)</f>
        <v>#REF!</v>
      </c>
      <c r="H286" s="175" t="e">
        <f>IF(#REF!&lt;100,"",#REF!-1500)</f>
        <v>#REF!</v>
      </c>
      <c r="I286" s="175" t="e">
        <f>IF(#REF!&lt;100,"",#REF!-1500)</f>
        <v>#REF!</v>
      </c>
      <c r="J286" s="175" t="e">
        <f>IF(#REF!&lt;100,"",#REF!-1500)</f>
        <v>#REF!</v>
      </c>
      <c r="K286" s="175" t="e">
        <f>IF(#REF!&lt;100,"",#REF!-1500)</f>
        <v>#REF!</v>
      </c>
      <c r="L286" s="175" t="e">
        <f>IF(#REF!&lt;100,"",#REF!-1500)</f>
        <v>#REF!</v>
      </c>
      <c r="M286" s="175" t="e">
        <f>IF(#REF!&lt;100,"",#REF!-1500)</f>
        <v>#REF!</v>
      </c>
      <c r="N286" s="175" t="e">
        <f>IF(#REF!&lt;100,"",#REF!-1500)</f>
        <v>#REF!</v>
      </c>
      <c r="O286" s="175" t="e">
        <f>IF(#REF!&lt;100,"",#REF!-1500)</f>
        <v>#REF!</v>
      </c>
      <c r="P286" s="175" t="e">
        <f>IF(#REF!&lt;100,"",#REF!-1500)</f>
        <v>#REF!</v>
      </c>
      <c r="Q286" s="175" t="e">
        <f>IF(#REF!&lt;100,"",#REF!-1500)</f>
        <v>#REF!</v>
      </c>
      <c r="R286" s="175" t="e">
        <f>IF(#REF!&lt;100,"",#REF!-1500)</f>
        <v>#REF!</v>
      </c>
      <c r="S286" s="175" t="e">
        <f>IF(#REF!&lt;100,"",#REF!-1500)</f>
        <v>#REF!</v>
      </c>
      <c r="T286" s="175" t="e">
        <f>IF(#REF!&lt;100,"",#REF!-1500)</f>
        <v>#REF!</v>
      </c>
      <c r="U286" s="175" t="e">
        <f>IF(#REF!&lt;100,"",#REF!-1500)</f>
        <v>#REF!</v>
      </c>
      <c r="V286" s="175" t="e">
        <f>IF(#REF!&lt;100,"",#REF!-1500)</f>
        <v>#REF!</v>
      </c>
      <c r="W286" s="175" t="e">
        <f>IF(#REF!&lt;100,"",#REF!-1500)</f>
        <v>#REF!</v>
      </c>
      <c r="X286" s="175" t="e">
        <f>IF(#REF!&lt;100,"",#REF!-1500)</f>
        <v>#REF!</v>
      </c>
      <c r="Y286" s="175" t="e">
        <f>IF(#REF!&lt;100,"",#REF!-1500)</f>
        <v>#REF!</v>
      </c>
      <c r="Z286" s="175" t="e">
        <f>IF(#REF!&lt;100,"",#REF!-1500)</f>
        <v>#REF!</v>
      </c>
      <c r="AA286" s="175" t="e">
        <f>IF(#REF!&lt;100,"",#REF!-1500)</f>
        <v>#REF!</v>
      </c>
      <c r="AB286" s="175" t="e">
        <f>IF(#REF!&lt;100,"",#REF!-1500)</f>
        <v>#REF!</v>
      </c>
      <c r="AC286" s="175" t="e">
        <f>IF(#REF!&lt;100,"",#REF!-1500)</f>
        <v>#REF!</v>
      </c>
      <c r="AD286" s="175" t="e">
        <f>IF(#REF!&lt;100,"",#REF!-1500)</f>
        <v>#REF!</v>
      </c>
      <c r="AE286" s="175" t="e">
        <f>IF(#REF!&lt;100,"",#REF!-1500)</f>
        <v>#REF!</v>
      </c>
      <c r="AF286" s="175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727" priority="71">
      <formula>$AH11=0</formula>
    </cfRule>
  </conditionalFormatting>
  <conditionalFormatting sqref="A132:A253">
    <cfRule type="expression" dxfId="726" priority="22">
      <formula>$AH132=0</formula>
    </cfRule>
  </conditionalFormatting>
  <conditionalFormatting sqref="B8 M8 S8 AB8">
    <cfRule type="expression" dxfId="725" priority="132">
      <formula>AND(C$9&gt;=8/24,C$9&lt;14/24)</formula>
    </cfRule>
    <cfRule type="expression" dxfId="724" priority="131">
      <formula>AND(C$9&gt;=14/24,C$9&lt;20/24)</formula>
    </cfRule>
    <cfRule type="expression" dxfId="723" priority="133">
      <formula>C$9&lt;8/24</formula>
    </cfRule>
  </conditionalFormatting>
  <conditionalFormatting sqref="B63:I74 J64:J74 K66:K74 K69:L71 L69:S74 Z59:AB59 AC59:AF61 Y60:AB61">
    <cfRule type="expression" dxfId="722" priority="37">
      <formula>B$9&gt;=20/24</formula>
    </cfRule>
  </conditionalFormatting>
  <conditionalFormatting sqref="B56:L56 M56:AF57 K57:L57">
    <cfRule type="expression" dxfId="721" priority="80">
      <formula>B$9&lt;8/24</formula>
    </cfRule>
  </conditionalFormatting>
  <conditionalFormatting sqref="B11:O11 P11:AF50 L12:M12 B12:K50 M12:O50 L13:L50">
    <cfRule type="expression" dxfId="720" priority="41">
      <formula>B11&gt;$AG11</formula>
    </cfRule>
  </conditionalFormatting>
  <conditionalFormatting sqref="B59:X61">
    <cfRule type="expression" dxfId="719" priority="13">
      <formula>B$9&gt;=20/24</formula>
    </cfRule>
    <cfRule type="expression" dxfId="718" priority="12">
      <formula>B59&gt;$AG59</formula>
    </cfRule>
    <cfRule type="expression" dxfId="717" priority="14">
      <formula>AND(B$9&gt;=14/24,B$9&lt;20/24)</formula>
    </cfRule>
    <cfRule type="expression" dxfId="716" priority="15">
      <formula>AND(B$9&gt;=8/24,B$9&lt;14/24)</formula>
    </cfRule>
    <cfRule type="expression" dxfId="715" priority="16">
      <formula>B$9&lt;8/24</formula>
    </cfRule>
  </conditionalFormatting>
  <conditionalFormatting sqref="B9:AF52">
    <cfRule type="expression" dxfId="714" priority="43">
      <formula>AND(B$9&gt;=14/24,B$9&lt;20/24)</formula>
    </cfRule>
    <cfRule type="expression" dxfId="713" priority="44">
      <formula>AND(B$9&gt;=8/24,B$9&lt;14/24)</formula>
    </cfRule>
    <cfRule type="expression" dxfId="712" priority="42">
      <formula>B$9&gt;=20/24</formula>
    </cfRule>
    <cfRule type="expression" dxfId="711" priority="45">
      <formula>B$9&lt;8/24</formula>
    </cfRule>
  </conditionalFormatting>
  <conditionalFormatting sqref="B51:AF54 Z59:AB60 AC59:AF61 Y61:AB61">
    <cfRule type="expression" dxfId="710" priority="31">
      <formula>B51&gt;$AG51</formula>
    </cfRule>
  </conditionalFormatting>
  <conditionalFormatting sqref="B53:AF54">
    <cfRule type="expression" dxfId="709" priority="29">
      <formula>AND(B$9&gt;=8/24,B$9&lt;14/24)</formula>
    </cfRule>
    <cfRule type="expression" dxfId="708" priority="28">
      <formula>AND(B$9&gt;=14/24,B$9&lt;20/24)</formula>
    </cfRule>
    <cfRule type="expression" dxfId="707" priority="30">
      <formula>B$9&lt;8/24</formula>
    </cfRule>
    <cfRule type="expression" dxfId="706" priority="27">
      <formula>B$9&gt;=20/24</formula>
    </cfRule>
  </conditionalFormatting>
  <conditionalFormatting sqref="B55:AF55">
    <cfRule type="expression" dxfId="705" priority="51">
      <formula>B55&gt;$AG55</formula>
    </cfRule>
  </conditionalFormatting>
  <conditionalFormatting sqref="B55:AF57">
    <cfRule type="expression" dxfId="704" priority="47">
      <formula>B$9&gt;=20/24</formula>
    </cfRule>
    <cfRule type="expression" dxfId="703" priority="48">
      <formula>AND(B$9&gt;=14/24,B$9&lt;20/24)</formula>
    </cfRule>
    <cfRule type="expression" dxfId="702" priority="49">
      <formula>AND(B$9&gt;=8/24,B$9&lt;14/24)</formula>
    </cfRule>
  </conditionalFormatting>
  <conditionalFormatting sqref="B56:AF58">
    <cfRule type="expression" dxfId="701" priority="46">
      <formula>B56&gt;$AG56</formula>
    </cfRule>
  </conditionalFormatting>
  <conditionalFormatting sqref="B63:AF74">
    <cfRule type="expression" dxfId="700" priority="36">
      <formula>B63&gt;$AG63</formula>
    </cfRule>
  </conditionalFormatting>
  <conditionalFormatting sqref="B81:AF99">
    <cfRule type="expression" dxfId="699" priority="32">
      <formula>B$9&gt;=20/24</formula>
    </cfRule>
    <cfRule type="expression" dxfId="698" priority="34">
      <formula>AND(B$9&gt;=8/24,B$9&lt;14/24)</formula>
    </cfRule>
    <cfRule type="expression" dxfId="697" priority="35">
      <formula>B$9&lt;8/24</formula>
    </cfRule>
    <cfRule type="expression" dxfId="696" priority="33">
      <formula>AND(B$9&gt;=14/24,B$9&lt;20/24)</formula>
    </cfRule>
  </conditionalFormatting>
  <conditionalFormatting sqref="B101:AF117">
    <cfRule type="expression" dxfId="695" priority="23">
      <formula>B$9&gt;=20/24</formula>
    </cfRule>
    <cfRule type="expression" dxfId="694" priority="24">
      <formula>AND(B$9&gt;=14/24,B$9&lt;20/24)</formula>
    </cfRule>
    <cfRule type="expression" dxfId="693" priority="25">
      <formula>AND(B$9&gt;=8/24,B$9&lt;14/24)</formula>
    </cfRule>
    <cfRule type="expression" dxfId="692" priority="26">
      <formula>B$9&lt;8/24</formula>
    </cfRule>
  </conditionalFormatting>
  <conditionalFormatting sqref="B119:AF137">
    <cfRule type="expression" dxfId="691" priority="18">
      <formula>B$9&gt;=20/24</formula>
    </cfRule>
    <cfRule type="expression" dxfId="690" priority="20">
      <formula>AND(B$9&gt;=8/24,B$9&lt;14/24)</formula>
    </cfRule>
    <cfRule type="expression" dxfId="689" priority="21">
      <formula>B$9&lt;8/24</formula>
    </cfRule>
    <cfRule type="expression" dxfId="688" priority="19">
      <formula>AND(B$9&gt;=14/24,B$9&lt;20/24)</formula>
    </cfRule>
  </conditionalFormatting>
  <conditionalFormatting sqref="B244:AF244 B246:B252 D246:AF252 U260:AF260">
    <cfRule type="expression" dxfId="687" priority="126">
      <formula>AND(B$9&gt;=8/24,B$9&lt;14/24)</formula>
    </cfRule>
    <cfRule type="expression" dxfId="686" priority="125">
      <formula>AND(B$9&gt;=14/24,B$9&lt;20/24)</formula>
    </cfRule>
    <cfRule type="expression" dxfId="685" priority="127">
      <formula>B$9&lt;8/24</formula>
    </cfRule>
    <cfRule type="expression" dxfId="684" priority="124">
      <formula>B$9&gt;=20/24</formula>
    </cfRule>
  </conditionalFormatting>
  <conditionalFormatting sqref="B62:AG62 B77:AF79">
    <cfRule type="expression" dxfId="683" priority="65">
      <formula>B$9&lt;8/24</formula>
    </cfRule>
    <cfRule type="expression" dxfId="682" priority="64">
      <formula>AND(B$9&gt;=8/24,B$9&lt;14/24)</formula>
    </cfRule>
    <cfRule type="expression" dxfId="681" priority="61">
      <formula>B62&gt;$AG62</formula>
    </cfRule>
    <cfRule type="expression" dxfId="680" priority="62">
      <formula>B$9&gt;=20/24</formula>
    </cfRule>
    <cfRule type="expression" dxfId="679" priority="63">
      <formula>AND(B$9&gt;=14/24,B$9&lt;20/24)</formula>
    </cfRule>
  </conditionalFormatting>
  <conditionalFormatting sqref="B75:AG76 B80:AG80">
    <cfRule type="expression" dxfId="678" priority="52">
      <formula>B75&gt;$AG75</formula>
    </cfRule>
  </conditionalFormatting>
  <conditionalFormatting sqref="B80:AG80">
    <cfRule type="expression" dxfId="677" priority="54">
      <formula>AND(B$9&gt;=14/24,B$9&lt;20/24)</formula>
    </cfRule>
    <cfRule type="expression" dxfId="676" priority="55">
      <formula>AND(B$9&gt;=8/24,B$9&lt;14/24)</formula>
    </cfRule>
    <cfRule type="expression" dxfId="675" priority="56">
      <formula>B$9&lt;8/24</formula>
    </cfRule>
    <cfRule type="expression" dxfId="674" priority="53">
      <formula>B$9&gt;=20/24</formula>
    </cfRule>
  </conditionalFormatting>
  <conditionalFormatting sqref="F63:L65">
    <cfRule type="expression" dxfId="673" priority="106">
      <formula>AND(F$9&gt;=14/24,F$9&lt;20/24)</formula>
    </cfRule>
    <cfRule type="expression" dxfId="672" priority="107">
      <formula>AND(F$9&gt;=8/24,F$9&lt;14/24)</formula>
    </cfRule>
    <cfRule type="expression" dxfId="671" priority="108">
      <formula>F$9&lt;8/24</formula>
    </cfRule>
    <cfRule type="expression" dxfId="670" priority="105">
      <formula>F$9&gt;=20/24</formula>
    </cfRule>
  </conditionalFormatting>
  <conditionalFormatting sqref="F68:S68">
    <cfRule type="expression" dxfId="669" priority="82">
      <formula>F$9&gt;=20/24</formula>
    </cfRule>
    <cfRule type="expression" dxfId="668" priority="83">
      <formula>AND(F$9&gt;=14/24,F$9&lt;20/24)</formula>
    </cfRule>
    <cfRule type="expression" dxfId="667" priority="84">
      <formula>AND(F$9&gt;=8/24,F$9&lt;14/24)</formula>
    </cfRule>
    <cfRule type="expression" dxfId="666" priority="85">
      <formula>F$9&lt;8/24</formula>
    </cfRule>
  </conditionalFormatting>
  <conditionalFormatting sqref="F69:AF74">
    <cfRule type="expression" dxfId="665" priority="72">
      <formula>F$9&gt;=20/24</formula>
    </cfRule>
    <cfRule type="expression" dxfId="664" priority="73">
      <formula>AND(F$9&gt;=14/24,F$9&lt;20/24)</formula>
    </cfRule>
    <cfRule type="expression" dxfId="663" priority="74">
      <formula>AND(F$9&gt;=8/24,F$9&lt;14/24)</formula>
    </cfRule>
    <cfRule type="expression" dxfId="662" priority="75">
      <formula>F$9&lt;8/24</formula>
    </cfRule>
  </conditionalFormatting>
  <conditionalFormatting sqref="K55:AF56 B55:J57">
    <cfRule type="expression" dxfId="661" priority="50">
      <formula>B$9&lt;8/24</formula>
    </cfRule>
  </conditionalFormatting>
  <conditionalFormatting sqref="M63:S67">
    <cfRule type="expression" dxfId="660" priority="111">
      <formula>AND(M$9&gt;=8/24,M$9&lt;14/24)</formula>
    </cfRule>
    <cfRule type="expression" dxfId="659" priority="112">
      <formula>M$9&lt;8/24</formula>
    </cfRule>
    <cfRule type="expression" dxfId="658" priority="109">
      <formula>M$9&gt;=20/24</formula>
    </cfRule>
    <cfRule type="expression" dxfId="657" priority="110">
      <formula>AND(M$9&gt;=14/24,M$9&lt;20/24)</formula>
    </cfRule>
  </conditionalFormatting>
  <conditionalFormatting sqref="O3:P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56" priority="130">
      <formula>C$9&gt;=20/24</formula>
    </cfRule>
  </conditionalFormatting>
  <conditionalFormatting sqref="S8">
    <cfRule type="expression" dxfId="655" priority="117">
      <formula>U$9&gt;=20/24</formula>
    </cfRule>
    <cfRule type="expression" dxfId="654" priority="118">
      <formula>AND(U$9&gt;=14/24,U$9&lt;20/24)</formula>
    </cfRule>
    <cfRule type="expression" dxfId="653" priority="119">
      <formula>AND(U$9&gt;=8/24,U$9&lt;14/24)</formula>
    </cfRule>
    <cfRule type="expression" dxfId="652" priority="120">
      <formula>U$9&lt;8/24</formula>
    </cfRule>
  </conditionalFormatting>
  <conditionalFormatting sqref="T260">
    <cfRule type="expression" dxfId="651" priority="142">
      <formula>AX$9&gt;=20/24</formula>
    </cfRule>
    <cfRule type="expression" dxfId="650" priority="143">
      <formula>AND(AX$9&gt;=14/24,AX$9&lt;20/24)</formula>
    </cfRule>
    <cfRule type="expression" dxfId="649" priority="144">
      <formula>AND(AX$9&gt;=8/24,AX$9&lt;14/24)</formula>
    </cfRule>
    <cfRule type="expression" dxfId="648" priority="145">
      <formula>AX$9&lt;8/24</formula>
    </cfRule>
  </conditionalFormatting>
  <conditionalFormatting sqref="T63:AF68">
    <cfRule type="expression" dxfId="647" priority="79">
      <formula>T$9&lt;8/24</formula>
    </cfRule>
    <cfRule type="expression" dxfId="646" priority="78">
      <formula>AND(T$9&gt;=8/24,T$9&lt;14/24)</formula>
    </cfRule>
    <cfRule type="expression" dxfId="645" priority="77">
      <formula>AND(T$9&gt;=14/24,T$9&lt;20/24)</formula>
    </cfRule>
    <cfRule type="expression" dxfId="644" priority="76">
      <formula>T$9&gt;=20/24</formula>
    </cfRule>
  </conditionalFormatting>
  <conditionalFormatting sqref="V3 AB3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Y59">
    <cfRule type="expression" dxfId="643" priority="1">
      <formula>Y59&gt;$AG59</formula>
    </cfRule>
    <cfRule type="expression" dxfId="642" priority="5">
      <formula>Y$9&lt;8/24</formula>
    </cfRule>
    <cfRule type="expression" dxfId="641" priority="2">
      <formula>Y$9&gt;=20/24</formula>
    </cfRule>
    <cfRule type="expression" dxfId="640" priority="3">
      <formula>AND(Y$9&gt;=14/24,Y$9&lt;20/24)</formula>
    </cfRule>
    <cfRule type="expression" dxfId="639" priority="4">
      <formula>AND(Y$9&gt;=8/24,Y$9&lt;14/24)</formula>
    </cfRule>
  </conditionalFormatting>
  <conditionalFormatting sqref="Y60">
    <cfRule type="expression" dxfId="638" priority="200">
      <formula>Y60&gt;$AG59</formula>
    </cfRule>
  </conditionalFormatting>
  <conditionalFormatting sqref="Z59:AB59 AC59:AF61 Y60:AB61 B63:I74 J64:J74 K66:K74 K69:L71 L69:S74">
    <cfRule type="expression" dxfId="637" priority="40">
      <formula>B$9&lt;8/24</formula>
    </cfRule>
    <cfRule type="expression" dxfId="636" priority="39">
      <formula>AND(B$9&gt;=8/24,B$9&lt;14/24)</formula>
    </cfRule>
    <cfRule type="expression" dxfId="635" priority="38">
      <formula>AND(B$9&gt;=14/24,B$9&lt;20/24)</formula>
    </cfRule>
  </conditionalFormatting>
  <conditionalFormatting sqref="AB8">
    <cfRule type="expression" dxfId="634" priority="116">
      <formula>AD$9&lt;8/24</formula>
    </cfRule>
    <cfRule type="expression" dxfId="633" priority="113">
      <formula>AD$9&gt;=20/24</formula>
    </cfRule>
    <cfRule type="expression" dxfId="632" priority="114">
      <formula>AND(AD$9&gt;=14/24,AD$9&lt;20/24)</formula>
    </cfRule>
    <cfRule type="expression" dxfId="631" priority="115">
      <formula>AND(AD$9&gt;=8/24,AD$9&lt;14/24)</formula>
    </cfRule>
  </conditionalFormatting>
  <conditionalFormatting sqref="AG58">
    <cfRule type="expression" dxfId="630" priority="100">
      <formula>AG58&gt;$AG58</formula>
    </cfRule>
  </conditionalFormatting>
  <conditionalFormatting sqref="AG97">
    <cfRule type="expression" dxfId="629" priority="102">
      <formula>AND(AG$9&gt;=14/24,AG$9&lt;20/24)</formula>
    </cfRule>
    <cfRule type="expression" dxfId="628" priority="101">
      <formula>AG$9&gt;=20/24</formula>
    </cfRule>
    <cfRule type="expression" dxfId="627" priority="104">
      <formula>AG$9&lt;8/24</formula>
    </cfRule>
    <cfRule type="expression" dxfId="626" priority="103">
      <formula>AND(AG$9&gt;=8/24,AG$9&lt;14/24)</formula>
    </cfRule>
  </conditionalFormatting>
  <conditionalFormatting sqref="AG260">
    <cfRule type="expression" dxfId="625" priority="134">
      <formula>B$9&gt;=20/24</formula>
    </cfRule>
    <cfRule type="expression" dxfId="624" priority="137">
      <formula>B$9&lt;8/24</formula>
    </cfRule>
    <cfRule type="expression" dxfId="623" priority="136">
      <formula>AND(B$9&gt;=8/24,B$9&lt;14/24)</formula>
    </cfRule>
    <cfRule type="expression" dxfId="622" priority="135">
      <formula>AND(B$9&gt;=14/24,B$9&lt;20/24)</formula>
    </cfRule>
  </conditionalFormatting>
  <conditionalFormatting sqref="AH260:AX260">
    <cfRule type="expression" dxfId="621" priority="138">
      <formula>AG$9&gt;=20/24</formula>
    </cfRule>
    <cfRule type="expression" dxfId="620" priority="139">
      <formula>AND(AG$9&gt;=14/24,AG$9&lt;20/24)</formula>
    </cfRule>
    <cfRule type="expression" dxfId="619" priority="140">
      <formula>AND(AG$9&gt;=8/24,AG$9&lt;14/24)</formula>
    </cfRule>
    <cfRule type="expression" dxfId="618" priority="141">
      <formula>AG$9&lt;8/24</formula>
    </cfRule>
  </conditionalFormatting>
  <conditionalFormatting sqref="AL4:AL6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9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99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617" priority="147">
      <formula>AJ$9&gt;=20/24</formula>
    </cfRule>
    <cfRule type="expression" dxfId="616" priority="148">
      <formula>AND(AJ$9&gt;=14/24,AJ$9&lt;20/24)</formula>
    </cfRule>
    <cfRule type="expression" dxfId="615" priority="149">
      <formula>AND(AJ$9&gt;=8/24,AJ$9&lt;14/24)</formula>
    </cfRule>
    <cfRule type="expression" dxfId="614" priority="150">
      <formula>AJ$9&lt;8/24</formula>
    </cfRule>
  </conditionalFormatting>
  <conditionalFormatting sqref="AL88:AN88 AL94:AN94">
    <cfRule type="expression" dxfId="613" priority="96">
      <formula>AL$9&lt;8/24</formula>
    </cfRule>
    <cfRule type="expression" dxfId="612" priority="95">
      <formula>AND(AL$9&gt;=8/24,AL$9&lt;14/24)</formula>
    </cfRule>
    <cfRule type="expression" dxfId="611" priority="94">
      <formula>AND(AL$9&gt;=14/24,AL$9&lt;20/24)</formula>
    </cfRule>
    <cfRule type="expression" dxfId="610" priority="93">
      <formula>AL$9&gt;=20/24</formula>
    </cfRule>
  </conditionalFormatting>
  <conditionalFormatting sqref="AN89:AN92">
    <cfRule type="expression" dxfId="609" priority="89">
      <formula>AN$9&gt;=20/24</formula>
    </cfRule>
    <cfRule type="expression" dxfId="608" priority="90">
      <formula>AND(AN$9&gt;=14/24,AN$9&lt;20/24)</formula>
    </cfRule>
    <cfRule type="expression" dxfId="607" priority="92">
      <formula>AN$9&lt;8/24</formula>
    </cfRule>
    <cfRule type="expression" dxfId="606" priority="91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2314-A24C-43EA-86D3-B9A222815B5F}">
  <sheetPr codeName="Sheet28"/>
  <dimension ref="A1:CJ293"/>
  <sheetViews>
    <sheetView zoomScaleNormal="100" workbookViewId="0">
      <pane xSplit="1" ySplit="10" topLeftCell="B115" activePane="bottomRight" state="frozen"/>
      <selection activeCell="P118" sqref="P118"/>
      <selection pane="topRight" activeCell="P118" sqref="P118"/>
      <selection pane="bottomLeft" activeCell="P118" sqref="P118"/>
      <selection pane="bottomRight" activeCell="X62" sqref="X6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57031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2080/09/27</v>
      </c>
      <c r="C4" s="246"/>
      <c r="D4" s="246"/>
      <c r="E4" s="247" t="str">
        <f ca="1">"2080/"&amp;"09/"&amp;INT(MID(CELL("filename",G6),FIND("]",CELL("filename",G6))+1,200))</f>
        <v>2080/09/27</v>
      </c>
      <c r="F4" s="247"/>
      <c r="G4" s="247"/>
      <c r="H4" s="247" t="str">
        <f ca="1">TEXT(E4,"dddd")</f>
        <v>Friday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255</v>
      </c>
      <c r="C5" s="30">
        <f t="shared" si="0"/>
        <v>214</v>
      </c>
      <c r="D5" s="30">
        <f t="shared" si="0"/>
        <v>220</v>
      </c>
      <c r="E5" s="30">
        <f t="shared" si="0"/>
        <v>236.2</v>
      </c>
      <c r="F5" s="30">
        <f t="shared" si="0"/>
        <v>323</v>
      </c>
      <c r="G5" s="30">
        <f t="shared" si="0"/>
        <v>361.8</v>
      </c>
      <c r="H5" s="30">
        <f t="shared" si="0"/>
        <v>407</v>
      </c>
      <c r="I5" s="30">
        <f t="shared" si="0"/>
        <v>469.4</v>
      </c>
      <c r="J5" s="30">
        <f t="shared" si="0"/>
        <v>439</v>
      </c>
      <c r="K5" s="30">
        <f t="shared" si="0"/>
        <v>252.6</v>
      </c>
      <c r="L5" s="30">
        <f t="shared" si="0"/>
        <v>208.5</v>
      </c>
      <c r="M5" s="30">
        <f t="shared" si="0"/>
        <v>155.6</v>
      </c>
      <c r="N5" s="30">
        <f t="shared" si="0"/>
        <v>282</v>
      </c>
      <c r="O5" s="30">
        <f t="shared" si="0"/>
        <v>304.89999999999998</v>
      </c>
      <c r="P5" s="30">
        <f t="shared" si="0"/>
        <v>442.6</v>
      </c>
      <c r="Q5" s="30">
        <f t="shared" si="0"/>
        <v>452.6</v>
      </c>
      <c r="R5" s="30">
        <f t="shared" si="0"/>
        <v>478</v>
      </c>
      <c r="S5" s="30">
        <f t="shared" si="0"/>
        <v>492.5</v>
      </c>
      <c r="T5" s="30">
        <f t="shared" si="0"/>
        <v>327</v>
      </c>
      <c r="U5" s="30">
        <f t="shared" si="0"/>
        <v>383</v>
      </c>
      <c r="V5" s="30">
        <f t="shared" si="0"/>
        <v>361.6</v>
      </c>
      <c r="W5" s="30">
        <f t="shared" si="0"/>
        <v>280</v>
      </c>
      <c r="X5" s="30">
        <f t="shared" si="0"/>
        <v>299.8</v>
      </c>
      <c r="Y5" s="30">
        <f t="shared" si="0"/>
        <v>306.3</v>
      </c>
      <c r="Z5" s="30">
        <f t="shared" si="0"/>
        <v>311.10000000000002</v>
      </c>
      <c r="AA5" s="30">
        <f t="shared" si="0"/>
        <v>304.5</v>
      </c>
      <c r="AB5" s="30">
        <f t="shared" si="0"/>
        <v>303.5</v>
      </c>
      <c r="AC5" s="30">
        <f t="shared" si="0"/>
        <v>303.8</v>
      </c>
      <c r="AD5" s="30">
        <f t="shared" si="0"/>
        <v>289</v>
      </c>
      <c r="AE5" s="30">
        <f t="shared" si="0"/>
        <v>268</v>
      </c>
      <c r="AF5" s="30">
        <f>B92</f>
        <v>277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1660MW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Load=940</v>
      </c>
      <c r="B7" s="35">
        <f>B100</f>
        <v>1003.2400000000001</v>
      </c>
      <c r="C7" s="35">
        <f t="shared" ref="C7:AF7" si="1">C100</f>
        <v>981.24000000000012</v>
      </c>
      <c r="D7" s="35">
        <f t="shared" si="1"/>
        <v>940.24000000000012</v>
      </c>
      <c r="E7" s="35">
        <f t="shared" si="1"/>
        <v>943.94</v>
      </c>
      <c r="F7" s="35">
        <f t="shared" si="1"/>
        <v>959.34000000000015</v>
      </c>
      <c r="G7" s="35">
        <f t="shared" si="1"/>
        <v>1043.54</v>
      </c>
      <c r="H7" s="35">
        <f t="shared" si="1"/>
        <v>1124.54</v>
      </c>
      <c r="I7" s="35">
        <f t="shared" si="1"/>
        <v>1195.54</v>
      </c>
      <c r="J7" s="35">
        <f t="shared" si="1"/>
        <v>1333.44</v>
      </c>
      <c r="K7" s="35">
        <f t="shared" si="1"/>
        <v>1415.8400000000001</v>
      </c>
      <c r="L7" s="35">
        <f t="shared" si="1"/>
        <v>1577.04</v>
      </c>
      <c r="M7" s="35">
        <f t="shared" si="1"/>
        <v>1631.3400000000001</v>
      </c>
      <c r="N7" s="35">
        <f t="shared" si="1"/>
        <v>1660.44</v>
      </c>
      <c r="O7" s="35">
        <f t="shared" si="1"/>
        <v>1667.6399999999999</v>
      </c>
      <c r="P7" s="35">
        <f t="shared" si="1"/>
        <v>1538.2400000000002</v>
      </c>
      <c r="Q7" s="35">
        <f t="shared" si="1"/>
        <v>1471.44</v>
      </c>
      <c r="R7" s="35">
        <f t="shared" si="1"/>
        <v>1373.44</v>
      </c>
      <c r="S7" s="35">
        <f t="shared" si="1"/>
        <v>1370.24</v>
      </c>
      <c r="T7" s="35">
        <f t="shared" si="1"/>
        <v>1406.3400000000001</v>
      </c>
      <c r="U7" s="35">
        <f t="shared" si="1"/>
        <v>1331.0400000000002</v>
      </c>
      <c r="V7" s="35">
        <f t="shared" si="1"/>
        <v>1368.0400000000002</v>
      </c>
      <c r="W7" s="35">
        <f t="shared" si="1"/>
        <v>1444.8400000000001</v>
      </c>
      <c r="X7" s="35">
        <f t="shared" si="1"/>
        <v>1705.6</v>
      </c>
      <c r="Y7" s="35">
        <f t="shared" si="1"/>
        <v>1666.4399999999998</v>
      </c>
      <c r="Z7" s="35">
        <f t="shared" si="1"/>
        <v>1639.0399999999997</v>
      </c>
      <c r="AA7" s="35">
        <f t="shared" si="1"/>
        <v>1611.9389999999999</v>
      </c>
      <c r="AB7" s="35">
        <f t="shared" si="1"/>
        <v>1546.6399999999999</v>
      </c>
      <c r="AC7" s="35">
        <f t="shared" si="1"/>
        <v>1527.9399999999998</v>
      </c>
      <c r="AD7" s="35">
        <f t="shared" si="1"/>
        <v>1356.74</v>
      </c>
      <c r="AE7" s="35">
        <f t="shared" si="1"/>
        <v>1169.3399999999999</v>
      </c>
      <c r="AF7" s="35">
        <f t="shared" si="1"/>
        <v>1026.94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0.6875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33.4</v>
      </c>
      <c r="C11" s="45">
        <v>33.4</v>
      </c>
      <c r="D11" s="45">
        <v>33.4</v>
      </c>
      <c r="E11" s="45">
        <v>33.4</v>
      </c>
      <c r="F11" s="45">
        <v>33.4</v>
      </c>
      <c r="G11" s="45">
        <v>32.9</v>
      </c>
      <c r="H11" s="45">
        <v>32.9</v>
      </c>
      <c r="I11" s="45">
        <v>32.9</v>
      </c>
      <c r="J11" s="45">
        <v>32.9</v>
      </c>
      <c r="K11" s="45">
        <v>32.9</v>
      </c>
      <c r="L11" s="45">
        <v>33.4</v>
      </c>
      <c r="M11" s="45">
        <v>33.4</v>
      </c>
      <c r="N11" s="45">
        <v>34.799999999999997</v>
      </c>
      <c r="O11" s="45">
        <v>34</v>
      </c>
      <c r="P11" s="45">
        <v>32.200000000000003</v>
      </c>
      <c r="Q11" s="45">
        <v>33.4</v>
      </c>
      <c r="R11" s="45">
        <v>32.9</v>
      </c>
      <c r="S11" s="45">
        <v>29.7</v>
      </c>
      <c r="T11" s="45">
        <v>29.7</v>
      </c>
      <c r="U11" s="45">
        <v>33.6</v>
      </c>
      <c r="V11" s="45">
        <v>33.6</v>
      </c>
      <c r="W11" s="45">
        <v>33.6</v>
      </c>
      <c r="X11" s="45">
        <v>33.6</v>
      </c>
      <c r="Y11" s="45">
        <v>33.6</v>
      </c>
      <c r="Z11" s="45">
        <v>32</v>
      </c>
      <c r="AA11" s="45">
        <v>32</v>
      </c>
      <c r="AB11" s="45">
        <v>32</v>
      </c>
      <c r="AC11" s="45">
        <v>32</v>
      </c>
      <c r="AD11" s="45">
        <v>37.5</v>
      </c>
      <c r="AE11" s="45">
        <v>37.5</v>
      </c>
      <c r="AF11" s="45">
        <v>37.5</v>
      </c>
      <c r="AG11" s="46">
        <v>86</v>
      </c>
      <c r="AH11" s="47">
        <f t="shared" ref="AH11:AH84" si="2">MAX(B11:AF11)</f>
        <v>37.5</v>
      </c>
      <c r="AI11" s="48">
        <f t="shared" ref="AI11:AI84" si="3">MIN(B11:AF11)</f>
        <v>29.7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10.5</v>
      </c>
      <c r="C12" s="45">
        <v>10.5</v>
      </c>
      <c r="D12" s="45">
        <v>10.5</v>
      </c>
      <c r="E12" s="45">
        <v>10.5</v>
      </c>
      <c r="F12" s="45">
        <v>10.5</v>
      </c>
      <c r="G12" s="45">
        <v>10.5</v>
      </c>
      <c r="H12" s="45">
        <v>10.5</v>
      </c>
      <c r="I12" s="45">
        <v>10.5</v>
      </c>
      <c r="J12" s="45">
        <v>10.5</v>
      </c>
      <c r="K12" s="45">
        <v>10.5</v>
      </c>
      <c r="L12" s="45">
        <v>10.5</v>
      </c>
      <c r="M12" s="45">
        <v>10.5</v>
      </c>
      <c r="N12" s="45">
        <v>10.5</v>
      </c>
      <c r="O12" s="45">
        <v>10.5</v>
      </c>
      <c r="P12" s="45">
        <v>10.5</v>
      </c>
      <c r="Q12" s="45">
        <v>10.5</v>
      </c>
      <c r="R12" s="45">
        <v>10.5</v>
      </c>
      <c r="S12" s="45">
        <v>10.5</v>
      </c>
      <c r="T12" s="45">
        <v>10.5</v>
      </c>
      <c r="U12" s="45">
        <v>10.5</v>
      </c>
      <c r="V12" s="45">
        <v>10.5</v>
      </c>
      <c r="W12" s="45">
        <v>10.5</v>
      </c>
      <c r="X12" s="45">
        <v>11.5</v>
      </c>
      <c r="Y12" s="45">
        <v>11.5</v>
      </c>
      <c r="Z12" s="45">
        <v>11.5</v>
      </c>
      <c r="AA12" s="45">
        <v>11.5</v>
      </c>
      <c r="AB12" s="45">
        <v>11.5</v>
      </c>
      <c r="AC12" s="45">
        <v>11.5</v>
      </c>
      <c r="AD12" s="45">
        <v>11.5</v>
      </c>
      <c r="AE12" s="45">
        <v>11.5</v>
      </c>
      <c r="AF12" s="45">
        <v>11.5</v>
      </c>
      <c r="AG12" s="49">
        <v>54</v>
      </c>
      <c r="AH12" s="47">
        <f t="shared" si="2"/>
        <v>11.5</v>
      </c>
      <c r="AI12" s="48">
        <f t="shared" si="3"/>
        <v>10.5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</v>
      </c>
      <c r="C13" s="45">
        <v>15</v>
      </c>
      <c r="D13" s="45">
        <v>15</v>
      </c>
      <c r="E13" s="45">
        <v>15</v>
      </c>
      <c r="F13" s="45">
        <v>15</v>
      </c>
      <c r="G13" s="45">
        <v>15</v>
      </c>
      <c r="H13" s="45">
        <v>15</v>
      </c>
      <c r="I13" s="45">
        <v>15</v>
      </c>
      <c r="J13" s="45">
        <v>15</v>
      </c>
      <c r="K13" s="45">
        <v>15</v>
      </c>
      <c r="L13" s="45">
        <v>15</v>
      </c>
      <c r="M13" s="45">
        <v>15</v>
      </c>
      <c r="N13" s="45">
        <v>15</v>
      </c>
      <c r="O13" s="45">
        <v>15</v>
      </c>
      <c r="P13" s="45">
        <v>15</v>
      </c>
      <c r="Q13" s="45">
        <v>15</v>
      </c>
      <c r="R13" s="45">
        <v>15</v>
      </c>
      <c r="S13" s="45">
        <v>15</v>
      </c>
      <c r="T13" s="45">
        <v>15</v>
      </c>
      <c r="U13" s="45">
        <v>15</v>
      </c>
      <c r="V13" s="45">
        <v>15</v>
      </c>
      <c r="W13" s="45">
        <v>15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16.5</v>
      </c>
      <c r="C14" s="45">
        <v>16.5</v>
      </c>
      <c r="D14" s="45">
        <v>16.5</v>
      </c>
      <c r="E14" s="45">
        <v>16.5</v>
      </c>
      <c r="F14" s="45">
        <v>16.5</v>
      </c>
      <c r="G14" s="45">
        <v>18.100000000000001</v>
      </c>
      <c r="H14" s="45">
        <v>18.100000000000001</v>
      </c>
      <c r="I14" s="45">
        <v>18.100000000000001</v>
      </c>
      <c r="J14" s="45">
        <v>18.100000000000001</v>
      </c>
      <c r="K14" s="45">
        <v>18.100000000000001</v>
      </c>
      <c r="L14" s="45">
        <v>18.100000000000001</v>
      </c>
      <c r="M14" s="45">
        <v>18.100000000000001</v>
      </c>
      <c r="N14" s="45">
        <v>18.100000000000001</v>
      </c>
      <c r="O14" s="45">
        <v>18.100000000000001</v>
      </c>
      <c r="P14" s="45">
        <v>15.5</v>
      </c>
      <c r="Q14" s="45">
        <v>15.5</v>
      </c>
      <c r="R14" s="45">
        <v>15.5</v>
      </c>
      <c r="S14" s="45">
        <v>17</v>
      </c>
      <c r="T14" s="45">
        <v>17</v>
      </c>
      <c r="U14" s="45">
        <v>17</v>
      </c>
      <c r="V14" s="45">
        <v>17</v>
      </c>
      <c r="W14" s="45">
        <v>17</v>
      </c>
      <c r="X14" s="45">
        <v>16.100000000000001</v>
      </c>
      <c r="Y14" s="45">
        <v>16.100000000000001</v>
      </c>
      <c r="Z14" s="45">
        <v>16.100000000000001</v>
      </c>
      <c r="AA14" s="45">
        <v>16.100000000000001</v>
      </c>
      <c r="AB14" s="45">
        <v>16.100000000000001</v>
      </c>
      <c r="AC14" s="45">
        <v>16.100000000000001</v>
      </c>
      <c r="AD14" s="45">
        <v>16.100000000000001</v>
      </c>
      <c r="AE14" s="45">
        <v>16.100000000000001</v>
      </c>
      <c r="AF14" s="45">
        <v>16.100000000000001</v>
      </c>
      <c r="AG14" s="46">
        <v>52.4</v>
      </c>
      <c r="AH14" s="47">
        <f t="shared" si="2"/>
        <v>18.100000000000001</v>
      </c>
      <c r="AI14" s="48">
        <f t="shared" si="3"/>
        <v>15.5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37</v>
      </c>
      <c r="C15" s="45">
        <v>37</v>
      </c>
      <c r="D15" s="45">
        <v>37</v>
      </c>
      <c r="E15" s="45">
        <v>37</v>
      </c>
      <c r="F15" s="45">
        <v>37</v>
      </c>
      <c r="G15" s="45">
        <v>36.9</v>
      </c>
      <c r="H15" s="45">
        <v>36.9</v>
      </c>
      <c r="I15" s="45">
        <v>36.9</v>
      </c>
      <c r="J15" s="45">
        <v>36.9</v>
      </c>
      <c r="K15" s="45">
        <v>36.9</v>
      </c>
      <c r="L15" s="45">
        <v>36.9</v>
      </c>
      <c r="M15" s="45">
        <v>36.9</v>
      </c>
      <c r="N15" s="45">
        <v>36.9</v>
      </c>
      <c r="O15" s="45">
        <v>36.9</v>
      </c>
      <c r="P15" s="45">
        <v>36.9</v>
      </c>
      <c r="Q15" s="45">
        <v>36.9</v>
      </c>
      <c r="R15" s="45">
        <v>36.9</v>
      </c>
      <c r="S15" s="51">
        <v>36.700000000000003</v>
      </c>
      <c r="T15" s="51">
        <v>36.700000000000003</v>
      </c>
      <c r="U15" s="51">
        <v>36.799999999999997</v>
      </c>
      <c r="V15" s="51">
        <v>36.799999999999997</v>
      </c>
      <c r="W15" s="51">
        <v>36.799999999999997</v>
      </c>
      <c r="X15" s="51">
        <v>41.4</v>
      </c>
      <c r="Y15" s="51">
        <v>41.4</v>
      </c>
      <c r="Z15" s="51">
        <v>41.4</v>
      </c>
      <c r="AA15" s="51">
        <v>41.4</v>
      </c>
      <c r="AB15" s="51">
        <v>41.4</v>
      </c>
      <c r="AC15" s="51">
        <v>41.4</v>
      </c>
      <c r="AD15" s="51">
        <v>41.4</v>
      </c>
      <c r="AE15" s="51">
        <v>41.4</v>
      </c>
      <c r="AF15" s="51">
        <v>41.4</v>
      </c>
      <c r="AG15" s="49">
        <v>50</v>
      </c>
      <c r="AH15" s="47">
        <f t="shared" si="2"/>
        <v>41.4</v>
      </c>
      <c r="AI15" s="48">
        <f t="shared" si="3"/>
        <v>36.700000000000003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20.8</v>
      </c>
      <c r="C16" s="45">
        <v>20.8</v>
      </c>
      <c r="D16" s="45">
        <v>20.8</v>
      </c>
      <c r="E16" s="45">
        <v>20.8</v>
      </c>
      <c r="F16" s="45">
        <v>20.8</v>
      </c>
      <c r="G16" s="45">
        <v>19.3</v>
      </c>
      <c r="H16" s="45">
        <v>19.3</v>
      </c>
      <c r="I16" s="45">
        <v>19.3</v>
      </c>
      <c r="J16" s="45">
        <v>19.3</v>
      </c>
      <c r="K16" s="45">
        <v>19.3</v>
      </c>
      <c r="L16" s="45">
        <v>19.3</v>
      </c>
      <c r="M16" s="45">
        <v>19.3</v>
      </c>
      <c r="N16" s="45">
        <v>19.3</v>
      </c>
      <c r="O16" s="45">
        <v>19.3</v>
      </c>
      <c r="P16" s="45">
        <v>19.3</v>
      </c>
      <c r="Q16" s="45">
        <v>19.3</v>
      </c>
      <c r="R16" s="45">
        <v>19.3</v>
      </c>
      <c r="S16" s="45">
        <v>17.899999999999999</v>
      </c>
      <c r="T16" s="45">
        <v>17.899999999999999</v>
      </c>
      <c r="U16" s="45">
        <v>17.899999999999999</v>
      </c>
      <c r="V16" s="45">
        <v>17.899999999999999</v>
      </c>
      <c r="W16" s="45">
        <v>17.899999999999999</v>
      </c>
      <c r="X16" s="45">
        <v>21.2</v>
      </c>
      <c r="Y16" s="45">
        <v>21.2</v>
      </c>
      <c r="Z16" s="45">
        <v>21.2</v>
      </c>
      <c r="AA16" s="45">
        <v>21.2</v>
      </c>
      <c r="AB16" s="45">
        <v>21.2</v>
      </c>
      <c r="AC16" s="45">
        <v>21.2</v>
      </c>
      <c r="AD16" s="45">
        <v>21.2</v>
      </c>
      <c r="AE16" s="45">
        <v>21.2</v>
      </c>
      <c r="AF16" s="45">
        <v>21.2</v>
      </c>
      <c r="AG16" s="49">
        <v>45</v>
      </c>
      <c r="AH16" s="47">
        <f t="shared" si="2"/>
        <v>21.2</v>
      </c>
      <c r="AI16" s="48">
        <f t="shared" si="3"/>
        <v>17.899999999999999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9.8000000000000007</v>
      </c>
      <c r="C18" s="45">
        <v>9.8000000000000007</v>
      </c>
      <c r="D18" s="45">
        <v>9.8000000000000007</v>
      </c>
      <c r="E18" s="45">
        <v>9.8000000000000007</v>
      </c>
      <c r="F18" s="45">
        <v>9.8000000000000007</v>
      </c>
      <c r="G18" s="45">
        <v>10</v>
      </c>
      <c r="H18" s="45">
        <v>10</v>
      </c>
      <c r="I18" s="45">
        <v>10</v>
      </c>
      <c r="J18" s="45">
        <v>10</v>
      </c>
      <c r="K18" s="45">
        <v>10</v>
      </c>
      <c r="L18" s="45">
        <v>10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9</v>
      </c>
      <c r="T18" s="45">
        <v>9</v>
      </c>
      <c r="U18" s="45">
        <v>9</v>
      </c>
      <c r="V18" s="45">
        <v>9</v>
      </c>
      <c r="W18" s="45">
        <v>9</v>
      </c>
      <c r="X18" s="45">
        <v>9</v>
      </c>
      <c r="Y18" s="45">
        <v>9</v>
      </c>
      <c r="Z18" s="45">
        <v>9</v>
      </c>
      <c r="AA18" s="45">
        <v>9</v>
      </c>
      <c r="AB18" s="45">
        <v>10.5</v>
      </c>
      <c r="AC18" s="45">
        <v>10.5</v>
      </c>
      <c r="AD18" s="45">
        <v>10.5</v>
      </c>
      <c r="AE18" s="45">
        <v>10.5</v>
      </c>
      <c r="AF18" s="45">
        <v>10.5</v>
      </c>
      <c r="AG18" s="49">
        <v>42</v>
      </c>
      <c r="AH18" s="47">
        <f t="shared" si="2"/>
        <v>10.5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10.3</v>
      </c>
      <c r="C22" s="45">
        <v>10.3</v>
      </c>
      <c r="D22" s="45">
        <v>10.3</v>
      </c>
      <c r="E22" s="45">
        <v>10.3</v>
      </c>
      <c r="F22" s="45">
        <v>10.3</v>
      </c>
      <c r="G22" s="45">
        <v>10.3</v>
      </c>
      <c r="H22" s="45">
        <v>10.3</v>
      </c>
      <c r="I22" s="45">
        <v>10.3</v>
      </c>
      <c r="J22" s="45">
        <v>10.3</v>
      </c>
      <c r="K22" s="45">
        <v>10.3</v>
      </c>
      <c r="L22" s="45">
        <v>10.3</v>
      </c>
      <c r="M22" s="45">
        <v>10.3</v>
      </c>
      <c r="N22" s="45">
        <v>10.3</v>
      </c>
      <c r="O22" s="45">
        <v>10.3</v>
      </c>
      <c r="P22" s="45">
        <v>10.3</v>
      </c>
      <c r="Q22" s="45">
        <v>10.3</v>
      </c>
      <c r="R22" s="45">
        <v>10.3</v>
      </c>
      <c r="S22" s="45">
        <v>9.9</v>
      </c>
      <c r="T22" s="45">
        <v>9.9</v>
      </c>
      <c r="U22" s="45">
        <v>9.9</v>
      </c>
      <c r="V22" s="45">
        <v>9.9</v>
      </c>
      <c r="W22" s="45">
        <v>9.9</v>
      </c>
      <c r="X22" s="45">
        <v>9.9</v>
      </c>
      <c r="Y22" s="45">
        <v>9.9</v>
      </c>
      <c r="Z22" s="45">
        <v>9.9</v>
      </c>
      <c r="AA22" s="45">
        <v>9.9</v>
      </c>
      <c r="AB22" s="45">
        <v>9.9</v>
      </c>
      <c r="AC22" s="45">
        <v>9.9</v>
      </c>
      <c r="AD22" s="45">
        <v>9.9</v>
      </c>
      <c r="AE22" s="45">
        <v>9.9</v>
      </c>
      <c r="AF22" s="45">
        <v>9.9</v>
      </c>
      <c r="AG22" s="52">
        <v>30</v>
      </c>
      <c r="AH22" s="47">
        <f t="shared" si="2"/>
        <v>10.3</v>
      </c>
      <c r="AI22" s="48">
        <f t="shared" si="3"/>
        <v>9.9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10.8</v>
      </c>
      <c r="C24" s="45">
        <v>10.8</v>
      </c>
      <c r="D24" s="45">
        <v>10.8</v>
      </c>
      <c r="E24" s="45">
        <v>10.8</v>
      </c>
      <c r="F24" s="45">
        <v>10.8</v>
      </c>
      <c r="G24" s="45">
        <v>10.8</v>
      </c>
      <c r="H24" s="45">
        <v>10.8</v>
      </c>
      <c r="I24" s="45">
        <v>10.8</v>
      </c>
      <c r="J24" s="45">
        <v>10.8</v>
      </c>
      <c r="K24" s="45">
        <v>10.8</v>
      </c>
      <c r="L24" s="45">
        <v>10.8</v>
      </c>
      <c r="M24" s="45">
        <v>10.8</v>
      </c>
      <c r="N24" s="45">
        <v>10.8</v>
      </c>
      <c r="O24" s="45">
        <v>10.8</v>
      </c>
      <c r="P24" s="45">
        <v>10.8</v>
      </c>
      <c r="Q24" s="45">
        <v>10.8</v>
      </c>
      <c r="R24" s="45">
        <v>10.8</v>
      </c>
      <c r="S24" s="45">
        <v>10.6</v>
      </c>
      <c r="T24" s="45">
        <v>10.6</v>
      </c>
      <c r="U24" s="45">
        <v>10.6</v>
      </c>
      <c r="V24" s="45">
        <v>10.6</v>
      </c>
      <c r="W24" s="45">
        <v>10.6</v>
      </c>
      <c r="X24" s="45">
        <v>10.6</v>
      </c>
      <c r="Y24" s="45">
        <v>10.6</v>
      </c>
      <c r="Z24" s="45">
        <v>10.6</v>
      </c>
      <c r="AA24" s="45">
        <v>10.6</v>
      </c>
      <c r="AB24" s="45">
        <v>10.6</v>
      </c>
      <c r="AC24" s="45">
        <v>10.6</v>
      </c>
      <c r="AD24" s="45">
        <v>10.6</v>
      </c>
      <c r="AE24" s="45">
        <v>10.6</v>
      </c>
      <c r="AF24" s="45">
        <v>10.6</v>
      </c>
      <c r="AG24" s="49">
        <v>28</v>
      </c>
      <c r="AH24" s="47">
        <f t="shared" si="2"/>
        <v>10.8</v>
      </c>
      <c r="AI24" s="48">
        <f t="shared" si="3"/>
        <v>10.6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8.9</v>
      </c>
      <c r="C25" s="45">
        <v>8.9</v>
      </c>
      <c r="D25" s="45">
        <v>8.9</v>
      </c>
      <c r="E25" s="45">
        <v>8.9</v>
      </c>
      <c r="F25" s="45">
        <v>8.9</v>
      </c>
      <c r="G25" s="45">
        <v>8.9</v>
      </c>
      <c r="H25" s="45">
        <v>8.9</v>
      </c>
      <c r="I25" s="45">
        <v>8.9</v>
      </c>
      <c r="J25" s="45">
        <v>8.9</v>
      </c>
      <c r="K25" s="45">
        <v>8.9</v>
      </c>
      <c r="L25" s="45">
        <v>8.9</v>
      </c>
      <c r="M25" s="45">
        <v>8.9</v>
      </c>
      <c r="N25" s="45">
        <v>8.9</v>
      </c>
      <c r="O25" s="45">
        <v>8.9</v>
      </c>
      <c r="P25" s="45">
        <v>8.9</v>
      </c>
      <c r="Q25" s="45">
        <v>8.9</v>
      </c>
      <c r="R25" s="45">
        <v>8.9</v>
      </c>
      <c r="S25" s="45">
        <v>8.4</v>
      </c>
      <c r="T25" s="45">
        <v>8.4</v>
      </c>
      <c r="U25" s="45">
        <v>8.4</v>
      </c>
      <c r="V25" s="45">
        <v>8.4</v>
      </c>
      <c r="W25" s="45">
        <v>8.4</v>
      </c>
      <c r="X25" s="45">
        <v>8.4</v>
      </c>
      <c r="Y25" s="45">
        <v>8.4</v>
      </c>
      <c r="Z25" s="45">
        <v>8.4</v>
      </c>
      <c r="AA25" s="45">
        <v>8.4</v>
      </c>
      <c r="AB25" s="45">
        <v>8.4</v>
      </c>
      <c r="AC25" s="45">
        <v>8.4</v>
      </c>
      <c r="AD25" s="45">
        <v>8.4</v>
      </c>
      <c r="AE25" s="45">
        <v>8.4</v>
      </c>
      <c r="AF25" s="45">
        <v>8.4</v>
      </c>
      <c r="AG25" s="52">
        <v>30</v>
      </c>
      <c r="AH25" s="47">
        <f t="shared" si="2"/>
        <v>8.9</v>
      </c>
      <c r="AI25" s="48">
        <f t="shared" si="3"/>
        <v>8.4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10.7</v>
      </c>
      <c r="C26" s="45">
        <v>10.7</v>
      </c>
      <c r="D26" s="45">
        <v>10.7</v>
      </c>
      <c r="E26" s="45">
        <v>10.7</v>
      </c>
      <c r="F26" s="45">
        <v>10.7</v>
      </c>
      <c r="G26" s="45">
        <v>10.5</v>
      </c>
      <c r="H26" s="45">
        <v>10.5</v>
      </c>
      <c r="I26" s="45">
        <v>10.5</v>
      </c>
      <c r="J26" s="45">
        <v>10.5</v>
      </c>
      <c r="K26" s="45">
        <v>10.5</v>
      </c>
      <c r="L26" s="45">
        <v>10.5</v>
      </c>
      <c r="M26" s="45">
        <v>10.5</v>
      </c>
      <c r="N26" s="45">
        <v>10.5</v>
      </c>
      <c r="O26" s="45">
        <v>10.5</v>
      </c>
      <c r="P26" s="45">
        <v>10.5</v>
      </c>
      <c r="Q26" s="45">
        <v>10.5</v>
      </c>
      <c r="R26" s="45">
        <v>10.5</v>
      </c>
      <c r="S26" s="45">
        <v>10.5</v>
      </c>
      <c r="T26" s="45">
        <v>10.5</v>
      </c>
      <c r="U26" s="45">
        <v>10.5</v>
      </c>
      <c r="V26" s="45">
        <v>10.5</v>
      </c>
      <c r="W26" s="45">
        <v>10.5</v>
      </c>
      <c r="X26" s="45">
        <v>10.5</v>
      </c>
      <c r="Y26" s="45">
        <v>10.5</v>
      </c>
      <c r="Z26" s="45">
        <v>10.5</v>
      </c>
      <c r="AA26" s="45">
        <v>10.5</v>
      </c>
      <c r="AB26" s="45">
        <v>10.5</v>
      </c>
      <c r="AC26" s="45">
        <v>10.5</v>
      </c>
      <c r="AD26" s="45">
        <v>10.5</v>
      </c>
      <c r="AE26" s="45">
        <v>10.5</v>
      </c>
      <c r="AF26" s="45">
        <v>10.5</v>
      </c>
      <c r="AG26" s="49">
        <v>25</v>
      </c>
      <c r="AH26" s="47">
        <f t="shared" si="2"/>
        <v>10.7</v>
      </c>
      <c r="AI26" s="48">
        <f t="shared" si="3"/>
        <v>10.5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10.1</v>
      </c>
      <c r="C29" s="45">
        <v>10.1</v>
      </c>
      <c r="D29" s="45">
        <v>10.1</v>
      </c>
      <c r="E29" s="45">
        <v>10.1</v>
      </c>
      <c r="F29" s="45">
        <v>10.1</v>
      </c>
      <c r="G29" s="45">
        <v>10.1</v>
      </c>
      <c r="H29" s="45">
        <v>10.1</v>
      </c>
      <c r="I29" s="45">
        <v>10.1</v>
      </c>
      <c r="J29" s="45">
        <v>10.1</v>
      </c>
      <c r="K29" s="45">
        <v>10.1</v>
      </c>
      <c r="L29" s="45">
        <v>10.1</v>
      </c>
      <c r="M29" s="45">
        <v>10.1</v>
      </c>
      <c r="N29" s="45">
        <v>10.1</v>
      </c>
      <c r="O29" s="45">
        <v>10.1</v>
      </c>
      <c r="P29" s="45">
        <v>10.1</v>
      </c>
      <c r="Q29" s="45">
        <v>10.1</v>
      </c>
      <c r="R29" s="45">
        <v>10.1</v>
      </c>
      <c r="S29" s="45">
        <v>10.1</v>
      </c>
      <c r="T29" s="45">
        <v>10.1</v>
      </c>
      <c r="U29" s="45">
        <v>10.1</v>
      </c>
      <c r="V29" s="45">
        <v>10.1</v>
      </c>
      <c r="W29" s="45">
        <v>10.1</v>
      </c>
      <c r="X29" s="45">
        <v>10.1</v>
      </c>
      <c r="Y29" s="45">
        <v>10.1</v>
      </c>
      <c r="Z29" s="45">
        <v>10.1</v>
      </c>
      <c r="AA29" s="45">
        <v>10.1</v>
      </c>
      <c r="AB29" s="45">
        <v>10.1</v>
      </c>
      <c r="AC29" s="45">
        <v>10.1</v>
      </c>
      <c r="AD29" s="45">
        <v>10.1</v>
      </c>
      <c r="AE29" s="45">
        <v>10.1</v>
      </c>
      <c r="AF29" s="45">
        <v>10.1</v>
      </c>
      <c r="AG29" s="49">
        <v>25</v>
      </c>
      <c r="AH29" s="47">
        <f t="shared" si="2"/>
        <v>10.1</v>
      </c>
      <c r="AI29" s="48">
        <f t="shared" si="3"/>
        <v>10.1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10.4</v>
      </c>
      <c r="C30" s="45">
        <v>10.4</v>
      </c>
      <c r="D30" s="45">
        <v>10.4</v>
      </c>
      <c r="E30" s="45">
        <v>10.4</v>
      </c>
      <c r="F30" s="45">
        <v>10.4</v>
      </c>
      <c r="G30" s="45">
        <v>10.4</v>
      </c>
      <c r="H30" s="45">
        <v>10.4</v>
      </c>
      <c r="I30" s="45">
        <v>10.4</v>
      </c>
      <c r="J30" s="45">
        <v>10.4</v>
      </c>
      <c r="K30" s="45">
        <v>10.4</v>
      </c>
      <c r="L30" s="45">
        <v>10.4</v>
      </c>
      <c r="M30" s="45">
        <v>10.4</v>
      </c>
      <c r="N30" s="45">
        <v>10.4</v>
      </c>
      <c r="O30" s="45">
        <v>10.4</v>
      </c>
      <c r="P30" s="45">
        <v>10.4</v>
      </c>
      <c r="Q30" s="45">
        <v>10.4</v>
      </c>
      <c r="R30" s="45">
        <v>10.4</v>
      </c>
      <c r="S30" s="45">
        <v>10.4</v>
      </c>
      <c r="T30" s="45">
        <v>10.4</v>
      </c>
      <c r="U30" s="45">
        <v>10.4</v>
      </c>
      <c r="V30" s="45">
        <v>10.4</v>
      </c>
      <c r="W30" s="45">
        <v>10.4</v>
      </c>
      <c r="X30" s="45">
        <v>10.4</v>
      </c>
      <c r="Y30" s="45">
        <v>10.4</v>
      </c>
      <c r="Z30" s="45">
        <v>10.4</v>
      </c>
      <c r="AA30" s="45">
        <v>10.4</v>
      </c>
      <c r="AB30" s="45">
        <v>10.4</v>
      </c>
      <c r="AC30" s="45">
        <v>10.4</v>
      </c>
      <c r="AD30" s="45">
        <v>10.1</v>
      </c>
      <c r="AE30" s="45">
        <v>10.1</v>
      </c>
      <c r="AF30" s="45">
        <v>10.1</v>
      </c>
      <c r="AG30" s="49">
        <v>23.5</v>
      </c>
      <c r="AH30" s="47">
        <f t="shared" si="2"/>
        <v>10.4</v>
      </c>
      <c r="AI30" s="48">
        <f t="shared" si="3"/>
        <v>10.1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10.199999999999999</v>
      </c>
      <c r="C34" s="45">
        <v>10.199999999999999</v>
      </c>
      <c r="D34" s="45">
        <v>10.199999999999999</v>
      </c>
      <c r="E34" s="45">
        <v>10.199999999999999</v>
      </c>
      <c r="F34" s="45">
        <v>10.199999999999999</v>
      </c>
      <c r="G34" s="45">
        <v>10.199999999999999</v>
      </c>
      <c r="H34" s="45">
        <v>10.199999999999999</v>
      </c>
      <c r="I34" s="45">
        <v>10.199999999999999</v>
      </c>
      <c r="J34" s="45">
        <v>10.199999999999999</v>
      </c>
      <c r="K34" s="45">
        <v>10.199999999999999</v>
      </c>
      <c r="L34" s="45">
        <v>10.199999999999999</v>
      </c>
      <c r="M34" s="45">
        <v>10.199999999999999</v>
      </c>
      <c r="N34" s="45">
        <v>10.199999999999999</v>
      </c>
      <c r="O34" s="45">
        <v>10.199999999999999</v>
      </c>
      <c r="P34" s="45">
        <v>10.199999999999999</v>
      </c>
      <c r="Q34" s="45">
        <v>10.199999999999999</v>
      </c>
      <c r="R34" s="45">
        <v>10.199999999999999</v>
      </c>
      <c r="S34" s="45">
        <v>10.199999999999999</v>
      </c>
      <c r="T34" s="45">
        <v>10.199999999999999</v>
      </c>
      <c r="U34" s="45">
        <v>10.199999999999999</v>
      </c>
      <c r="V34" s="45">
        <v>10.199999999999999</v>
      </c>
      <c r="W34" s="45">
        <v>10.199999999999999</v>
      </c>
      <c r="X34" s="45">
        <v>10.199999999999999</v>
      </c>
      <c r="Y34" s="45">
        <v>10.199999999999999</v>
      </c>
      <c r="Z34" s="45">
        <v>10.199999999999999</v>
      </c>
      <c r="AA34" s="45">
        <v>10.199999999999999</v>
      </c>
      <c r="AB34" s="45">
        <v>10.199999999999999</v>
      </c>
      <c r="AC34" s="45">
        <v>10.199999999999999</v>
      </c>
      <c r="AD34" s="45">
        <v>10.199999999999999</v>
      </c>
      <c r="AE34" s="45">
        <v>10.199999999999999</v>
      </c>
      <c r="AF34" s="45">
        <v>10.199999999999999</v>
      </c>
      <c r="AG34" s="49">
        <v>22</v>
      </c>
      <c r="AH34" s="47">
        <f t="shared" si="2"/>
        <v>10.199999999999999</v>
      </c>
      <c r="AI34" s="48">
        <f t="shared" si="3"/>
        <v>10.199999999999999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>
        <v>31.1</v>
      </c>
      <c r="T57" s="51">
        <v>31.1</v>
      </c>
      <c r="U57" s="51">
        <v>27.5</v>
      </c>
      <c r="V57" s="51">
        <v>27.5</v>
      </c>
      <c r="W57" s="51">
        <v>24.7</v>
      </c>
      <c r="X57" s="57">
        <v>20.100000000000001</v>
      </c>
      <c r="Y57" s="57">
        <v>20.100000000000001</v>
      </c>
      <c r="Z57" s="57">
        <v>22.7</v>
      </c>
      <c r="AA57" s="57">
        <v>20.100000000000001</v>
      </c>
      <c r="AB57" s="57">
        <v>20.100000000000001</v>
      </c>
      <c r="AC57" s="57">
        <v>20.100000000000001</v>
      </c>
      <c r="AD57" s="57"/>
      <c r="AE57" s="57"/>
      <c r="AF57" s="57"/>
      <c r="AG57" s="55">
        <v>240</v>
      </c>
      <c r="AH57" s="47">
        <f t="shared" si="2"/>
        <v>31.1</v>
      </c>
      <c r="AI57" s="48">
        <f t="shared" si="3"/>
        <v>20.100000000000001</v>
      </c>
      <c r="AK57" s="50"/>
    </row>
    <row r="58" spans="1:88" ht="15.75" thickBot="1" x14ac:dyDescent="0.3">
      <c r="A58" s="59" t="s">
        <v>58</v>
      </c>
      <c r="B58" s="60">
        <f>SUM(B11:B56)</f>
        <v>582.70000000000005</v>
      </c>
      <c r="C58" s="60">
        <f t="shared" ref="C58:AF58" si="4">SUM(C11:C56)</f>
        <v>582.70000000000005</v>
      </c>
      <c r="D58" s="60">
        <f t="shared" si="4"/>
        <v>582.70000000000005</v>
      </c>
      <c r="E58" s="60">
        <f t="shared" si="4"/>
        <v>582.70000000000005</v>
      </c>
      <c r="F58" s="60">
        <f t="shared" si="4"/>
        <v>582.70000000000005</v>
      </c>
      <c r="G58" s="60">
        <f t="shared" si="4"/>
        <v>582.20000000000005</v>
      </c>
      <c r="H58" s="60">
        <f t="shared" si="4"/>
        <v>582.20000000000005</v>
      </c>
      <c r="I58" s="60">
        <f t="shared" si="4"/>
        <v>582.20000000000005</v>
      </c>
      <c r="J58" s="60">
        <f t="shared" si="4"/>
        <v>582.20000000000005</v>
      </c>
      <c r="K58" s="60">
        <f t="shared" si="4"/>
        <v>582.20000000000005</v>
      </c>
      <c r="L58" s="60">
        <f t="shared" si="4"/>
        <v>582.70000000000005</v>
      </c>
      <c r="M58" s="60">
        <f t="shared" si="4"/>
        <v>582.70000000000005</v>
      </c>
      <c r="N58" s="60">
        <f t="shared" si="4"/>
        <v>584.10000000000014</v>
      </c>
      <c r="O58" s="60">
        <f t="shared" si="4"/>
        <v>583.29999999999995</v>
      </c>
      <c r="P58" s="60">
        <f t="shared" si="4"/>
        <v>578.90000000000009</v>
      </c>
      <c r="Q58" s="60">
        <f t="shared" si="4"/>
        <v>580.1</v>
      </c>
      <c r="R58" s="60">
        <f t="shared" si="4"/>
        <v>579.6</v>
      </c>
      <c r="S58" s="60">
        <f t="shared" si="4"/>
        <v>574.20000000000005</v>
      </c>
      <c r="T58" s="60">
        <f t="shared" ref="T58" si="5">SUM(T11:T56)</f>
        <v>574.20000000000005</v>
      </c>
      <c r="U58" s="60">
        <f t="shared" si="4"/>
        <v>578.20000000000005</v>
      </c>
      <c r="V58" s="60">
        <f t="shared" ref="V58" si="6">SUM(V11:V56)</f>
        <v>578.20000000000005</v>
      </c>
      <c r="W58" s="60">
        <f t="shared" si="4"/>
        <v>578.20000000000005</v>
      </c>
      <c r="X58" s="60">
        <f>SUM(X11:X56)</f>
        <v>586.70000000000005</v>
      </c>
      <c r="Y58" s="60">
        <f t="shared" si="4"/>
        <v>586.70000000000005</v>
      </c>
      <c r="Z58" s="60">
        <f t="shared" ref="Z58" si="7">SUM(Z11:Z56)</f>
        <v>585.09999999999991</v>
      </c>
      <c r="AA58" s="60">
        <f t="shared" si="4"/>
        <v>585.09999999999991</v>
      </c>
      <c r="AB58" s="60">
        <f t="shared" si="4"/>
        <v>586.59999999999991</v>
      </c>
      <c r="AC58" s="60">
        <f t="shared" si="4"/>
        <v>586.59999999999991</v>
      </c>
      <c r="AD58" s="60">
        <f t="shared" si="4"/>
        <v>591.79999999999995</v>
      </c>
      <c r="AE58" s="60">
        <f t="shared" si="4"/>
        <v>591.79999999999995</v>
      </c>
      <c r="AF58" s="60">
        <f t="shared" si="4"/>
        <v>591.79999999999995</v>
      </c>
      <c r="AG58" s="61">
        <f>SUM(AG14:AG56)</f>
        <v>1042.4000000000001</v>
      </c>
      <c r="AH58" s="47">
        <f t="shared" si="2"/>
        <v>591.79999999999995</v>
      </c>
      <c r="AI58" s="48">
        <f t="shared" si="3"/>
        <v>574.20000000000005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15</v>
      </c>
      <c r="L59" s="45">
        <v>260</v>
      </c>
      <c r="M59" s="45">
        <v>320</v>
      </c>
      <c r="N59" s="63">
        <v>400</v>
      </c>
      <c r="O59" s="63">
        <v>280</v>
      </c>
      <c r="P59" s="63">
        <v>210</v>
      </c>
      <c r="Q59" s="63">
        <v>0</v>
      </c>
      <c r="R59" s="63">
        <v>0</v>
      </c>
      <c r="S59" s="45">
        <v>0</v>
      </c>
      <c r="T59" s="45">
        <v>0</v>
      </c>
      <c r="U59" s="45">
        <v>0</v>
      </c>
      <c r="V59" s="45">
        <v>0</v>
      </c>
      <c r="W59" s="45">
        <v>120</v>
      </c>
      <c r="X59" s="45">
        <v>265</v>
      </c>
      <c r="Y59" s="45">
        <v>215</v>
      </c>
      <c r="Z59" s="45">
        <v>220</v>
      </c>
      <c r="AA59" s="45">
        <v>200</v>
      </c>
      <c r="AB59" s="45">
        <v>180</v>
      </c>
      <c r="AC59" s="45">
        <v>180</v>
      </c>
      <c r="AD59" s="45">
        <v>150</v>
      </c>
      <c r="AE59" s="45">
        <v>60</v>
      </c>
      <c r="AF59" s="45">
        <v>15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</v>
      </c>
      <c r="C60" s="65">
        <v>34</v>
      </c>
      <c r="D60" s="65">
        <v>34</v>
      </c>
      <c r="E60" s="65">
        <v>34</v>
      </c>
      <c r="F60" s="65">
        <v>34</v>
      </c>
      <c r="G60" s="65">
        <v>34</v>
      </c>
      <c r="H60" s="65">
        <v>34</v>
      </c>
      <c r="I60" s="65">
        <v>34</v>
      </c>
      <c r="J60" s="65">
        <v>34</v>
      </c>
      <c r="K60" s="65">
        <v>34</v>
      </c>
      <c r="L60" s="65">
        <v>34</v>
      </c>
      <c r="M60" s="65">
        <v>34</v>
      </c>
      <c r="N60" s="65">
        <v>34</v>
      </c>
      <c r="O60" s="65">
        <v>34</v>
      </c>
      <c r="P60" s="65">
        <v>34</v>
      </c>
      <c r="Q60" s="65">
        <v>34</v>
      </c>
      <c r="R60" s="65">
        <v>34</v>
      </c>
      <c r="S60" s="65">
        <v>34</v>
      </c>
      <c r="T60" s="65">
        <v>34</v>
      </c>
      <c r="U60" s="65">
        <v>34</v>
      </c>
      <c r="V60" s="65">
        <v>34</v>
      </c>
      <c r="W60" s="65">
        <v>34</v>
      </c>
      <c r="X60" s="65">
        <v>34</v>
      </c>
      <c r="Y60" s="65">
        <v>34</v>
      </c>
      <c r="Z60" s="65">
        <v>34</v>
      </c>
      <c r="AA60" s="65">
        <v>34</v>
      </c>
      <c r="AB60" s="65">
        <v>34</v>
      </c>
      <c r="AC60" s="65">
        <v>34</v>
      </c>
      <c r="AD60" s="65">
        <v>34</v>
      </c>
      <c r="AE60" s="65">
        <v>34</v>
      </c>
      <c r="AF60" s="65">
        <v>34</v>
      </c>
      <c r="AG60" s="55">
        <v>60</v>
      </c>
      <c r="AH60" s="47">
        <f t="shared" si="2"/>
        <v>34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12.6</v>
      </c>
      <c r="C61" s="67">
        <v>12.6</v>
      </c>
      <c r="D61" s="67">
        <v>12.6</v>
      </c>
      <c r="E61" s="67">
        <v>12.6</v>
      </c>
      <c r="F61" s="67">
        <v>12.5</v>
      </c>
      <c r="G61" s="67">
        <v>12.7</v>
      </c>
      <c r="H61" s="67">
        <v>12.6</v>
      </c>
      <c r="I61" s="67">
        <v>12.6</v>
      </c>
      <c r="J61" s="67">
        <v>12.6</v>
      </c>
      <c r="K61" s="67">
        <v>12.6</v>
      </c>
      <c r="L61" s="67">
        <v>12.6</v>
      </c>
      <c r="M61" s="67">
        <v>12.6</v>
      </c>
      <c r="N61" s="67">
        <v>12.6</v>
      </c>
      <c r="O61" s="67">
        <v>12.7</v>
      </c>
      <c r="P61" s="67">
        <v>12.6</v>
      </c>
      <c r="Q61" s="67">
        <v>12.6</v>
      </c>
      <c r="R61" s="67">
        <v>12.6</v>
      </c>
      <c r="S61" s="67">
        <v>12.6</v>
      </c>
      <c r="T61" s="67">
        <v>12.6</v>
      </c>
      <c r="U61" s="67">
        <v>12.6</v>
      </c>
      <c r="V61" s="67">
        <v>12.6</v>
      </c>
      <c r="W61" s="67">
        <v>12.3</v>
      </c>
      <c r="X61" s="67">
        <v>12.3</v>
      </c>
      <c r="Y61" s="67">
        <v>12.3</v>
      </c>
      <c r="Z61" s="67">
        <v>12.3</v>
      </c>
      <c r="AA61" s="67">
        <v>12.6</v>
      </c>
      <c r="AB61" s="67">
        <v>14.1</v>
      </c>
      <c r="AC61" s="67">
        <v>14.1</v>
      </c>
      <c r="AD61" s="67">
        <v>14.1</v>
      </c>
      <c r="AE61" s="67">
        <v>14</v>
      </c>
      <c r="AF61" s="67">
        <v>14.1</v>
      </c>
      <c r="AG61" s="68">
        <v>22.1</v>
      </c>
      <c r="AH61" s="47">
        <f t="shared" si="2"/>
        <v>14.1</v>
      </c>
      <c r="AI61" s="48">
        <f t="shared" si="3"/>
        <v>12.3</v>
      </c>
      <c r="AK61" s="50"/>
    </row>
    <row r="62" spans="1:88" ht="15.75" thickBot="1" x14ac:dyDescent="0.3">
      <c r="A62" s="69" t="s">
        <v>62</v>
      </c>
      <c r="B62" s="60">
        <f t="shared" ref="B62:AG62" si="8">SUM(B59:B61)</f>
        <v>46.6</v>
      </c>
      <c r="C62" s="60">
        <f t="shared" si="8"/>
        <v>46.6</v>
      </c>
      <c r="D62" s="60">
        <f t="shared" si="8"/>
        <v>46.6</v>
      </c>
      <c r="E62" s="60">
        <f t="shared" si="8"/>
        <v>46.6</v>
      </c>
      <c r="F62" s="60">
        <f t="shared" si="8"/>
        <v>46.5</v>
      </c>
      <c r="G62" s="60">
        <f t="shared" si="8"/>
        <v>46.7</v>
      </c>
      <c r="H62" s="60">
        <f t="shared" si="8"/>
        <v>46.6</v>
      </c>
      <c r="I62" s="60">
        <f t="shared" si="8"/>
        <v>46.6</v>
      </c>
      <c r="J62" s="60">
        <f t="shared" si="8"/>
        <v>46.6</v>
      </c>
      <c r="K62" s="60">
        <f t="shared" si="8"/>
        <v>61.6</v>
      </c>
      <c r="L62" s="60">
        <f t="shared" si="8"/>
        <v>306.60000000000002</v>
      </c>
      <c r="M62" s="60">
        <f t="shared" si="8"/>
        <v>366.6</v>
      </c>
      <c r="N62" s="60">
        <f t="shared" si="8"/>
        <v>446.6</v>
      </c>
      <c r="O62" s="60">
        <f t="shared" si="8"/>
        <v>326.7</v>
      </c>
      <c r="P62" s="60">
        <f t="shared" si="8"/>
        <v>256.60000000000002</v>
      </c>
      <c r="Q62" s="60">
        <f t="shared" si="8"/>
        <v>46.6</v>
      </c>
      <c r="R62" s="60">
        <f t="shared" si="8"/>
        <v>46.6</v>
      </c>
      <c r="S62" s="60">
        <f t="shared" si="8"/>
        <v>46.6</v>
      </c>
      <c r="T62" s="60">
        <f t="shared" ref="T62" si="9">SUM(T59:T61)</f>
        <v>46.6</v>
      </c>
      <c r="U62" s="60">
        <f t="shared" si="8"/>
        <v>46.6</v>
      </c>
      <c r="V62" s="60">
        <f t="shared" ref="V62" si="10">SUM(V59:V61)</f>
        <v>46.6</v>
      </c>
      <c r="W62" s="60">
        <f t="shared" si="8"/>
        <v>166.3</v>
      </c>
      <c r="X62" s="60">
        <f>SUM(X59:X61)</f>
        <v>311.3</v>
      </c>
      <c r="Y62" s="60">
        <f t="shared" si="8"/>
        <v>261.3</v>
      </c>
      <c r="Z62" s="60">
        <f t="shared" ref="Z62" si="11">SUM(Z59:Z61)</f>
        <v>266.3</v>
      </c>
      <c r="AA62" s="60">
        <f t="shared" si="8"/>
        <v>246.6</v>
      </c>
      <c r="AB62" s="60">
        <f t="shared" si="8"/>
        <v>228.1</v>
      </c>
      <c r="AC62" s="60">
        <f t="shared" si="8"/>
        <v>228.1</v>
      </c>
      <c r="AD62" s="60">
        <f t="shared" si="8"/>
        <v>198.1</v>
      </c>
      <c r="AE62" s="60">
        <f t="shared" si="8"/>
        <v>108</v>
      </c>
      <c r="AF62" s="60">
        <f t="shared" si="8"/>
        <v>63.1</v>
      </c>
      <c r="AG62" s="61">
        <f t="shared" si="8"/>
        <v>538.1</v>
      </c>
      <c r="AH62" s="47">
        <f t="shared" si="2"/>
        <v>446.6</v>
      </c>
      <c r="AI62" s="48">
        <f t="shared" si="3"/>
        <v>46.5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49.3</v>
      </c>
      <c r="K63" s="45">
        <v>135</v>
      </c>
      <c r="L63" s="45">
        <v>145.80000000000001</v>
      </c>
      <c r="M63" s="45">
        <v>145.5</v>
      </c>
      <c r="N63" s="45">
        <v>145.5</v>
      </c>
      <c r="O63" s="45">
        <v>145.5</v>
      </c>
      <c r="P63" s="45">
        <v>145.5</v>
      </c>
      <c r="Q63" s="45">
        <v>141.9</v>
      </c>
      <c r="R63" s="45">
        <v>90</v>
      </c>
      <c r="S63" s="45">
        <v>81.599999999999994</v>
      </c>
      <c r="T63" s="45">
        <v>60.6</v>
      </c>
      <c r="U63" s="45">
        <v>61.5</v>
      </c>
      <c r="V63" s="45">
        <v>61</v>
      </c>
      <c r="W63" s="45">
        <v>60</v>
      </c>
      <c r="X63" s="45">
        <v>118.5</v>
      </c>
      <c r="Y63" s="45">
        <v>119.5</v>
      </c>
      <c r="Z63" s="45">
        <v>101</v>
      </c>
      <c r="AA63" s="45">
        <v>96.7</v>
      </c>
      <c r="AB63" s="45">
        <v>96.4</v>
      </c>
      <c r="AC63" s="45">
        <v>96.5</v>
      </c>
      <c r="AD63" s="45">
        <v>70.8</v>
      </c>
      <c r="AE63" s="45">
        <v>30.6</v>
      </c>
      <c r="AF63" s="45">
        <v>0</v>
      </c>
      <c r="AG63" s="52">
        <v>144</v>
      </c>
      <c r="AH63" s="47">
        <f t="shared" si="2"/>
        <v>145.80000000000001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22.1</v>
      </c>
      <c r="J64" s="65">
        <v>35</v>
      </c>
      <c r="K64" s="65">
        <v>34.799999999999997</v>
      </c>
      <c r="L64" s="65">
        <v>34.799999999999997</v>
      </c>
      <c r="M64" s="65">
        <v>69.2</v>
      </c>
      <c r="N64" s="65">
        <v>69.2</v>
      </c>
      <c r="O64" s="65">
        <v>69.2</v>
      </c>
      <c r="P64" s="65">
        <v>69.2</v>
      </c>
      <c r="Q64" s="65">
        <v>70.900000000000006</v>
      </c>
      <c r="R64" s="65">
        <v>45.2</v>
      </c>
      <c r="S64" s="45">
        <v>32.9</v>
      </c>
      <c r="T64" s="45">
        <v>32.9</v>
      </c>
      <c r="U64" s="45">
        <v>70</v>
      </c>
      <c r="V64" s="45">
        <v>70</v>
      </c>
      <c r="W64" s="45">
        <v>43.5</v>
      </c>
      <c r="X64" s="45">
        <v>60.5</v>
      </c>
      <c r="Y64" s="45">
        <v>50.6</v>
      </c>
      <c r="Z64" s="45">
        <v>52</v>
      </c>
      <c r="AA64" s="45">
        <v>52</v>
      </c>
      <c r="AB64" s="45">
        <v>50.9</v>
      </c>
      <c r="AC64" s="45">
        <v>60.5</v>
      </c>
      <c r="AD64" s="65">
        <v>24.9</v>
      </c>
      <c r="AE64" s="45">
        <v>24.3</v>
      </c>
      <c r="AF64" s="45">
        <v>0</v>
      </c>
      <c r="AG64" s="55">
        <v>70</v>
      </c>
      <c r="AH64" s="47">
        <f t="shared" si="2"/>
        <v>70.900000000000006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32.299999999999997</v>
      </c>
      <c r="I65" s="65">
        <v>32.700000000000003</v>
      </c>
      <c r="J65" s="65">
        <v>46</v>
      </c>
      <c r="K65" s="65">
        <v>54.3</v>
      </c>
      <c r="L65" s="65">
        <v>68.900000000000006</v>
      </c>
      <c r="M65" s="65">
        <v>67.599999999999994</v>
      </c>
      <c r="N65" s="65">
        <v>67.599999999999994</v>
      </c>
      <c r="O65" s="65">
        <v>67.599999999999994</v>
      </c>
      <c r="P65" s="65">
        <v>67.599999999999994</v>
      </c>
      <c r="Q65" s="65">
        <v>65.3</v>
      </c>
      <c r="R65" s="65">
        <v>36.299999999999997</v>
      </c>
      <c r="S65" s="45">
        <v>36.700000000000003</v>
      </c>
      <c r="T65" s="45">
        <v>36.700000000000003</v>
      </c>
      <c r="U65" s="45">
        <v>35</v>
      </c>
      <c r="V65" s="45">
        <v>45</v>
      </c>
      <c r="W65" s="45">
        <v>34.6</v>
      </c>
      <c r="X65" s="45">
        <v>67</v>
      </c>
      <c r="Y65" s="45">
        <v>67.099999999999994</v>
      </c>
      <c r="Z65" s="45">
        <v>61.9</v>
      </c>
      <c r="AA65" s="45">
        <v>61</v>
      </c>
      <c r="AB65" s="45">
        <v>60.4</v>
      </c>
      <c r="AC65" s="45">
        <v>60.6</v>
      </c>
      <c r="AD65" s="65">
        <v>63</v>
      </c>
      <c r="AE65" s="45">
        <v>21.3</v>
      </c>
      <c r="AF65" s="45">
        <v>0</v>
      </c>
      <c r="AG65" s="55">
        <v>69</v>
      </c>
      <c r="AH65" s="47">
        <f t="shared" si="2"/>
        <v>68.900000000000006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50.4</v>
      </c>
      <c r="C66" s="65">
        <v>50.4</v>
      </c>
      <c r="D66" s="65">
        <v>50.4</v>
      </c>
      <c r="E66" s="65">
        <v>48.1</v>
      </c>
      <c r="F66" s="65">
        <v>47.4</v>
      </c>
      <c r="G66" s="65">
        <v>45.1</v>
      </c>
      <c r="H66" s="65">
        <v>45.1</v>
      </c>
      <c r="I66" s="65">
        <v>48.4</v>
      </c>
      <c r="J66" s="65">
        <v>48.4</v>
      </c>
      <c r="K66" s="57">
        <v>47.4</v>
      </c>
      <c r="L66" s="57">
        <v>49.1</v>
      </c>
      <c r="M66" s="57">
        <v>49.1</v>
      </c>
      <c r="N66" s="57">
        <v>49.1</v>
      </c>
      <c r="O66" s="57">
        <v>49.1</v>
      </c>
      <c r="P66" s="57">
        <v>49.1</v>
      </c>
      <c r="Q66" s="65">
        <v>47.4</v>
      </c>
      <c r="R66" s="65">
        <v>47.4</v>
      </c>
      <c r="S66" s="45">
        <v>47.4</v>
      </c>
      <c r="T66" s="45">
        <v>41.1</v>
      </c>
      <c r="U66" s="45">
        <v>51.4</v>
      </c>
      <c r="V66" s="45">
        <v>51.4</v>
      </c>
      <c r="W66" s="45">
        <v>46.6</v>
      </c>
      <c r="X66" s="45">
        <v>43.9</v>
      </c>
      <c r="Y66" s="45">
        <v>43</v>
      </c>
      <c r="Z66" s="45">
        <v>44.3</v>
      </c>
      <c r="AA66" s="45">
        <v>44.999000000000002</v>
      </c>
      <c r="AB66" s="45">
        <v>50.4</v>
      </c>
      <c r="AC66" s="45">
        <v>47.8</v>
      </c>
      <c r="AD66" s="65">
        <v>47.9</v>
      </c>
      <c r="AE66" s="45">
        <v>47.9</v>
      </c>
      <c r="AF66" s="45">
        <v>47.6</v>
      </c>
      <c r="AG66" s="55">
        <v>60</v>
      </c>
      <c r="AH66" s="47">
        <f t="shared" si="2"/>
        <v>51.4</v>
      </c>
      <c r="AI66" s="48">
        <f t="shared" si="3"/>
        <v>41.1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10</v>
      </c>
      <c r="K67" s="57">
        <v>15</v>
      </c>
      <c r="L67" s="57">
        <v>10</v>
      </c>
      <c r="M67" s="57">
        <v>15</v>
      </c>
      <c r="N67" s="57">
        <v>15</v>
      </c>
      <c r="O67" s="57">
        <v>15</v>
      </c>
      <c r="P67" s="57">
        <v>15</v>
      </c>
      <c r="Q67" s="65">
        <v>15</v>
      </c>
      <c r="R67" s="65">
        <v>15</v>
      </c>
      <c r="S67" s="45">
        <v>15</v>
      </c>
      <c r="T67" s="45">
        <v>15</v>
      </c>
      <c r="U67" s="45">
        <v>15</v>
      </c>
      <c r="V67" s="45">
        <v>10</v>
      </c>
      <c r="W67" s="45">
        <v>10</v>
      </c>
      <c r="X67" s="45">
        <v>15</v>
      </c>
      <c r="Y67" s="45">
        <v>15</v>
      </c>
      <c r="Z67" s="45">
        <v>15</v>
      </c>
      <c r="AA67" s="45">
        <v>15</v>
      </c>
      <c r="AB67" s="45">
        <v>15</v>
      </c>
      <c r="AC67" s="45">
        <v>10</v>
      </c>
      <c r="AD67" s="65">
        <v>10</v>
      </c>
      <c r="AE67" s="45">
        <v>10</v>
      </c>
      <c r="AF67" s="45">
        <v>10</v>
      </c>
      <c r="AG67" s="55">
        <v>30</v>
      </c>
      <c r="AH67" s="47">
        <f t="shared" si="2"/>
        <v>15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0.6</v>
      </c>
      <c r="N68" s="45">
        <v>1.2</v>
      </c>
      <c r="O68" s="45">
        <v>2.7</v>
      </c>
      <c r="P68" s="45">
        <v>4.9000000000000004</v>
      </c>
      <c r="Q68" s="65">
        <v>15.1</v>
      </c>
      <c r="R68" s="65">
        <v>14.2</v>
      </c>
      <c r="S68" s="45">
        <v>11.3</v>
      </c>
      <c r="T68" s="45">
        <v>11.3</v>
      </c>
      <c r="U68" s="45">
        <v>1.3</v>
      </c>
      <c r="V68" s="45">
        <v>1.3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65">
        <v>0</v>
      </c>
      <c r="AE68" s="45">
        <v>0</v>
      </c>
      <c r="AF68" s="45">
        <v>0</v>
      </c>
      <c r="AG68" s="55">
        <v>25</v>
      </c>
      <c r="AH68" s="47">
        <f t="shared" si="2"/>
        <v>15.1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9.6999999999999993</v>
      </c>
      <c r="C71" s="65">
        <v>9.6999999999999993</v>
      </c>
      <c r="D71" s="65">
        <v>9.6999999999999993</v>
      </c>
      <c r="E71" s="65">
        <v>9.6999999999999993</v>
      </c>
      <c r="F71" s="65">
        <v>9.6999999999999993</v>
      </c>
      <c r="G71" s="65">
        <v>9.6999999999999993</v>
      </c>
      <c r="H71" s="65">
        <v>9.6999999999999993</v>
      </c>
      <c r="I71" s="65">
        <v>9.6999999999999993</v>
      </c>
      <c r="J71" s="65">
        <v>9.6999999999999993</v>
      </c>
      <c r="K71" s="65">
        <v>9.6999999999999993</v>
      </c>
      <c r="L71" s="65">
        <v>9.6999999999999993</v>
      </c>
      <c r="M71" s="65">
        <v>9.6999999999999993</v>
      </c>
      <c r="N71" s="65">
        <v>9.6999999999999993</v>
      </c>
      <c r="O71" s="65">
        <v>9.6999999999999993</v>
      </c>
      <c r="P71" s="65">
        <v>9.6999999999999993</v>
      </c>
      <c r="Q71" s="65">
        <v>9.6999999999999993</v>
      </c>
      <c r="R71" s="65">
        <v>9.6999999999999993</v>
      </c>
      <c r="S71" s="65">
        <v>9.6999999999999993</v>
      </c>
      <c r="T71" s="65">
        <v>9.6999999999999993</v>
      </c>
      <c r="U71" s="65">
        <v>9.6999999999999993</v>
      </c>
      <c r="V71" s="65">
        <v>9.6999999999999993</v>
      </c>
      <c r="W71" s="65">
        <v>9.6999999999999993</v>
      </c>
      <c r="X71" s="65">
        <v>9.6999999999999993</v>
      </c>
      <c r="Y71" s="65">
        <v>9.6999999999999993</v>
      </c>
      <c r="Z71" s="65">
        <v>9.6999999999999993</v>
      </c>
      <c r="AA71" s="65">
        <v>9.6999999999999993</v>
      </c>
      <c r="AB71" s="65">
        <v>9.6999999999999993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9.9</v>
      </c>
      <c r="AI71" s="48">
        <f t="shared" si="3"/>
        <v>9.6999999999999993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5.3</v>
      </c>
      <c r="C72" s="65">
        <v>5.3</v>
      </c>
      <c r="D72" s="65">
        <v>5.3</v>
      </c>
      <c r="E72" s="65">
        <v>5.3</v>
      </c>
      <c r="F72" s="65">
        <v>5.3</v>
      </c>
      <c r="G72" s="65">
        <v>5.3</v>
      </c>
      <c r="H72" s="65">
        <v>5.3</v>
      </c>
      <c r="I72" s="65">
        <v>5.3</v>
      </c>
      <c r="J72" s="65">
        <v>5.3</v>
      </c>
      <c r="K72" s="65">
        <v>5.3</v>
      </c>
      <c r="L72" s="65">
        <v>5.3</v>
      </c>
      <c r="M72" s="65">
        <v>5.3</v>
      </c>
      <c r="N72" s="65">
        <v>5.3</v>
      </c>
      <c r="O72" s="65">
        <v>5.3</v>
      </c>
      <c r="P72" s="65">
        <v>5.3</v>
      </c>
      <c r="Q72" s="65">
        <v>5.3</v>
      </c>
      <c r="R72" s="65">
        <v>5.3</v>
      </c>
      <c r="S72" s="65">
        <v>5.3</v>
      </c>
      <c r="T72" s="65">
        <v>5.3</v>
      </c>
      <c r="U72" s="65">
        <v>5.3</v>
      </c>
      <c r="V72" s="65">
        <v>5.3</v>
      </c>
      <c r="W72" s="65">
        <v>5.3</v>
      </c>
      <c r="X72" s="65">
        <v>5.3</v>
      </c>
      <c r="Y72" s="65">
        <v>5.3</v>
      </c>
      <c r="Z72" s="65">
        <v>5.3</v>
      </c>
      <c r="AA72" s="65">
        <v>5.3</v>
      </c>
      <c r="AB72" s="65">
        <v>5.3</v>
      </c>
      <c r="AC72" s="65">
        <v>5</v>
      </c>
      <c r="AD72" s="65">
        <v>5</v>
      </c>
      <c r="AE72" s="65">
        <v>5</v>
      </c>
      <c r="AF72" s="65">
        <v>5</v>
      </c>
      <c r="AG72" s="55">
        <v>14</v>
      </c>
      <c r="AH72" s="47">
        <f t="shared" si="2"/>
        <v>5.3</v>
      </c>
      <c r="AI72" s="48">
        <f t="shared" si="3"/>
        <v>5</v>
      </c>
      <c r="AK72" s="50"/>
    </row>
    <row r="73" spans="1:41" x14ac:dyDescent="0.25">
      <c r="A73" s="54" t="s">
        <v>73</v>
      </c>
      <c r="B73" s="65">
        <v>5.5</v>
      </c>
      <c r="C73" s="65">
        <v>5.5</v>
      </c>
      <c r="D73" s="65">
        <v>5.5</v>
      </c>
      <c r="E73" s="65">
        <v>5.5</v>
      </c>
      <c r="F73" s="65">
        <v>5.5</v>
      </c>
      <c r="G73" s="65">
        <v>5.5</v>
      </c>
      <c r="H73" s="65">
        <v>5.5</v>
      </c>
      <c r="I73" s="65">
        <v>5.5</v>
      </c>
      <c r="J73" s="65">
        <v>5.5</v>
      </c>
      <c r="K73" s="65">
        <v>5.5</v>
      </c>
      <c r="L73" s="65">
        <v>5.5</v>
      </c>
      <c r="M73" s="65">
        <v>5.5</v>
      </c>
      <c r="N73" s="65">
        <v>5.5</v>
      </c>
      <c r="O73" s="65">
        <v>5.5</v>
      </c>
      <c r="P73" s="65">
        <v>5.5</v>
      </c>
      <c r="Q73" s="65">
        <v>5.5</v>
      </c>
      <c r="R73" s="65">
        <v>5.5</v>
      </c>
      <c r="S73" s="65">
        <v>5.5</v>
      </c>
      <c r="T73" s="65">
        <v>5.5</v>
      </c>
      <c r="U73" s="65">
        <v>5.5</v>
      </c>
      <c r="V73" s="65">
        <v>5.5</v>
      </c>
      <c r="W73" s="65">
        <v>5.5</v>
      </c>
      <c r="X73" s="65">
        <v>5.5</v>
      </c>
      <c r="Y73" s="65">
        <v>5.5</v>
      </c>
      <c r="Z73" s="65">
        <v>5.5</v>
      </c>
      <c r="AA73" s="65">
        <v>5.5</v>
      </c>
      <c r="AB73" s="65">
        <v>5.5</v>
      </c>
      <c r="AC73" s="65">
        <v>5.5</v>
      </c>
      <c r="AD73" s="65">
        <v>5.5</v>
      </c>
      <c r="AE73" s="65">
        <v>5.5</v>
      </c>
      <c r="AF73" s="65">
        <v>5.5</v>
      </c>
      <c r="AG73" s="55">
        <v>10.050000000000001</v>
      </c>
      <c r="AH73" s="47">
        <f t="shared" si="2"/>
        <v>5.5</v>
      </c>
      <c r="AI73" s="48">
        <f t="shared" si="3"/>
        <v>5.5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AG76" si="12">SUM(B63:B75)</f>
        <v>96.940000000000012</v>
      </c>
      <c r="C76" s="60">
        <f t="shared" si="12"/>
        <v>96.940000000000012</v>
      </c>
      <c r="D76" s="60">
        <f t="shared" si="12"/>
        <v>96.940000000000012</v>
      </c>
      <c r="E76" s="60">
        <f t="shared" si="12"/>
        <v>94.64</v>
      </c>
      <c r="F76" s="60">
        <f t="shared" si="12"/>
        <v>93.940000000000012</v>
      </c>
      <c r="G76" s="60">
        <f t="shared" si="12"/>
        <v>91.64</v>
      </c>
      <c r="H76" s="60">
        <f t="shared" si="12"/>
        <v>133.94</v>
      </c>
      <c r="I76" s="60">
        <f t="shared" si="12"/>
        <v>159.73999999999998</v>
      </c>
      <c r="J76" s="60">
        <f t="shared" si="12"/>
        <v>235.24</v>
      </c>
      <c r="K76" s="60">
        <f t="shared" si="12"/>
        <v>333.04</v>
      </c>
      <c r="L76" s="60">
        <f t="shared" si="12"/>
        <v>355.14000000000004</v>
      </c>
      <c r="M76" s="60">
        <f t="shared" si="12"/>
        <v>393.54</v>
      </c>
      <c r="N76" s="60">
        <f t="shared" si="12"/>
        <v>394.14</v>
      </c>
      <c r="O76" s="60">
        <f t="shared" si="12"/>
        <v>395.64</v>
      </c>
      <c r="P76" s="60">
        <f t="shared" si="12"/>
        <v>397.84</v>
      </c>
      <c r="Q76" s="60">
        <f t="shared" si="12"/>
        <v>402.14000000000004</v>
      </c>
      <c r="R76" s="60">
        <f t="shared" si="12"/>
        <v>294.64000000000004</v>
      </c>
      <c r="S76" s="60">
        <f t="shared" si="12"/>
        <v>271.44</v>
      </c>
      <c r="T76" s="60">
        <f t="shared" ref="T76" si="13">SUM(T63:T75)</f>
        <v>244.14</v>
      </c>
      <c r="U76" s="60">
        <f t="shared" si="12"/>
        <v>280.74000000000007</v>
      </c>
      <c r="V76" s="60">
        <f t="shared" ref="V76" si="14">SUM(V63:V75)</f>
        <v>285.24000000000007</v>
      </c>
      <c r="W76" s="60">
        <f t="shared" si="12"/>
        <v>241.23999999999998</v>
      </c>
      <c r="X76" s="60">
        <f>SUM(X63:X75)</f>
        <v>351.4</v>
      </c>
      <c r="Y76" s="60">
        <f t="shared" si="12"/>
        <v>341.74</v>
      </c>
      <c r="Z76" s="60">
        <f t="shared" ref="Z76" si="15">SUM(Z63:Z75)</f>
        <v>320.74</v>
      </c>
      <c r="AA76" s="60">
        <f t="shared" si="12"/>
        <v>316.23899999999998</v>
      </c>
      <c r="AB76" s="60">
        <f t="shared" si="12"/>
        <v>319.64000000000004</v>
      </c>
      <c r="AC76" s="60">
        <f t="shared" si="12"/>
        <v>321.83999999999997</v>
      </c>
      <c r="AD76" s="60">
        <f t="shared" si="12"/>
        <v>263.04000000000002</v>
      </c>
      <c r="AE76" s="60">
        <f t="shared" si="12"/>
        <v>180.54</v>
      </c>
      <c r="AF76" s="60">
        <f t="shared" si="12"/>
        <v>104.04</v>
      </c>
      <c r="AG76" s="61">
        <f t="shared" si="12"/>
        <v>489.91</v>
      </c>
      <c r="AH76" s="47">
        <f t="shared" si="2"/>
        <v>402.14000000000004</v>
      </c>
      <c r="AI76" s="48">
        <f t="shared" si="3"/>
        <v>91.64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>
        <v>30.2</v>
      </c>
      <c r="U77" s="45">
        <v>60</v>
      </c>
      <c r="V77" s="45">
        <v>45</v>
      </c>
      <c r="W77" s="45">
        <v>58.9</v>
      </c>
      <c r="X77" s="45">
        <v>59.6</v>
      </c>
      <c r="Y77" s="45">
        <v>59.2</v>
      </c>
      <c r="Z77" s="45">
        <v>49.6</v>
      </c>
      <c r="AA77" s="45">
        <v>42</v>
      </c>
      <c r="AB77" s="45">
        <v>21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>
        <v>13.7</v>
      </c>
      <c r="U78" s="65">
        <v>28.2</v>
      </c>
      <c r="V78" s="65">
        <v>23</v>
      </c>
      <c r="W78" s="65">
        <v>28.3</v>
      </c>
      <c r="X78" s="65">
        <v>26.9</v>
      </c>
      <c r="Y78" s="65">
        <v>27.6</v>
      </c>
      <c r="Z78" s="65">
        <v>22.7</v>
      </c>
      <c r="AA78" s="65">
        <v>22.6</v>
      </c>
      <c r="AB78" s="65">
        <v>5</v>
      </c>
      <c r="AC78" s="65">
        <v>5.8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28.3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>
        <v>5</v>
      </c>
      <c r="U79" s="67">
        <v>10.3</v>
      </c>
      <c r="V79" s="67">
        <v>8</v>
      </c>
      <c r="W79" s="67">
        <v>10.3</v>
      </c>
      <c r="X79" s="67">
        <v>9.6999999999999993</v>
      </c>
      <c r="Y79" s="67">
        <v>10.1</v>
      </c>
      <c r="Z79" s="67">
        <v>8.3000000000000007</v>
      </c>
      <c r="AA79" s="67">
        <v>8.3000000000000007</v>
      </c>
      <c r="AB79" s="67">
        <v>1.8</v>
      </c>
      <c r="AC79" s="67">
        <v>2.1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10.3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16">B77+B78+B79</f>
        <v>0</v>
      </c>
      <c r="C80" s="60">
        <f t="shared" si="16"/>
        <v>0</v>
      </c>
      <c r="D80" s="60">
        <f t="shared" si="16"/>
        <v>0</v>
      </c>
      <c r="E80" s="60">
        <f t="shared" si="16"/>
        <v>0</v>
      </c>
      <c r="F80" s="60">
        <f t="shared" si="16"/>
        <v>0</v>
      </c>
      <c r="G80" s="60">
        <f t="shared" si="16"/>
        <v>0</v>
      </c>
      <c r="H80" s="60">
        <f t="shared" si="16"/>
        <v>0</v>
      </c>
      <c r="I80" s="60">
        <f t="shared" si="16"/>
        <v>0</v>
      </c>
      <c r="J80" s="60">
        <f t="shared" si="16"/>
        <v>0</v>
      </c>
      <c r="K80" s="60">
        <f t="shared" si="16"/>
        <v>0</v>
      </c>
      <c r="L80" s="60">
        <f t="shared" si="16"/>
        <v>0</v>
      </c>
      <c r="M80" s="60">
        <f t="shared" si="16"/>
        <v>0</v>
      </c>
      <c r="N80" s="60">
        <f t="shared" si="16"/>
        <v>0</v>
      </c>
      <c r="O80" s="60">
        <f t="shared" si="16"/>
        <v>0</v>
      </c>
      <c r="P80" s="60">
        <f t="shared" si="16"/>
        <v>0</v>
      </c>
      <c r="Q80" s="60">
        <f t="shared" si="16"/>
        <v>0</v>
      </c>
      <c r="R80" s="60">
        <f t="shared" si="16"/>
        <v>0</v>
      </c>
      <c r="S80" s="60">
        <f t="shared" si="16"/>
        <v>0</v>
      </c>
      <c r="T80" s="60">
        <f t="shared" ref="T80" si="17">T77+T78+T79</f>
        <v>48.9</v>
      </c>
      <c r="U80" s="60">
        <f t="shared" si="16"/>
        <v>98.5</v>
      </c>
      <c r="V80" s="60">
        <f t="shared" ref="V80" si="18">V77+V78+V79</f>
        <v>76</v>
      </c>
      <c r="W80" s="60">
        <f t="shared" si="16"/>
        <v>97.5</v>
      </c>
      <c r="X80" s="60">
        <f>X77+X78+X79</f>
        <v>96.2</v>
      </c>
      <c r="Y80" s="60">
        <f t="shared" si="16"/>
        <v>96.9</v>
      </c>
      <c r="Z80" s="60">
        <f t="shared" ref="Z80" si="19">Z77+Z78+Z79</f>
        <v>80.599999999999994</v>
      </c>
      <c r="AA80" s="60">
        <f t="shared" si="16"/>
        <v>72.899999999999991</v>
      </c>
      <c r="AB80" s="60">
        <f t="shared" si="16"/>
        <v>27.8</v>
      </c>
      <c r="AC80" s="60">
        <f t="shared" si="16"/>
        <v>7.9</v>
      </c>
      <c r="AD80" s="60">
        <f t="shared" si="16"/>
        <v>0</v>
      </c>
      <c r="AE80" s="60">
        <f t="shared" si="16"/>
        <v>0</v>
      </c>
      <c r="AF80" s="60">
        <f t="shared" si="16"/>
        <v>0</v>
      </c>
      <c r="AG80" s="61">
        <f>SUM(AG77:AG79)</f>
        <v>106</v>
      </c>
      <c r="AH80" s="47">
        <f t="shared" si="2"/>
        <v>98.5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45</v>
      </c>
      <c r="C81" s="45">
        <v>58</v>
      </c>
      <c r="D81" s="45">
        <v>45</v>
      </c>
      <c r="E81" s="45">
        <v>41</v>
      </c>
      <c r="F81" s="45">
        <v>45</v>
      </c>
      <c r="G81" s="45">
        <v>49</v>
      </c>
      <c r="H81" s="45">
        <v>41</v>
      </c>
      <c r="I81" s="45">
        <v>57</v>
      </c>
      <c r="J81" s="45">
        <v>60.4</v>
      </c>
      <c r="K81" s="45">
        <v>62</v>
      </c>
      <c r="L81" s="45">
        <v>61.6</v>
      </c>
      <c r="M81" s="45">
        <v>58</v>
      </c>
      <c r="N81" s="45">
        <v>59</v>
      </c>
      <c r="O81" s="45">
        <v>49</v>
      </c>
      <c r="P81" s="45">
        <v>64.900000000000006</v>
      </c>
      <c r="Q81" s="45">
        <v>63.6</v>
      </c>
      <c r="R81" s="45">
        <v>61.8</v>
      </c>
      <c r="S81" s="45">
        <v>66</v>
      </c>
      <c r="T81" s="45">
        <v>62.5</v>
      </c>
      <c r="U81" s="45">
        <v>68</v>
      </c>
      <c r="V81" s="45">
        <v>53</v>
      </c>
      <c r="W81" s="45">
        <v>54.6</v>
      </c>
      <c r="X81" s="45">
        <v>67</v>
      </c>
      <c r="Y81" s="45">
        <v>67.8</v>
      </c>
      <c r="Z81" s="45">
        <v>60.3</v>
      </c>
      <c r="AA81" s="45">
        <v>60.1</v>
      </c>
      <c r="AB81" s="45">
        <v>55.6</v>
      </c>
      <c r="AC81" s="45">
        <v>57.2</v>
      </c>
      <c r="AD81" s="45">
        <v>50.8</v>
      </c>
      <c r="AE81" s="45">
        <v>48</v>
      </c>
      <c r="AF81" s="45">
        <v>40</v>
      </c>
      <c r="AG81" s="52"/>
      <c r="AH81" s="47">
        <f t="shared" si="2"/>
        <v>68</v>
      </c>
      <c r="AI81" s="48">
        <f t="shared" si="3"/>
        <v>40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232</v>
      </c>
      <c r="C83" s="65">
        <v>197</v>
      </c>
      <c r="D83" s="65">
        <v>169</v>
      </c>
      <c r="E83" s="65">
        <v>179</v>
      </c>
      <c r="F83" s="65">
        <v>191.2</v>
      </c>
      <c r="G83" s="65">
        <v>274</v>
      </c>
      <c r="H83" s="65">
        <v>320.8</v>
      </c>
      <c r="I83" s="65">
        <v>350</v>
      </c>
      <c r="J83" s="65">
        <v>409</v>
      </c>
      <c r="K83" s="65">
        <v>377</v>
      </c>
      <c r="L83" s="65">
        <v>191</v>
      </c>
      <c r="M83" s="65">
        <v>150.5</v>
      </c>
      <c r="N83" s="65">
        <v>96.6</v>
      </c>
      <c r="O83" s="65">
        <v>233</v>
      </c>
      <c r="P83" s="65">
        <v>240</v>
      </c>
      <c r="Q83" s="65">
        <v>379</v>
      </c>
      <c r="R83" s="65">
        <v>390.8</v>
      </c>
      <c r="S83" s="65">
        <v>412</v>
      </c>
      <c r="T83" s="65">
        <v>430</v>
      </c>
      <c r="U83" s="65">
        <v>259</v>
      </c>
      <c r="V83" s="65">
        <v>330</v>
      </c>
      <c r="W83" s="65">
        <v>307</v>
      </c>
      <c r="X83" s="65">
        <v>213</v>
      </c>
      <c r="Y83" s="65">
        <v>232</v>
      </c>
      <c r="Z83" s="65">
        <v>246</v>
      </c>
      <c r="AA83" s="65">
        <v>251</v>
      </c>
      <c r="AB83" s="65">
        <v>248.9</v>
      </c>
      <c r="AC83" s="65">
        <v>246.3</v>
      </c>
      <c r="AD83" s="65">
        <v>253</v>
      </c>
      <c r="AE83" s="65">
        <v>241</v>
      </c>
      <c r="AF83" s="65">
        <v>228</v>
      </c>
      <c r="AG83" s="75"/>
      <c r="AH83" s="47">
        <f t="shared" si="2"/>
        <v>430</v>
      </c>
      <c r="AI83" s="48">
        <f t="shared" si="3"/>
        <v>96.6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>
        <v>0</v>
      </c>
      <c r="AC84" s="76">
        <v>0</v>
      </c>
      <c r="AD84" s="65">
        <v>0</v>
      </c>
      <c r="AE84" s="76">
        <v>0</v>
      </c>
      <c r="AF84" s="76">
        <v>0</v>
      </c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20">MAX(B85:AF85)</f>
        <v>0</v>
      </c>
      <c r="AI85" s="48">
        <f t="shared" ref="AI85:AI130" si="21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20"/>
        <v>0</v>
      </c>
      <c r="AI86" s="48">
        <f t="shared" si="21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20"/>
        <v>0</v>
      </c>
      <c r="AI87" s="48">
        <f t="shared" si="21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20"/>
        <v>0</v>
      </c>
      <c r="AI88" s="48">
        <f t="shared" si="21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20"/>
        <v>0</v>
      </c>
      <c r="AI89" s="48">
        <f t="shared" si="21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20"/>
        <v>0</v>
      </c>
      <c r="AI90" s="48">
        <f t="shared" si="21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>
        <v>0</v>
      </c>
      <c r="AC91" s="77">
        <v>0</v>
      </c>
      <c r="AD91" s="77">
        <v>0</v>
      </c>
      <c r="AE91" s="77">
        <v>0</v>
      </c>
      <c r="AF91" s="77">
        <v>0</v>
      </c>
      <c r="AG91" s="85"/>
      <c r="AH91" s="47">
        <f t="shared" si="20"/>
        <v>0</v>
      </c>
      <c r="AI91" s="48">
        <f t="shared" si="21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22">SUMIF(B81:B91,"&gt;0")</f>
        <v>277</v>
      </c>
      <c r="C92" s="60">
        <f t="shared" si="22"/>
        <v>255</v>
      </c>
      <c r="D92" s="60">
        <f t="shared" si="22"/>
        <v>214</v>
      </c>
      <c r="E92" s="60">
        <f t="shared" si="22"/>
        <v>220</v>
      </c>
      <c r="F92" s="60">
        <f t="shared" si="22"/>
        <v>236.2</v>
      </c>
      <c r="G92" s="60">
        <f t="shared" si="22"/>
        <v>323</v>
      </c>
      <c r="H92" s="60">
        <f t="shared" si="22"/>
        <v>361.8</v>
      </c>
      <c r="I92" s="60">
        <f t="shared" si="22"/>
        <v>407</v>
      </c>
      <c r="J92" s="60">
        <f t="shared" si="22"/>
        <v>469.4</v>
      </c>
      <c r="K92" s="60">
        <f t="shared" si="22"/>
        <v>439</v>
      </c>
      <c r="L92" s="60">
        <f t="shared" si="22"/>
        <v>252.6</v>
      </c>
      <c r="M92" s="60">
        <f t="shared" si="22"/>
        <v>208.5</v>
      </c>
      <c r="N92" s="60">
        <f t="shared" si="22"/>
        <v>155.6</v>
      </c>
      <c r="O92" s="60">
        <f t="shared" si="22"/>
        <v>282</v>
      </c>
      <c r="P92" s="60">
        <f t="shared" si="22"/>
        <v>304.89999999999998</v>
      </c>
      <c r="Q92" s="60">
        <f t="shared" si="22"/>
        <v>442.6</v>
      </c>
      <c r="R92" s="60">
        <f t="shared" si="22"/>
        <v>452.6</v>
      </c>
      <c r="S92" s="60">
        <f t="shared" si="22"/>
        <v>478</v>
      </c>
      <c r="T92" s="60">
        <f t="shared" si="22"/>
        <v>492.5</v>
      </c>
      <c r="U92" s="60">
        <f t="shared" si="22"/>
        <v>327</v>
      </c>
      <c r="V92" s="60">
        <f t="shared" ref="V92" si="23">SUMIF(V81:V91,"&gt;0")</f>
        <v>383</v>
      </c>
      <c r="W92" s="60">
        <f t="shared" si="22"/>
        <v>361.6</v>
      </c>
      <c r="X92" s="60">
        <f>SUMIF(X81:X91,"&gt;0")</f>
        <v>280</v>
      </c>
      <c r="Y92" s="60">
        <f t="shared" si="22"/>
        <v>299.8</v>
      </c>
      <c r="Z92" s="60">
        <f t="shared" si="22"/>
        <v>306.3</v>
      </c>
      <c r="AA92" s="60">
        <f t="shared" si="22"/>
        <v>311.10000000000002</v>
      </c>
      <c r="AB92" s="60">
        <f t="shared" si="22"/>
        <v>304.5</v>
      </c>
      <c r="AC92" s="60">
        <f t="shared" si="22"/>
        <v>303.5</v>
      </c>
      <c r="AD92" s="60">
        <f t="shared" si="22"/>
        <v>303.8</v>
      </c>
      <c r="AE92" s="60">
        <f t="shared" si="22"/>
        <v>289</v>
      </c>
      <c r="AF92" s="60">
        <f t="shared" si="22"/>
        <v>268</v>
      </c>
      <c r="AG92" s="88">
        <f>SUM(AG81:AG91)</f>
        <v>0</v>
      </c>
      <c r="AH92" s="47">
        <f t="shared" si="20"/>
        <v>492.5</v>
      </c>
      <c r="AI92" s="48">
        <f t="shared" si="21"/>
        <v>155.6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0"/>
        <v>0</v>
      </c>
      <c r="AI93" s="48">
        <f t="shared" si="21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0"/>
        <v>0</v>
      </c>
      <c r="AI94" s="48">
        <f t="shared" si="21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0"/>
        <v>0</v>
      </c>
      <c r="AI95" s="48">
        <f t="shared" si="21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0"/>
        <v>0</v>
      </c>
      <c r="AI96" s="48">
        <f t="shared" si="21"/>
        <v>0</v>
      </c>
    </row>
    <row r="97" spans="1:37" ht="15.75" thickBot="1" x14ac:dyDescent="0.3">
      <c r="A97" s="74" t="s">
        <v>100</v>
      </c>
      <c r="B97" s="95">
        <f t="shared" ref="B97:AG97" si="24">B58+B62+B80+B76+B92+B96</f>
        <v>1003.2400000000001</v>
      </c>
      <c r="C97" s="95">
        <f t="shared" si="24"/>
        <v>981.24000000000012</v>
      </c>
      <c r="D97" s="95">
        <f t="shared" si="24"/>
        <v>940.24000000000012</v>
      </c>
      <c r="E97" s="95">
        <f t="shared" si="24"/>
        <v>943.94</v>
      </c>
      <c r="F97" s="95">
        <f t="shared" si="24"/>
        <v>959.34000000000015</v>
      </c>
      <c r="G97" s="95">
        <f t="shared" si="24"/>
        <v>1043.54</v>
      </c>
      <c r="H97" s="95">
        <f t="shared" si="24"/>
        <v>1124.54</v>
      </c>
      <c r="I97" s="95">
        <f t="shared" si="24"/>
        <v>1195.54</v>
      </c>
      <c r="J97" s="95">
        <f t="shared" si="24"/>
        <v>1333.44</v>
      </c>
      <c r="K97" s="95">
        <f t="shared" si="24"/>
        <v>1415.8400000000001</v>
      </c>
      <c r="L97" s="95">
        <f t="shared" si="24"/>
        <v>1497.04</v>
      </c>
      <c r="M97" s="95">
        <f t="shared" si="24"/>
        <v>1551.3400000000001</v>
      </c>
      <c r="N97" s="95">
        <f t="shared" si="24"/>
        <v>1580.44</v>
      </c>
      <c r="O97" s="95">
        <f t="shared" si="24"/>
        <v>1587.6399999999999</v>
      </c>
      <c r="P97" s="95">
        <f t="shared" si="24"/>
        <v>1538.2400000000002</v>
      </c>
      <c r="Q97" s="95">
        <f t="shared" si="24"/>
        <v>1471.44</v>
      </c>
      <c r="R97" s="95">
        <f t="shared" si="24"/>
        <v>1373.44</v>
      </c>
      <c r="S97" s="95">
        <f t="shared" si="24"/>
        <v>1370.24</v>
      </c>
      <c r="T97" s="95">
        <f t="shared" si="24"/>
        <v>1406.3400000000001</v>
      </c>
      <c r="U97" s="95">
        <f t="shared" si="24"/>
        <v>1331.0400000000002</v>
      </c>
      <c r="V97" s="95">
        <f t="shared" ref="V97" si="25">V58+V62+V80+V76+V92+V96</f>
        <v>1369.0400000000002</v>
      </c>
      <c r="W97" s="95">
        <f t="shared" si="24"/>
        <v>1444.8400000000001</v>
      </c>
      <c r="X97" s="95">
        <f>X58+X62+X80+X76+X92+X96</f>
        <v>1625.6</v>
      </c>
      <c r="Y97" s="95">
        <f t="shared" si="24"/>
        <v>1586.4399999999998</v>
      </c>
      <c r="Z97" s="95">
        <f t="shared" si="24"/>
        <v>1559.0399999999997</v>
      </c>
      <c r="AA97" s="95">
        <f t="shared" si="24"/>
        <v>1531.9389999999999</v>
      </c>
      <c r="AB97" s="95">
        <f t="shared" si="24"/>
        <v>1466.6399999999999</v>
      </c>
      <c r="AC97" s="95">
        <f t="shared" si="24"/>
        <v>1447.9399999999998</v>
      </c>
      <c r="AD97" s="95">
        <f t="shared" si="24"/>
        <v>1356.74</v>
      </c>
      <c r="AE97" s="95">
        <f t="shared" si="24"/>
        <v>1169.3399999999999</v>
      </c>
      <c r="AF97" s="95">
        <f t="shared" si="24"/>
        <v>1026.94</v>
      </c>
      <c r="AG97" s="61">
        <f t="shared" si="24"/>
        <v>2231.81</v>
      </c>
      <c r="AH97" s="47">
        <f t="shared" si="20"/>
        <v>1625.6</v>
      </c>
      <c r="AI97" s="48">
        <f t="shared" si="21"/>
        <v>940.24000000000012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80</v>
      </c>
      <c r="M98" s="97">
        <v>80</v>
      </c>
      <c r="N98" s="97">
        <v>80</v>
      </c>
      <c r="O98" s="97">
        <v>80</v>
      </c>
      <c r="P98" s="97"/>
      <c r="Q98" s="97"/>
      <c r="R98" s="97"/>
      <c r="S98" s="97"/>
      <c r="T98" s="97"/>
      <c r="U98" s="97"/>
      <c r="V98" s="97"/>
      <c r="W98" s="97"/>
      <c r="X98" s="97">
        <v>80</v>
      </c>
      <c r="Y98" s="97">
        <v>80</v>
      </c>
      <c r="Z98" s="97">
        <v>80</v>
      </c>
      <c r="AA98" s="97">
        <v>80</v>
      </c>
      <c r="AB98" s="97">
        <v>80</v>
      </c>
      <c r="AC98" s="97">
        <v>80</v>
      </c>
      <c r="AD98" s="97"/>
      <c r="AE98" s="97"/>
      <c r="AF98" s="97"/>
      <c r="AG98" s="88"/>
      <c r="AH98" s="47">
        <f t="shared" si="20"/>
        <v>80</v>
      </c>
      <c r="AI98" s="48">
        <f t="shared" si="21"/>
        <v>80</v>
      </c>
    </row>
    <row r="99" spans="1:37" ht="15.75" thickBot="1" x14ac:dyDescent="0.3">
      <c r="A99" s="74" t="s">
        <v>102</v>
      </c>
      <c r="B99" s="95">
        <f t="shared" ref="B99:AF99" si="26">B97+B98</f>
        <v>1003.2400000000001</v>
      </c>
      <c r="C99" s="95">
        <f t="shared" si="26"/>
        <v>981.24000000000012</v>
      </c>
      <c r="D99" s="95">
        <f t="shared" si="26"/>
        <v>940.24000000000012</v>
      </c>
      <c r="E99" s="95">
        <f t="shared" si="26"/>
        <v>943.94</v>
      </c>
      <c r="F99" s="95">
        <f t="shared" si="26"/>
        <v>959.34000000000015</v>
      </c>
      <c r="G99" s="95">
        <f t="shared" si="26"/>
        <v>1043.54</v>
      </c>
      <c r="H99" s="95">
        <f t="shared" si="26"/>
        <v>1124.54</v>
      </c>
      <c r="I99" s="95">
        <f t="shared" si="26"/>
        <v>1195.54</v>
      </c>
      <c r="J99" s="95">
        <f t="shared" si="26"/>
        <v>1333.44</v>
      </c>
      <c r="K99" s="95">
        <f t="shared" si="26"/>
        <v>1415.8400000000001</v>
      </c>
      <c r="L99" s="95">
        <f t="shared" si="26"/>
        <v>1577.04</v>
      </c>
      <c r="M99" s="95">
        <f t="shared" si="26"/>
        <v>1631.3400000000001</v>
      </c>
      <c r="N99" s="95">
        <f t="shared" si="26"/>
        <v>1660.44</v>
      </c>
      <c r="O99" s="95">
        <f t="shared" si="26"/>
        <v>1667.6399999999999</v>
      </c>
      <c r="P99" s="95">
        <f t="shared" si="26"/>
        <v>1538.2400000000002</v>
      </c>
      <c r="Q99" s="95">
        <f t="shared" si="26"/>
        <v>1471.44</v>
      </c>
      <c r="R99" s="95">
        <f t="shared" si="26"/>
        <v>1373.44</v>
      </c>
      <c r="S99" s="95">
        <f t="shared" si="26"/>
        <v>1370.24</v>
      </c>
      <c r="T99" s="95">
        <f t="shared" si="26"/>
        <v>1406.3400000000001</v>
      </c>
      <c r="U99" s="95">
        <f t="shared" si="26"/>
        <v>1331.0400000000002</v>
      </c>
      <c r="V99" s="95">
        <f t="shared" ref="V99" si="27">V97+V98</f>
        <v>1369.0400000000002</v>
      </c>
      <c r="W99" s="95">
        <f t="shared" si="26"/>
        <v>1444.8400000000001</v>
      </c>
      <c r="X99" s="95">
        <f>X97+X98</f>
        <v>1705.6</v>
      </c>
      <c r="Y99" s="95">
        <f t="shared" si="26"/>
        <v>1666.4399999999998</v>
      </c>
      <c r="Z99" s="95">
        <f t="shared" si="26"/>
        <v>1639.0399999999997</v>
      </c>
      <c r="AA99" s="95">
        <f t="shared" si="26"/>
        <v>1611.9389999999999</v>
      </c>
      <c r="AB99" s="95">
        <f t="shared" si="26"/>
        <v>1546.6399999999999</v>
      </c>
      <c r="AC99" s="95">
        <f t="shared" si="26"/>
        <v>1527.9399999999998</v>
      </c>
      <c r="AD99" s="95">
        <f t="shared" si="26"/>
        <v>1356.74</v>
      </c>
      <c r="AE99" s="95">
        <f t="shared" si="26"/>
        <v>1169.3399999999999</v>
      </c>
      <c r="AF99" s="95">
        <f t="shared" si="26"/>
        <v>1026.94</v>
      </c>
      <c r="AG99" s="88">
        <f>AG96+AG92+AG80+AG76+AG58+AG98</f>
        <v>1693.71</v>
      </c>
      <c r="AH99" s="47">
        <f t="shared" si="20"/>
        <v>1705.6</v>
      </c>
      <c r="AI99" s="48">
        <f t="shared" si="21"/>
        <v>940.24000000000012</v>
      </c>
    </row>
    <row r="100" spans="1:37" ht="15.75" thickBot="1" x14ac:dyDescent="0.3">
      <c r="A100" s="74" t="s">
        <v>103</v>
      </c>
      <c r="B100" s="95">
        <f t="shared" ref="B100:M100" si="28">B99-(B107)</f>
        <v>1003.2400000000001</v>
      </c>
      <c r="C100" s="95">
        <f t="shared" si="28"/>
        <v>981.24000000000012</v>
      </c>
      <c r="D100" s="95">
        <f t="shared" si="28"/>
        <v>940.24000000000012</v>
      </c>
      <c r="E100" s="95">
        <f t="shared" si="28"/>
        <v>943.94</v>
      </c>
      <c r="F100" s="95">
        <f t="shared" si="28"/>
        <v>959.34000000000015</v>
      </c>
      <c r="G100" s="95">
        <f t="shared" si="28"/>
        <v>1043.54</v>
      </c>
      <c r="H100" s="95">
        <f t="shared" si="28"/>
        <v>1124.54</v>
      </c>
      <c r="I100" s="95">
        <f t="shared" si="28"/>
        <v>1195.54</v>
      </c>
      <c r="J100" s="95">
        <f t="shared" si="28"/>
        <v>1333.44</v>
      </c>
      <c r="K100" s="95">
        <f t="shared" si="28"/>
        <v>1415.8400000000001</v>
      </c>
      <c r="L100" s="95">
        <f t="shared" si="28"/>
        <v>1577.04</v>
      </c>
      <c r="M100" s="95">
        <f t="shared" si="28"/>
        <v>1631.3400000000001</v>
      </c>
      <c r="N100" s="95">
        <f>N99-(N107)</f>
        <v>1660.44</v>
      </c>
      <c r="O100" s="95">
        <f t="shared" ref="O100:AF100" si="29">O99-(O107)</f>
        <v>1667.6399999999999</v>
      </c>
      <c r="P100" s="95">
        <f t="shared" si="29"/>
        <v>1538.2400000000002</v>
      </c>
      <c r="Q100" s="95">
        <f t="shared" si="29"/>
        <v>1471.44</v>
      </c>
      <c r="R100" s="95">
        <f t="shared" si="29"/>
        <v>1373.44</v>
      </c>
      <c r="S100" s="95">
        <f t="shared" si="29"/>
        <v>1370.24</v>
      </c>
      <c r="T100" s="95">
        <f t="shared" si="29"/>
        <v>1406.3400000000001</v>
      </c>
      <c r="U100" s="95">
        <f t="shared" si="29"/>
        <v>1331.0400000000002</v>
      </c>
      <c r="V100" s="95">
        <f t="shared" ref="V100" si="30">V99-(V107)</f>
        <v>1368.0400000000002</v>
      </c>
      <c r="W100" s="95">
        <f t="shared" si="29"/>
        <v>1444.8400000000001</v>
      </c>
      <c r="X100" s="95">
        <f t="shared" si="29"/>
        <v>1705.6</v>
      </c>
      <c r="Y100" s="95">
        <f t="shared" si="29"/>
        <v>1666.4399999999998</v>
      </c>
      <c r="Z100" s="95">
        <f t="shared" si="29"/>
        <v>1639.0399999999997</v>
      </c>
      <c r="AA100" s="95">
        <f t="shared" si="29"/>
        <v>1611.9389999999999</v>
      </c>
      <c r="AB100" s="95">
        <f t="shared" si="29"/>
        <v>1546.6399999999999</v>
      </c>
      <c r="AC100" s="95">
        <f t="shared" si="29"/>
        <v>1527.9399999999998</v>
      </c>
      <c r="AD100" s="95">
        <f t="shared" si="29"/>
        <v>1356.74</v>
      </c>
      <c r="AE100" s="95">
        <f t="shared" si="29"/>
        <v>1169.3399999999999</v>
      </c>
      <c r="AF100" s="95">
        <f t="shared" si="29"/>
        <v>1026.94</v>
      </c>
      <c r="AG100" s="88"/>
      <c r="AH100" s="47">
        <f t="shared" si="20"/>
        <v>1705.6</v>
      </c>
      <c r="AI100" s="48">
        <f t="shared" si="21"/>
        <v>940.24000000000012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31">IF(C84&lt;0,C84*-1,0)</f>
        <v>0</v>
      </c>
      <c r="D101" s="76">
        <f t="shared" si="31"/>
        <v>0</v>
      </c>
      <c r="E101" s="76">
        <f t="shared" si="31"/>
        <v>0</v>
      </c>
      <c r="F101" s="76">
        <f t="shared" si="31"/>
        <v>0</v>
      </c>
      <c r="G101" s="76">
        <f t="shared" si="31"/>
        <v>0</v>
      </c>
      <c r="H101" s="76">
        <f t="shared" si="31"/>
        <v>0</v>
      </c>
      <c r="I101" s="76">
        <f t="shared" si="31"/>
        <v>0</v>
      </c>
      <c r="J101" s="76">
        <f t="shared" si="31"/>
        <v>0</v>
      </c>
      <c r="K101" s="76">
        <f t="shared" si="31"/>
        <v>0</v>
      </c>
      <c r="L101" s="76">
        <f t="shared" si="31"/>
        <v>0</v>
      </c>
      <c r="M101" s="76">
        <f t="shared" si="31"/>
        <v>0</v>
      </c>
      <c r="N101" s="76">
        <f t="shared" si="31"/>
        <v>0</v>
      </c>
      <c r="O101" s="76">
        <f t="shared" si="31"/>
        <v>0</v>
      </c>
      <c r="P101" s="76">
        <f t="shared" si="31"/>
        <v>0</v>
      </c>
      <c r="Q101" s="76">
        <f t="shared" si="31"/>
        <v>0</v>
      </c>
      <c r="R101" s="76">
        <f t="shared" si="31"/>
        <v>0</v>
      </c>
      <c r="S101" s="76">
        <f t="shared" si="31"/>
        <v>0</v>
      </c>
      <c r="T101" s="76">
        <f t="shared" si="31"/>
        <v>0</v>
      </c>
      <c r="U101" s="76">
        <f t="shared" si="31"/>
        <v>0</v>
      </c>
      <c r="V101" s="76">
        <f t="shared" ref="V101" si="32">IF(V84&lt;0,V84*-1,0)</f>
        <v>0</v>
      </c>
      <c r="W101" s="76">
        <f t="shared" si="31"/>
        <v>0</v>
      </c>
      <c r="X101" s="76">
        <f t="shared" si="31"/>
        <v>0</v>
      </c>
      <c r="Y101" s="76">
        <f t="shared" si="31"/>
        <v>0</v>
      </c>
      <c r="Z101" s="76">
        <f t="shared" si="31"/>
        <v>0</v>
      </c>
      <c r="AA101" s="76">
        <f t="shared" si="31"/>
        <v>0</v>
      </c>
      <c r="AB101" s="76">
        <f t="shared" si="31"/>
        <v>0</v>
      </c>
      <c r="AC101" s="76">
        <f t="shared" si="31"/>
        <v>0</v>
      </c>
      <c r="AD101" s="76">
        <f t="shared" si="31"/>
        <v>0</v>
      </c>
      <c r="AE101" s="76">
        <f t="shared" si="31"/>
        <v>0</v>
      </c>
      <c r="AF101" s="76">
        <f t="shared" si="31"/>
        <v>0</v>
      </c>
      <c r="AG101" s="52"/>
      <c r="AH101" s="47">
        <f t="shared" si="20"/>
        <v>0</v>
      </c>
      <c r="AI101" s="48">
        <f t="shared" si="21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33">IF(C82&lt;0,C82*-1,0)</f>
        <v>0</v>
      </c>
      <c r="D102" s="76">
        <f t="shared" si="33"/>
        <v>0</v>
      </c>
      <c r="E102" s="76">
        <f t="shared" si="33"/>
        <v>0</v>
      </c>
      <c r="F102" s="76">
        <f t="shared" si="33"/>
        <v>0</v>
      </c>
      <c r="G102" s="76">
        <f t="shared" si="33"/>
        <v>0</v>
      </c>
      <c r="H102" s="76">
        <f t="shared" si="33"/>
        <v>0</v>
      </c>
      <c r="I102" s="76">
        <f t="shared" si="33"/>
        <v>0</v>
      </c>
      <c r="J102" s="76">
        <f t="shared" si="33"/>
        <v>0</v>
      </c>
      <c r="K102" s="76">
        <f t="shared" si="33"/>
        <v>0</v>
      </c>
      <c r="L102" s="76">
        <f t="shared" si="33"/>
        <v>0</v>
      </c>
      <c r="M102" s="76">
        <f t="shared" si="33"/>
        <v>0</v>
      </c>
      <c r="N102" s="76">
        <f t="shared" si="33"/>
        <v>0</v>
      </c>
      <c r="O102" s="76">
        <f t="shared" si="33"/>
        <v>0</v>
      </c>
      <c r="P102" s="76">
        <f t="shared" si="33"/>
        <v>0</v>
      </c>
      <c r="Q102" s="76">
        <f t="shared" si="33"/>
        <v>0</v>
      </c>
      <c r="R102" s="76">
        <f t="shared" si="33"/>
        <v>0</v>
      </c>
      <c r="S102" s="76">
        <f t="shared" si="33"/>
        <v>0</v>
      </c>
      <c r="T102" s="76">
        <f t="shared" si="33"/>
        <v>0</v>
      </c>
      <c r="U102" s="76">
        <f t="shared" si="33"/>
        <v>0</v>
      </c>
      <c r="V102" s="76">
        <f t="shared" ref="V102" si="34">IF(V82&lt;0,V82*-1,0)</f>
        <v>0</v>
      </c>
      <c r="W102" s="76">
        <f t="shared" si="33"/>
        <v>0</v>
      </c>
      <c r="X102" s="76">
        <f t="shared" si="33"/>
        <v>0</v>
      </c>
      <c r="Y102" s="76">
        <f t="shared" si="33"/>
        <v>0</v>
      </c>
      <c r="Z102" s="76">
        <f t="shared" si="33"/>
        <v>0</v>
      </c>
      <c r="AA102" s="76">
        <f t="shared" si="33"/>
        <v>0</v>
      </c>
      <c r="AB102" s="76">
        <f t="shared" si="33"/>
        <v>0</v>
      </c>
      <c r="AC102" s="76">
        <f t="shared" si="33"/>
        <v>0</v>
      </c>
      <c r="AD102" s="76">
        <f t="shared" si="33"/>
        <v>0</v>
      </c>
      <c r="AE102" s="76">
        <f t="shared" si="33"/>
        <v>0</v>
      </c>
      <c r="AF102" s="76">
        <f t="shared" si="33"/>
        <v>0</v>
      </c>
      <c r="AG102" s="55"/>
      <c r="AH102" s="47">
        <f t="shared" si="20"/>
        <v>0</v>
      </c>
      <c r="AI102" s="48">
        <f t="shared" si="21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35">IF(C85&lt;0,C85*-1,0)</f>
        <v>0</v>
      </c>
      <c r="D103" s="76">
        <f t="shared" si="35"/>
        <v>0</v>
      </c>
      <c r="E103" s="76">
        <f t="shared" si="35"/>
        <v>0</v>
      </c>
      <c r="F103" s="76">
        <f t="shared" si="35"/>
        <v>0</v>
      </c>
      <c r="G103" s="76">
        <f t="shared" si="35"/>
        <v>0</v>
      </c>
      <c r="H103" s="76">
        <f t="shared" si="35"/>
        <v>0</v>
      </c>
      <c r="I103" s="76">
        <f t="shared" si="35"/>
        <v>0</v>
      </c>
      <c r="J103" s="76">
        <f t="shared" si="35"/>
        <v>0</v>
      </c>
      <c r="K103" s="76">
        <f t="shared" si="35"/>
        <v>0</v>
      </c>
      <c r="L103" s="76">
        <f t="shared" si="35"/>
        <v>0</v>
      </c>
      <c r="M103" s="76">
        <f t="shared" si="35"/>
        <v>0</v>
      </c>
      <c r="N103" s="76">
        <f t="shared" si="35"/>
        <v>0</v>
      </c>
      <c r="O103" s="76">
        <f t="shared" si="35"/>
        <v>0</v>
      </c>
      <c r="P103" s="76">
        <f t="shared" si="35"/>
        <v>0</v>
      </c>
      <c r="Q103" s="76">
        <f t="shared" si="35"/>
        <v>0</v>
      </c>
      <c r="R103" s="76">
        <f t="shared" si="35"/>
        <v>0</v>
      </c>
      <c r="S103" s="76">
        <f t="shared" si="35"/>
        <v>0</v>
      </c>
      <c r="T103" s="76">
        <f t="shared" si="35"/>
        <v>0</v>
      </c>
      <c r="U103" s="76">
        <f t="shared" si="35"/>
        <v>0</v>
      </c>
      <c r="V103" s="76">
        <f t="shared" ref="V103" si="36">IF(V85&lt;0,V85*-1,0)</f>
        <v>0</v>
      </c>
      <c r="W103" s="76">
        <f t="shared" si="35"/>
        <v>0</v>
      </c>
      <c r="X103" s="76">
        <f t="shared" si="35"/>
        <v>0</v>
      </c>
      <c r="Y103" s="76">
        <f t="shared" si="35"/>
        <v>0</v>
      </c>
      <c r="Z103" s="76">
        <f t="shared" si="35"/>
        <v>0</v>
      </c>
      <c r="AA103" s="76">
        <f t="shared" si="35"/>
        <v>0</v>
      </c>
      <c r="AB103" s="76">
        <f t="shared" si="35"/>
        <v>0</v>
      </c>
      <c r="AC103" s="76">
        <f t="shared" si="35"/>
        <v>0</v>
      </c>
      <c r="AD103" s="76">
        <f t="shared" si="35"/>
        <v>0</v>
      </c>
      <c r="AE103" s="76">
        <f t="shared" si="35"/>
        <v>0</v>
      </c>
      <c r="AF103" s="76">
        <f t="shared" si="35"/>
        <v>0</v>
      </c>
      <c r="AG103" s="98"/>
      <c r="AH103" s="47">
        <f t="shared" si="20"/>
        <v>0</v>
      </c>
      <c r="AI103" s="48">
        <f t="shared" si="21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37">IF(C83&lt;0,C83*-1,0)</f>
        <v>0</v>
      </c>
      <c r="D104" s="76">
        <f t="shared" si="37"/>
        <v>0</v>
      </c>
      <c r="E104" s="76">
        <f t="shared" si="37"/>
        <v>0</v>
      </c>
      <c r="F104" s="76">
        <f t="shared" si="37"/>
        <v>0</v>
      </c>
      <c r="G104" s="76">
        <f t="shared" si="37"/>
        <v>0</v>
      </c>
      <c r="H104" s="76">
        <f t="shared" si="37"/>
        <v>0</v>
      </c>
      <c r="I104" s="76">
        <f t="shared" si="37"/>
        <v>0</v>
      </c>
      <c r="J104" s="76">
        <f t="shared" si="37"/>
        <v>0</v>
      </c>
      <c r="K104" s="76">
        <f t="shared" si="37"/>
        <v>0</v>
      </c>
      <c r="L104" s="76">
        <f t="shared" si="37"/>
        <v>0</v>
      </c>
      <c r="M104" s="76">
        <f t="shared" si="37"/>
        <v>0</v>
      </c>
      <c r="N104" s="76">
        <f t="shared" si="37"/>
        <v>0</v>
      </c>
      <c r="O104" s="76">
        <f t="shared" si="37"/>
        <v>0</v>
      </c>
      <c r="P104" s="76">
        <f t="shared" si="37"/>
        <v>0</v>
      </c>
      <c r="Q104" s="76">
        <f t="shared" si="37"/>
        <v>0</v>
      </c>
      <c r="R104" s="76">
        <f t="shared" si="37"/>
        <v>0</v>
      </c>
      <c r="S104" s="76">
        <f t="shared" si="37"/>
        <v>0</v>
      </c>
      <c r="T104" s="76">
        <f t="shared" si="37"/>
        <v>0</v>
      </c>
      <c r="U104" s="76">
        <f t="shared" si="37"/>
        <v>0</v>
      </c>
      <c r="V104" s="76">
        <f t="shared" ref="V104" si="38">IF(V83&lt;0,V83*-1,0)</f>
        <v>0</v>
      </c>
      <c r="W104" s="76">
        <f t="shared" si="37"/>
        <v>0</v>
      </c>
      <c r="X104" s="76">
        <f t="shared" si="37"/>
        <v>0</v>
      </c>
      <c r="Y104" s="76">
        <f t="shared" si="37"/>
        <v>0</v>
      </c>
      <c r="Z104" s="76">
        <f t="shared" si="37"/>
        <v>0</v>
      </c>
      <c r="AA104" s="76">
        <f t="shared" si="37"/>
        <v>0</v>
      </c>
      <c r="AB104" s="76">
        <f t="shared" si="37"/>
        <v>0</v>
      </c>
      <c r="AC104" s="76">
        <f t="shared" si="37"/>
        <v>0</v>
      </c>
      <c r="AD104" s="76">
        <f t="shared" si="37"/>
        <v>0</v>
      </c>
      <c r="AE104" s="76">
        <f t="shared" si="37"/>
        <v>0</v>
      </c>
      <c r="AF104" s="76">
        <f t="shared" si="37"/>
        <v>0</v>
      </c>
      <c r="AG104" s="98"/>
      <c r="AH104" s="47">
        <f t="shared" si="20"/>
        <v>0</v>
      </c>
      <c r="AI104" s="48">
        <f t="shared" si="21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39">IF(C81&lt;0,C81*-1,0)</f>
        <v>0</v>
      </c>
      <c r="D105" s="76">
        <f t="shared" si="39"/>
        <v>0</v>
      </c>
      <c r="E105" s="76">
        <f t="shared" si="39"/>
        <v>0</v>
      </c>
      <c r="F105" s="76">
        <f t="shared" si="39"/>
        <v>0</v>
      </c>
      <c r="G105" s="76">
        <f t="shared" si="39"/>
        <v>0</v>
      </c>
      <c r="H105" s="76">
        <f t="shared" si="39"/>
        <v>0</v>
      </c>
      <c r="I105" s="76">
        <f t="shared" si="39"/>
        <v>0</v>
      </c>
      <c r="J105" s="76">
        <f t="shared" si="39"/>
        <v>0</v>
      </c>
      <c r="K105" s="76">
        <f t="shared" si="39"/>
        <v>0</v>
      </c>
      <c r="L105" s="76">
        <f t="shared" si="39"/>
        <v>0</v>
      </c>
      <c r="M105" s="76">
        <f t="shared" si="39"/>
        <v>0</v>
      </c>
      <c r="N105" s="76">
        <f t="shared" si="39"/>
        <v>0</v>
      </c>
      <c r="O105" s="76">
        <f t="shared" si="39"/>
        <v>0</v>
      </c>
      <c r="P105" s="76">
        <f t="shared" si="39"/>
        <v>0</v>
      </c>
      <c r="Q105" s="76">
        <f t="shared" si="39"/>
        <v>0</v>
      </c>
      <c r="R105" s="76">
        <f t="shared" si="39"/>
        <v>0</v>
      </c>
      <c r="S105" s="76">
        <f t="shared" si="39"/>
        <v>0</v>
      </c>
      <c r="T105" s="76">
        <f t="shared" si="39"/>
        <v>0</v>
      </c>
      <c r="U105" s="76">
        <f t="shared" si="39"/>
        <v>0</v>
      </c>
      <c r="V105" s="76">
        <f t="shared" ref="V105" si="40">IF(V81&lt;0,V81*-1,0)</f>
        <v>0</v>
      </c>
      <c r="W105" s="76">
        <f t="shared" si="39"/>
        <v>0</v>
      </c>
      <c r="X105" s="76">
        <f t="shared" si="39"/>
        <v>0</v>
      </c>
      <c r="Y105" s="76">
        <f t="shared" si="39"/>
        <v>0</v>
      </c>
      <c r="Z105" s="76">
        <f t="shared" si="39"/>
        <v>0</v>
      </c>
      <c r="AA105" s="76">
        <f t="shared" si="39"/>
        <v>0</v>
      </c>
      <c r="AB105" s="76">
        <f t="shared" si="39"/>
        <v>0</v>
      </c>
      <c r="AC105" s="76">
        <f t="shared" si="39"/>
        <v>0</v>
      </c>
      <c r="AD105" s="76">
        <f t="shared" si="39"/>
        <v>0</v>
      </c>
      <c r="AE105" s="76">
        <f t="shared" si="39"/>
        <v>0</v>
      </c>
      <c r="AF105" s="76">
        <f t="shared" si="39"/>
        <v>0</v>
      </c>
      <c r="AG105" s="98"/>
      <c r="AH105" s="47">
        <f t="shared" si="20"/>
        <v>0</v>
      </c>
      <c r="AI105" s="48">
        <f t="shared" si="21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1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0"/>
        <v>1</v>
      </c>
      <c r="AI106" s="48">
        <f t="shared" si="21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41">SUM(C101:C106)</f>
        <v>0</v>
      </c>
      <c r="D107" s="60">
        <f t="shared" si="41"/>
        <v>0</v>
      </c>
      <c r="E107" s="60">
        <f t="shared" si="41"/>
        <v>0</v>
      </c>
      <c r="F107" s="60">
        <f t="shared" si="41"/>
        <v>0</v>
      </c>
      <c r="G107" s="60">
        <f t="shared" si="41"/>
        <v>0</v>
      </c>
      <c r="H107" s="60">
        <f t="shared" si="41"/>
        <v>0</v>
      </c>
      <c r="I107" s="60">
        <f t="shared" si="41"/>
        <v>0</v>
      </c>
      <c r="J107" s="60">
        <f t="shared" si="41"/>
        <v>0</v>
      </c>
      <c r="K107" s="60">
        <f t="shared" si="41"/>
        <v>0</v>
      </c>
      <c r="L107" s="60">
        <f t="shared" si="41"/>
        <v>0</v>
      </c>
      <c r="M107" s="60">
        <f t="shared" si="41"/>
        <v>0</v>
      </c>
      <c r="N107" s="60">
        <f t="shared" si="41"/>
        <v>0</v>
      </c>
      <c r="O107" s="60">
        <f t="shared" si="41"/>
        <v>0</v>
      </c>
      <c r="P107" s="60">
        <f t="shared" si="41"/>
        <v>0</v>
      </c>
      <c r="Q107" s="60">
        <f t="shared" si="41"/>
        <v>0</v>
      </c>
      <c r="R107" s="60">
        <f t="shared" si="41"/>
        <v>0</v>
      </c>
      <c r="S107" s="60">
        <f t="shared" si="41"/>
        <v>0</v>
      </c>
      <c r="T107" s="60">
        <f t="shared" si="41"/>
        <v>0</v>
      </c>
      <c r="U107" s="60">
        <f t="shared" si="41"/>
        <v>0</v>
      </c>
      <c r="V107" s="60">
        <f t="shared" ref="V107" si="42">SUM(V101:V106)</f>
        <v>1</v>
      </c>
      <c r="W107" s="60">
        <f t="shared" si="41"/>
        <v>0</v>
      </c>
      <c r="X107" s="60">
        <f t="shared" ref="X107" si="43">SUM(X101:X106)</f>
        <v>0</v>
      </c>
      <c r="Y107" s="60">
        <f t="shared" si="41"/>
        <v>0</v>
      </c>
      <c r="Z107" s="60">
        <f t="shared" si="41"/>
        <v>0</v>
      </c>
      <c r="AA107" s="60">
        <f t="shared" si="41"/>
        <v>0</v>
      </c>
      <c r="AB107" s="60">
        <f t="shared" si="41"/>
        <v>0</v>
      </c>
      <c r="AC107" s="60">
        <f t="shared" si="41"/>
        <v>0</v>
      </c>
      <c r="AD107" s="60">
        <f t="shared" si="41"/>
        <v>0</v>
      </c>
      <c r="AE107" s="60">
        <f t="shared" si="41"/>
        <v>0</v>
      </c>
      <c r="AF107" s="60">
        <f t="shared" si="41"/>
        <v>0</v>
      </c>
      <c r="AG107" s="88"/>
      <c r="AH107" s="47">
        <f t="shared" si="20"/>
        <v>1</v>
      </c>
      <c r="AI107" s="48">
        <f t="shared" si="21"/>
        <v>0</v>
      </c>
      <c r="AK107" s="50"/>
    </row>
    <row r="108" spans="1:37" ht="15.75" thickBot="1" x14ac:dyDescent="0.3">
      <c r="A108" s="74" t="s">
        <v>108</v>
      </c>
      <c r="B108" s="60">
        <f t="shared" ref="B108:AF108" si="44">B92-B107</f>
        <v>277</v>
      </c>
      <c r="C108" s="60">
        <f t="shared" si="44"/>
        <v>255</v>
      </c>
      <c r="D108" s="60">
        <f t="shared" si="44"/>
        <v>214</v>
      </c>
      <c r="E108" s="60">
        <f t="shared" si="44"/>
        <v>220</v>
      </c>
      <c r="F108" s="60">
        <f t="shared" si="44"/>
        <v>236.2</v>
      </c>
      <c r="G108" s="60">
        <f t="shared" si="44"/>
        <v>323</v>
      </c>
      <c r="H108" s="60">
        <f t="shared" si="44"/>
        <v>361.8</v>
      </c>
      <c r="I108" s="60">
        <f t="shared" si="44"/>
        <v>407</v>
      </c>
      <c r="J108" s="60">
        <f t="shared" si="44"/>
        <v>469.4</v>
      </c>
      <c r="K108" s="60">
        <f t="shared" si="44"/>
        <v>439</v>
      </c>
      <c r="L108" s="60">
        <f t="shared" si="44"/>
        <v>252.6</v>
      </c>
      <c r="M108" s="60">
        <f t="shared" si="44"/>
        <v>208.5</v>
      </c>
      <c r="N108" s="60">
        <f t="shared" si="44"/>
        <v>155.6</v>
      </c>
      <c r="O108" s="60">
        <f t="shared" si="44"/>
        <v>282</v>
      </c>
      <c r="P108" s="60">
        <f t="shared" si="44"/>
        <v>304.89999999999998</v>
      </c>
      <c r="Q108" s="60">
        <f t="shared" si="44"/>
        <v>442.6</v>
      </c>
      <c r="R108" s="60">
        <f t="shared" si="44"/>
        <v>452.6</v>
      </c>
      <c r="S108" s="60">
        <f t="shared" si="44"/>
        <v>478</v>
      </c>
      <c r="T108" s="60">
        <f t="shared" si="44"/>
        <v>492.5</v>
      </c>
      <c r="U108" s="60">
        <f t="shared" si="44"/>
        <v>327</v>
      </c>
      <c r="V108" s="60">
        <f t="shared" ref="V108" si="45">V92-V107</f>
        <v>382</v>
      </c>
      <c r="W108" s="60">
        <f t="shared" si="44"/>
        <v>361.6</v>
      </c>
      <c r="X108" s="60">
        <f>X92-X107</f>
        <v>280</v>
      </c>
      <c r="Y108" s="60">
        <f t="shared" si="44"/>
        <v>299.8</v>
      </c>
      <c r="Z108" s="60">
        <f t="shared" si="44"/>
        <v>306.3</v>
      </c>
      <c r="AA108" s="60">
        <f t="shared" si="44"/>
        <v>311.10000000000002</v>
      </c>
      <c r="AB108" s="60">
        <f t="shared" si="44"/>
        <v>304.5</v>
      </c>
      <c r="AC108" s="60">
        <f t="shared" si="44"/>
        <v>303.5</v>
      </c>
      <c r="AD108" s="60">
        <f t="shared" si="44"/>
        <v>303.8</v>
      </c>
      <c r="AE108" s="60">
        <f t="shared" si="44"/>
        <v>289</v>
      </c>
      <c r="AF108" s="60">
        <f t="shared" si="44"/>
        <v>268</v>
      </c>
      <c r="AG108" s="88"/>
      <c r="AH108" s="47">
        <f t="shared" si="20"/>
        <v>492.5</v>
      </c>
      <c r="AI108" s="48">
        <f t="shared" si="21"/>
        <v>155.6</v>
      </c>
    </row>
    <row r="109" spans="1:37" x14ac:dyDescent="0.25">
      <c r="A109" s="100" t="s">
        <v>109</v>
      </c>
      <c r="B109" s="101">
        <v>50.024000000000001</v>
      </c>
      <c r="C109" s="101">
        <v>49.99</v>
      </c>
      <c r="D109" s="101">
        <v>49.959000000000003</v>
      </c>
      <c r="E109" s="101">
        <v>49.948</v>
      </c>
      <c r="F109" s="101">
        <v>49.988</v>
      </c>
      <c r="G109" s="101">
        <v>50.01</v>
      </c>
      <c r="H109" s="101">
        <v>50.048000000000002</v>
      </c>
      <c r="I109" s="101">
        <v>50.002000000000002</v>
      </c>
      <c r="J109" s="101">
        <v>49.823999999999998</v>
      </c>
      <c r="K109" s="101">
        <v>49.860999999999997</v>
      </c>
      <c r="L109" s="101">
        <v>49.938000000000002</v>
      </c>
      <c r="M109" s="101">
        <v>50.094000000000001</v>
      </c>
      <c r="N109" s="101">
        <v>50.127000000000002</v>
      </c>
      <c r="O109" s="101">
        <v>50.051000000000002</v>
      </c>
      <c r="P109" s="101">
        <v>50.029000000000003</v>
      </c>
      <c r="Q109" s="101">
        <v>49.905999999999999</v>
      </c>
      <c r="R109" s="101">
        <v>49.978999999999999</v>
      </c>
      <c r="S109" s="101">
        <v>50.052999999999997</v>
      </c>
      <c r="T109" s="101">
        <v>50.058900000000001</v>
      </c>
      <c r="U109" s="101">
        <v>49.966000000000001</v>
      </c>
      <c r="V109" s="101">
        <v>49.91</v>
      </c>
      <c r="W109" s="101">
        <v>50.097999999999999</v>
      </c>
      <c r="X109" s="101">
        <v>49.941000000000003</v>
      </c>
      <c r="Y109" s="101">
        <v>49.945999999999998</v>
      </c>
      <c r="Z109" s="101">
        <v>50.030999999999999</v>
      </c>
      <c r="AA109" s="101">
        <v>50.030999999999999</v>
      </c>
      <c r="AB109" s="101">
        <v>49.89</v>
      </c>
      <c r="AC109" s="101">
        <v>49.963999999999999</v>
      </c>
      <c r="AD109" s="101">
        <v>49.996000000000002</v>
      </c>
      <c r="AE109" s="101">
        <v>50.006999999999998</v>
      </c>
      <c r="AF109" s="101">
        <v>49.948999999999998</v>
      </c>
      <c r="AG109" s="102"/>
      <c r="AH109" s="47">
        <f t="shared" si="20"/>
        <v>50.127000000000002</v>
      </c>
      <c r="AI109" s="48">
        <f t="shared" si="21"/>
        <v>49.823999999999998</v>
      </c>
    </row>
    <row r="110" spans="1:37" x14ac:dyDescent="0.25">
      <c r="A110" s="103" t="s">
        <v>110</v>
      </c>
      <c r="B110" s="65">
        <v>132.30000000000001</v>
      </c>
      <c r="C110" s="65">
        <v>132.6</v>
      </c>
      <c r="D110" s="65">
        <v>132.80000000000001</v>
      </c>
      <c r="E110" s="65">
        <v>132.9</v>
      </c>
      <c r="F110" s="65">
        <v>132.30000000000001</v>
      </c>
      <c r="G110" s="65">
        <v>130.9</v>
      </c>
      <c r="H110" s="65">
        <v>129.80000000000001</v>
      </c>
      <c r="I110" s="65">
        <v>127.8</v>
      </c>
      <c r="J110" s="65">
        <v>125.9</v>
      </c>
      <c r="K110" s="65">
        <v>125.6</v>
      </c>
      <c r="L110" s="65">
        <v>125.5</v>
      </c>
      <c r="M110" s="65">
        <v>122.8</v>
      </c>
      <c r="N110" s="65">
        <v>122.5</v>
      </c>
      <c r="O110" s="65">
        <v>124.2</v>
      </c>
      <c r="P110" s="65">
        <v>125.3</v>
      </c>
      <c r="Q110" s="65">
        <v>125.1</v>
      </c>
      <c r="R110" s="65">
        <v>127.1</v>
      </c>
      <c r="S110" s="65">
        <v>125.4</v>
      </c>
      <c r="T110" s="65">
        <v>127.1</v>
      </c>
      <c r="U110" s="65">
        <v>127.5</v>
      </c>
      <c r="V110" s="65">
        <v>127.5</v>
      </c>
      <c r="W110" s="65">
        <v>129</v>
      </c>
      <c r="X110" s="65">
        <v>127.6</v>
      </c>
      <c r="Y110" s="65">
        <v>127.2</v>
      </c>
      <c r="Z110" s="65">
        <v>128</v>
      </c>
      <c r="AA110" s="65">
        <v>128</v>
      </c>
      <c r="AB110" s="65">
        <v>126.6</v>
      </c>
      <c r="AC110" s="65">
        <v>126.4</v>
      </c>
      <c r="AD110" s="65">
        <v>126.8</v>
      </c>
      <c r="AE110" s="65">
        <v>128.69999999999999</v>
      </c>
      <c r="AF110" s="65">
        <v>129.69999999999999</v>
      </c>
      <c r="AG110" s="104"/>
      <c r="AH110" s="47">
        <f t="shared" si="20"/>
        <v>132.9</v>
      </c>
      <c r="AI110" s="48">
        <f t="shared" si="21"/>
        <v>122.5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20"/>
        <v>0</v>
      </c>
      <c r="AI111" s="48">
        <f t="shared" si="21"/>
        <v>0</v>
      </c>
    </row>
    <row r="112" spans="1:37" x14ac:dyDescent="0.25">
      <c r="A112" s="103" t="s">
        <v>112</v>
      </c>
      <c r="B112" s="65">
        <v>130.6</v>
      </c>
      <c r="C112" s="65">
        <v>132</v>
      </c>
      <c r="D112" s="65">
        <v>131.1</v>
      </c>
      <c r="E112" s="65">
        <v>128.69999999999999</v>
      </c>
      <c r="F112" s="65">
        <v>128.9</v>
      </c>
      <c r="G112" s="65">
        <v>127.7</v>
      </c>
      <c r="H112" s="65">
        <v>127.3</v>
      </c>
      <c r="I112" s="65">
        <v>127.8</v>
      </c>
      <c r="J112" s="65">
        <v>128.9</v>
      </c>
      <c r="K112" s="65">
        <v>127.1</v>
      </c>
      <c r="L112" s="65">
        <v>126.4</v>
      </c>
      <c r="M112" s="65">
        <v>123</v>
      </c>
      <c r="N112" s="65">
        <v>126.3</v>
      </c>
      <c r="O112" s="65">
        <v>126.5</v>
      </c>
      <c r="P112" s="65">
        <v>126.9</v>
      </c>
      <c r="Q112" s="65">
        <v>128.80000000000001</v>
      </c>
      <c r="R112" s="65">
        <v>132.1</v>
      </c>
      <c r="S112" s="65">
        <v>127.1</v>
      </c>
      <c r="T112" s="65">
        <v>126.6</v>
      </c>
      <c r="U112" s="65">
        <v>127</v>
      </c>
      <c r="V112" s="65">
        <v>127</v>
      </c>
      <c r="W112" s="65">
        <v>125.9</v>
      </c>
      <c r="X112" s="65">
        <v>129.6</v>
      </c>
      <c r="Y112" s="65">
        <v>130.1</v>
      </c>
      <c r="Z112" s="65">
        <v>128.69999999999999</v>
      </c>
      <c r="AA112" s="65">
        <v>128.69999999999999</v>
      </c>
      <c r="AB112" s="65">
        <v>131.30000000000001</v>
      </c>
      <c r="AC112" s="65">
        <v>131.6</v>
      </c>
      <c r="AD112" s="65">
        <v>131.69999999999999</v>
      </c>
      <c r="AE112" s="65">
        <v>130.9</v>
      </c>
      <c r="AF112" s="65">
        <v>130.6</v>
      </c>
      <c r="AG112" s="104"/>
      <c r="AH112" s="47">
        <f t="shared" si="20"/>
        <v>132.1</v>
      </c>
      <c r="AI112" s="48">
        <f t="shared" si="21"/>
        <v>123</v>
      </c>
    </row>
    <row r="113" spans="1:35" x14ac:dyDescent="0.25">
      <c r="A113" s="105" t="s">
        <v>113</v>
      </c>
      <c r="B113" s="65">
        <v>131.69999999999999</v>
      </c>
      <c r="C113" s="65">
        <v>133.5</v>
      </c>
      <c r="D113" s="65">
        <v>131.4</v>
      </c>
      <c r="E113" s="65">
        <v>129.69999999999999</v>
      </c>
      <c r="F113" s="65">
        <v>129.9</v>
      </c>
      <c r="G113" s="65">
        <v>128.69999999999999</v>
      </c>
      <c r="H113" s="65">
        <v>130</v>
      </c>
      <c r="I113" s="65">
        <v>128.9</v>
      </c>
      <c r="J113" s="65">
        <v>129.9</v>
      </c>
      <c r="K113" s="65">
        <v>129.5</v>
      </c>
      <c r="L113" s="65">
        <v>128.19999999999999</v>
      </c>
      <c r="M113" s="65">
        <v>125.6</v>
      </c>
      <c r="N113" s="65">
        <v>127.3</v>
      </c>
      <c r="O113" s="65">
        <v>127.7</v>
      </c>
      <c r="P113" s="65">
        <v>128.4</v>
      </c>
      <c r="Q113" s="65">
        <v>130.9</v>
      </c>
      <c r="R113" s="65">
        <v>134.6</v>
      </c>
      <c r="S113" s="65">
        <v>131.19999999999999</v>
      </c>
      <c r="T113" s="65">
        <v>130.1</v>
      </c>
      <c r="U113" s="65">
        <v>135</v>
      </c>
      <c r="V113" s="65">
        <v>135</v>
      </c>
      <c r="W113" s="65">
        <v>128.30000000000001</v>
      </c>
      <c r="X113" s="65">
        <v>131.6</v>
      </c>
      <c r="Y113" s="65">
        <v>131.69999999999999</v>
      </c>
      <c r="Z113" s="65">
        <v>131.80000000000001</v>
      </c>
      <c r="AA113" s="65">
        <v>131.80000000000001</v>
      </c>
      <c r="AB113" s="65">
        <v>133.19999999999999</v>
      </c>
      <c r="AC113" s="65">
        <v>133.69999999999999</v>
      </c>
      <c r="AD113" s="65">
        <v>132.19999999999999</v>
      </c>
      <c r="AE113" s="65">
        <v>131</v>
      </c>
      <c r="AF113" s="65">
        <v>131.1</v>
      </c>
      <c r="AG113" s="104"/>
      <c r="AH113" s="47">
        <f t="shared" si="20"/>
        <v>135</v>
      </c>
      <c r="AI113" s="48">
        <f t="shared" si="21"/>
        <v>125.6</v>
      </c>
    </row>
    <row r="114" spans="1:35" x14ac:dyDescent="0.25">
      <c r="A114" s="105" t="s">
        <v>114</v>
      </c>
      <c r="B114" s="106">
        <v>138.4</v>
      </c>
      <c r="C114" s="106">
        <v>139.1</v>
      </c>
      <c r="D114" s="106">
        <v>139</v>
      </c>
      <c r="E114" s="106">
        <v>137.9</v>
      </c>
      <c r="F114" s="106">
        <v>136.80000000000001</v>
      </c>
      <c r="G114" s="106">
        <v>136.5</v>
      </c>
      <c r="H114" s="106">
        <v>134.9</v>
      </c>
      <c r="I114" s="106">
        <v>130.30000000000001</v>
      </c>
      <c r="J114" s="106">
        <v>129.9</v>
      </c>
      <c r="K114" s="106">
        <v>130.19999999999999</v>
      </c>
      <c r="L114" s="106">
        <v>132.30000000000001</v>
      </c>
      <c r="M114" s="106">
        <v>132</v>
      </c>
      <c r="N114" s="106">
        <v>130.4</v>
      </c>
      <c r="O114" s="106">
        <v>133.5</v>
      </c>
      <c r="P114" s="106">
        <v>133.6</v>
      </c>
      <c r="Q114" s="106">
        <v>134.5</v>
      </c>
      <c r="R114" s="106">
        <v>134.80000000000001</v>
      </c>
      <c r="S114" s="106">
        <v>131.5</v>
      </c>
      <c r="T114" s="106">
        <v>133.9</v>
      </c>
      <c r="U114" s="106">
        <v>131.19999999999999</v>
      </c>
      <c r="V114" s="106">
        <v>131.19999999999999</v>
      </c>
      <c r="W114" s="106">
        <v>134.6</v>
      </c>
      <c r="X114" s="106">
        <v>134.6</v>
      </c>
      <c r="Y114" s="106">
        <v>134.4</v>
      </c>
      <c r="Z114" s="106">
        <v>135.80000000000001</v>
      </c>
      <c r="AA114" s="106">
        <v>135.80000000000001</v>
      </c>
      <c r="AB114" s="106">
        <v>133.19999999999999</v>
      </c>
      <c r="AC114" s="106">
        <v>132.80000000000001</v>
      </c>
      <c r="AD114" s="106">
        <v>133.1</v>
      </c>
      <c r="AE114" s="106">
        <v>135.19999999999999</v>
      </c>
      <c r="AF114" s="106">
        <v>133.6</v>
      </c>
      <c r="AG114" s="107"/>
      <c r="AH114" s="47">
        <f t="shared" si="20"/>
        <v>139.1</v>
      </c>
      <c r="AI114" s="48">
        <f t="shared" si="21"/>
        <v>129.9</v>
      </c>
    </row>
    <row r="115" spans="1:35" x14ac:dyDescent="0.25">
      <c r="A115" s="103" t="s">
        <v>115</v>
      </c>
      <c r="B115" s="65">
        <v>133.6</v>
      </c>
      <c r="C115" s="65">
        <v>132</v>
      </c>
      <c r="D115" s="65">
        <v>131.4</v>
      </c>
      <c r="E115" s="65">
        <v>134.80000000000001</v>
      </c>
      <c r="F115" s="65">
        <v>135.6</v>
      </c>
      <c r="G115" s="65">
        <v>131.69999999999999</v>
      </c>
      <c r="H115" s="65">
        <v>131.19999999999999</v>
      </c>
      <c r="I115" s="65">
        <v>130.30000000000001</v>
      </c>
      <c r="J115" s="65">
        <v>129.1</v>
      </c>
      <c r="K115" s="65">
        <v>128.5</v>
      </c>
      <c r="L115" s="65">
        <v>128.19999999999999</v>
      </c>
      <c r="M115" s="65">
        <v>126.9</v>
      </c>
      <c r="N115" s="65">
        <v>128.5</v>
      </c>
      <c r="O115" s="65">
        <v>127.3</v>
      </c>
      <c r="P115" s="65">
        <v>122.5</v>
      </c>
      <c r="Q115" s="65">
        <v>123.9</v>
      </c>
      <c r="R115" s="65">
        <v>126.9</v>
      </c>
      <c r="S115" s="65">
        <v>127</v>
      </c>
      <c r="T115" s="65">
        <v>129.6</v>
      </c>
      <c r="U115" s="65">
        <v>134.6</v>
      </c>
      <c r="V115" s="65">
        <v>134.6</v>
      </c>
      <c r="W115" s="65">
        <v>132.1</v>
      </c>
      <c r="X115" s="65">
        <v>132.1</v>
      </c>
      <c r="Y115" s="65">
        <v>134.5</v>
      </c>
      <c r="Z115" s="65">
        <v>132.69999999999999</v>
      </c>
      <c r="AA115" s="65">
        <v>132.69999999999999</v>
      </c>
      <c r="AB115" s="65">
        <v>132.4</v>
      </c>
      <c r="AC115" s="65">
        <v>134.19999999999999</v>
      </c>
      <c r="AD115" s="65">
        <v>133.30000000000001</v>
      </c>
      <c r="AE115" s="65">
        <v>133.80000000000001</v>
      </c>
      <c r="AF115" s="65">
        <v>135.5</v>
      </c>
      <c r="AG115" s="104"/>
      <c r="AH115" s="47">
        <f t="shared" si="20"/>
        <v>135.6</v>
      </c>
      <c r="AI115" s="48">
        <f t="shared" si="21"/>
        <v>122.5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20"/>
        <v>0</v>
      </c>
      <c r="AI116" s="48">
        <f t="shared" si="21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0"/>
        <v>0</v>
      </c>
      <c r="AI117" s="48">
        <f t="shared" si="21"/>
        <v>0</v>
      </c>
    </row>
    <row r="118" spans="1:35" ht="15.75" thickBot="1" x14ac:dyDescent="0.3">
      <c r="A118" s="110" t="s">
        <v>118</v>
      </c>
      <c r="B118" s="111">
        <f t="shared" ref="B118:O118" si="46">SUM(B22,B28,B31:B32,B66,B68:B69,B71,B73,B119:B123,B155,B161,B167,B176,B178,B190,B197,B200:B201,B208,B210,B212,B216:B218,B220:B222,B227,B233:B234,B236:B238,B246,B251)</f>
        <v>130.63999999999999</v>
      </c>
      <c r="C118" s="111">
        <f t="shared" si="46"/>
        <v>106.87</v>
      </c>
      <c r="D118" s="111">
        <f t="shared" si="46"/>
        <v>102.39</v>
      </c>
      <c r="E118" s="111">
        <f t="shared" si="46"/>
        <v>93.39</v>
      </c>
      <c r="F118" s="111">
        <f t="shared" si="46"/>
        <v>99.26</v>
      </c>
      <c r="G118" s="111">
        <f t="shared" si="46"/>
        <v>127.56000000000002</v>
      </c>
      <c r="H118" s="111">
        <f t="shared" si="46"/>
        <v>148.20000000000002</v>
      </c>
      <c r="I118" s="111">
        <f t="shared" si="46"/>
        <v>174.04000000000002</v>
      </c>
      <c r="J118" s="111">
        <f t="shared" si="46"/>
        <v>207.46000000000004</v>
      </c>
      <c r="K118" s="111">
        <f t="shared" si="46"/>
        <v>239.54</v>
      </c>
      <c r="L118" s="111">
        <f t="shared" si="46"/>
        <v>266.00000000000006</v>
      </c>
      <c r="M118" s="111">
        <f t="shared" si="46"/>
        <v>300.83999999999997</v>
      </c>
      <c r="N118" s="111">
        <f t="shared" si="46"/>
        <v>298.04000000000002</v>
      </c>
      <c r="O118" s="111">
        <f t="shared" si="46"/>
        <v>255.34</v>
      </c>
      <c r="P118" s="111">
        <v>42</v>
      </c>
      <c r="Q118" s="111">
        <f t="shared" ref="Q118:AC118" si="47">SUM(Q22,Q28,Q31:Q32,Q66,Q68:Q69,Q71,Q73,Q119:Q123,Q155,Q161,Q167,Q176,Q178,Q190,Q197,Q200:Q201,Q208,Q210,Q212,Q216:Q218,Q220:Q222,Q227,Q233:Q234,Q236:Q238,Q246,Q251)</f>
        <v>197.84</v>
      </c>
      <c r="R118" s="111">
        <f t="shared" si="47"/>
        <v>211.34</v>
      </c>
      <c r="S118" s="111">
        <f t="shared" si="47"/>
        <v>223.64</v>
      </c>
      <c r="T118" s="111">
        <f t="shared" si="47"/>
        <v>213.18099999999998</v>
      </c>
      <c r="U118" s="111">
        <f t="shared" si="47"/>
        <v>222.21</v>
      </c>
      <c r="V118" s="111">
        <f t="shared" si="47"/>
        <v>222.21</v>
      </c>
      <c r="W118" s="111">
        <f t="shared" si="47"/>
        <v>333.61600000000004</v>
      </c>
      <c r="X118" s="111">
        <f>SUM(X22,X28,X31:X32,X66,X68:X69,X71,X73,X119:X123,X155,X161,X167,X176,X178,X190,X197,X200:X201,X208,X210,X212,X216:X218,X220:X222,X227,X233:X234,X236:X238,X246,X251)</f>
        <v>408.64</v>
      </c>
      <c r="Y118" s="111">
        <f>SUM(Y22,Y28,Y31:Y32,Y66,Y68:Y69,Y71,Y73,Y119:Y123,Y155,Y161,Y167,Y176,Y178,Y190,Y197,Y200:Y201,Y208,Y210,Y212,Y216:Y218,Y220:Y222,Y227,Y233:Y234,Y236:Y238,Y246,Y251)</f>
        <v>406.38799999999998</v>
      </c>
      <c r="Z118" s="111">
        <f t="shared" si="47"/>
        <v>395.476</v>
      </c>
      <c r="AA118" s="111">
        <f t="shared" si="47"/>
        <v>344.12700000000001</v>
      </c>
      <c r="AB118" s="111">
        <f t="shared" si="47"/>
        <v>359.988</v>
      </c>
      <c r="AC118" s="111">
        <f t="shared" si="47"/>
        <v>347.34199999999998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225.15099999999998</v>
      </c>
      <c r="AF118" s="111">
        <f>SUM(AF22,AF28,AF31:AF32,AF66,AF68:AF69,AF71,AF73,AF119:AF123,AF155,AF161,AF167,AF176,AF178,AF190,AF197,AF200:AF201,AF208,AF210,AF212,AF216:AF218,AF220:AF222,AF227,AF233:AF234,AF236:AF238,AF246,AF251)</f>
        <v>171.15699999999998</v>
      </c>
      <c r="AG118" s="112"/>
      <c r="AH118" s="47">
        <f t="shared" si="20"/>
        <v>408.64</v>
      </c>
      <c r="AI118" s="48">
        <f t="shared" si="21"/>
        <v>42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>
        <v>83</v>
      </c>
      <c r="V119" s="113">
        <v>83</v>
      </c>
      <c r="W119" s="113">
        <v>52.4</v>
      </c>
      <c r="X119" s="113">
        <v>81.599999999999994</v>
      </c>
      <c r="Y119" s="113">
        <v>79.3</v>
      </c>
      <c r="Z119" s="113">
        <v>78.599999999999994</v>
      </c>
      <c r="AA119" s="113">
        <v>81.400000000000006</v>
      </c>
      <c r="AB119" s="113">
        <v>80.400000000000006</v>
      </c>
      <c r="AC119" s="113">
        <v>82.2</v>
      </c>
      <c r="AD119" s="113">
        <v>74.900000000000006</v>
      </c>
      <c r="AE119" s="113">
        <v>43.9</v>
      </c>
      <c r="AF119" s="113">
        <v>17.5</v>
      </c>
      <c r="AG119" s="114">
        <v>75</v>
      </c>
      <c r="AH119" s="47">
        <f t="shared" si="20"/>
        <v>83</v>
      </c>
      <c r="AI119" s="48">
        <f t="shared" si="21"/>
        <v>17.5</v>
      </c>
    </row>
    <row r="120" spans="1:35" x14ac:dyDescent="0.25">
      <c r="A120" s="182" t="s">
        <v>120</v>
      </c>
      <c r="B120" s="115">
        <v>-3.4</v>
      </c>
      <c r="C120" s="115">
        <v>0</v>
      </c>
      <c r="D120" s="115">
        <v>-1.5</v>
      </c>
      <c r="E120" s="115">
        <v>-1.4</v>
      </c>
      <c r="F120" s="115">
        <v>-1.3</v>
      </c>
      <c r="G120" s="115">
        <v>-5.3</v>
      </c>
      <c r="H120" s="115">
        <v>0</v>
      </c>
      <c r="I120" s="115">
        <v>4.3</v>
      </c>
      <c r="J120" s="115">
        <v>15.8</v>
      </c>
      <c r="K120" s="115">
        <v>35.1</v>
      </c>
      <c r="L120" s="115">
        <v>35.6</v>
      </c>
      <c r="M120" s="115">
        <v>48.9</v>
      </c>
      <c r="N120" s="115">
        <v>47.9</v>
      </c>
      <c r="O120" s="115">
        <v>0</v>
      </c>
      <c r="P120" s="115">
        <v>0</v>
      </c>
      <c r="Q120" s="115">
        <v>0</v>
      </c>
      <c r="R120" s="115">
        <v>0</v>
      </c>
      <c r="S120" s="115"/>
      <c r="T120" s="115"/>
      <c r="U120" s="115">
        <v>0</v>
      </c>
      <c r="V120" s="115">
        <v>0</v>
      </c>
      <c r="W120" s="115">
        <v>0</v>
      </c>
      <c r="X120" s="115">
        <v>0</v>
      </c>
      <c r="Y120" s="115">
        <v>0</v>
      </c>
      <c r="Z120" s="115">
        <v>0</v>
      </c>
      <c r="AA120" s="115">
        <v>0</v>
      </c>
      <c r="AB120" s="115">
        <v>0</v>
      </c>
      <c r="AC120" s="115">
        <v>0</v>
      </c>
      <c r="AD120" s="115">
        <v>0</v>
      </c>
      <c r="AE120" s="115">
        <v>0</v>
      </c>
      <c r="AF120" s="115">
        <v>0</v>
      </c>
      <c r="AG120" s="114">
        <v>240</v>
      </c>
      <c r="AH120" s="47">
        <f t="shared" si="20"/>
        <v>48.9</v>
      </c>
      <c r="AI120" s="48">
        <f t="shared" si="21"/>
        <v>-5.3</v>
      </c>
    </row>
    <row r="121" spans="1:35" x14ac:dyDescent="0.25">
      <c r="A121" s="182" t="s">
        <v>121</v>
      </c>
      <c r="B121" s="115">
        <v>-38</v>
      </c>
      <c r="C121" s="115">
        <v>-49</v>
      </c>
      <c r="D121" s="115">
        <v>-50</v>
      </c>
      <c r="E121" s="115">
        <f>-23.1-26.2</f>
        <v>-49.3</v>
      </c>
      <c r="F121" s="115">
        <f>-22.9-25.6</f>
        <v>-48.5</v>
      </c>
      <c r="G121" s="115">
        <f>-18.3-21.2</f>
        <v>-39.5</v>
      </c>
      <c r="H121" s="115">
        <f>-17.1-19.7</f>
        <v>-36.799999999999997</v>
      </c>
      <c r="I121" s="115">
        <f>-15.7-17.9</f>
        <v>-33.599999999999994</v>
      </c>
      <c r="J121" s="115">
        <f>-10-12.4</f>
        <v>-22.4</v>
      </c>
      <c r="K121" s="115">
        <f>-3.8-4.5</f>
        <v>-8.3000000000000007</v>
      </c>
      <c r="L121" s="115">
        <v>-8.1999999999999993</v>
      </c>
      <c r="M121" s="115">
        <v>3.8</v>
      </c>
      <c r="N121" s="115">
        <f>-0.7-0.9</f>
        <v>-1.6</v>
      </c>
      <c r="O121" s="115">
        <v>15.6</v>
      </c>
      <c r="P121" s="115">
        <v>1.9</v>
      </c>
      <c r="Q121" s="115">
        <v>-10.6</v>
      </c>
      <c r="R121" s="115">
        <f>-3.8-4.4</f>
        <v>-8.1999999999999993</v>
      </c>
      <c r="S121" s="115">
        <v>-9.6</v>
      </c>
      <c r="T121" s="115">
        <v>-13</v>
      </c>
      <c r="U121" s="115">
        <v>-35.6</v>
      </c>
      <c r="V121" s="115">
        <v>-35.6</v>
      </c>
      <c r="W121" s="115">
        <v>6.3</v>
      </c>
      <c r="X121" s="115">
        <v>24.6</v>
      </c>
      <c r="Y121" s="115">
        <v>27</v>
      </c>
      <c r="Z121" s="115">
        <v>25.9</v>
      </c>
      <c r="AA121" s="115">
        <v>-22.6</v>
      </c>
      <c r="AB121" s="115">
        <v>29.7</v>
      </c>
      <c r="AC121" s="115">
        <v>24</v>
      </c>
      <c r="AD121" s="115">
        <v>16.899999999999999</v>
      </c>
      <c r="AE121" s="115">
        <v>-14.4</v>
      </c>
      <c r="AF121" s="115">
        <v>-28</v>
      </c>
      <c r="AG121" s="114">
        <v>240</v>
      </c>
      <c r="AH121" s="47">
        <f t="shared" si="20"/>
        <v>29.7</v>
      </c>
      <c r="AI121" s="48">
        <f t="shared" si="21"/>
        <v>-50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>
        <v>47.2</v>
      </c>
      <c r="X122" s="115">
        <v>55</v>
      </c>
      <c r="Y122" s="115">
        <v>52.5</v>
      </c>
      <c r="Z122" s="115">
        <v>46</v>
      </c>
      <c r="AA122" s="115">
        <v>39</v>
      </c>
      <c r="AB122" s="115"/>
      <c r="AC122" s="115"/>
      <c r="AD122" s="115"/>
      <c r="AE122" s="115"/>
      <c r="AF122" s="115">
        <v>0</v>
      </c>
      <c r="AG122" s="114">
        <v>60</v>
      </c>
      <c r="AH122" s="47">
        <f t="shared" si="20"/>
        <v>55</v>
      </c>
      <c r="AI122" s="48">
        <f t="shared" si="21"/>
        <v>0</v>
      </c>
    </row>
    <row r="123" spans="1:35" x14ac:dyDescent="0.25">
      <c r="A123" s="181" t="s">
        <v>267</v>
      </c>
      <c r="B123" s="117">
        <f>38*1.65</f>
        <v>62.699999999999996</v>
      </c>
      <c r="C123" s="117">
        <f>28.2*1.65</f>
        <v>46.529999999999994</v>
      </c>
      <c r="D123" s="117">
        <f>27*1.65</f>
        <v>44.55</v>
      </c>
      <c r="E123" s="117">
        <f>24.7*1.5</f>
        <v>37.049999999999997</v>
      </c>
      <c r="F123" s="117">
        <f>26.7*1.6</f>
        <v>42.72</v>
      </c>
      <c r="G123" s="117">
        <f>1.6*42.7</f>
        <v>68.320000000000007</v>
      </c>
      <c r="H123" s="117">
        <f>50.6*1.6</f>
        <v>80.960000000000008</v>
      </c>
      <c r="I123" s="117">
        <f>60*1.6</f>
        <v>96</v>
      </c>
      <c r="J123" s="117">
        <f>66.7*1.6</f>
        <v>106.72000000000001</v>
      </c>
      <c r="K123" s="117">
        <f>66.5*1.6</f>
        <v>106.4</v>
      </c>
      <c r="L123" s="117">
        <f>81.6*1.6</f>
        <v>130.56</v>
      </c>
      <c r="M123" s="117">
        <f>93*1.5</f>
        <v>139.5</v>
      </c>
      <c r="N123" s="117">
        <f>95*1.5</f>
        <v>142.5</v>
      </c>
      <c r="O123" s="117">
        <f>86*1.5</f>
        <v>129</v>
      </c>
      <c r="P123" s="117">
        <f>78*1.5</f>
        <v>117</v>
      </c>
      <c r="Q123" s="117">
        <f>58*1.5</f>
        <v>87</v>
      </c>
      <c r="R123" s="117">
        <f>66*1.5</f>
        <v>99</v>
      </c>
      <c r="S123" s="117">
        <v>116</v>
      </c>
      <c r="T123" s="117">
        <f>1.63*70.7</f>
        <v>115.241</v>
      </c>
      <c r="U123" s="117">
        <f>1.63*39</f>
        <v>63.569999999999993</v>
      </c>
      <c r="V123" s="117">
        <f>1.63*39</f>
        <v>63.569999999999993</v>
      </c>
      <c r="W123" s="117">
        <f>1.63*75.2</f>
        <v>122.57599999999999</v>
      </c>
      <c r="X123" s="117">
        <v>145</v>
      </c>
      <c r="Y123" s="117">
        <f>1.63*89.6</f>
        <v>146.04799999999997</v>
      </c>
      <c r="Z123" s="117">
        <f>1.63*87.2</f>
        <v>142.136</v>
      </c>
      <c r="AA123" s="117">
        <f>1.63*87.6</f>
        <v>142.78799999999998</v>
      </c>
      <c r="AB123" s="117">
        <f>84.4*1.67</f>
        <v>140.94800000000001</v>
      </c>
      <c r="AC123" s="117">
        <f>80.6*1.67</f>
        <v>134.60199999999998</v>
      </c>
      <c r="AD123" s="117">
        <f>75.8*1.67</f>
        <v>126.58599999999998</v>
      </c>
      <c r="AE123" s="117">
        <f>53.3*1.67</f>
        <v>89.010999999999996</v>
      </c>
      <c r="AF123" s="117">
        <f>45.1*1.67</f>
        <v>75.316999999999993</v>
      </c>
      <c r="AG123" s="118">
        <v>120</v>
      </c>
      <c r="AH123" s="47">
        <f t="shared" si="20"/>
        <v>146.04799999999997</v>
      </c>
      <c r="AI123" s="48">
        <f t="shared" si="21"/>
        <v>37.049999999999997</v>
      </c>
    </row>
    <row r="124" spans="1:35" x14ac:dyDescent="0.25">
      <c r="A124" s="182" t="s">
        <v>266</v>
      </c>
      <c r="B124" s="117">
        <v>61</v>
      </c>
      <c r="C124" s="117">
        <v>53</v>
      </c>
      <c r="D124" s="117">
        <v>51</v>
      </c>
      <c r="E124" s="117">
        <v>49.8</v>
      </c>
      <c r="F124" s="117">
        <v>50.8</v>
      </c>
      <c r="G124" s="117">
        <v>64.2</v>
      </c>
      <c r="H124" s="117">
        <v>71.7</v>
      </c>
      <c r="I124" s="117">
        <v>78.3</v>
      </c>
      <c r="J124" s="117">
        <v>83.3</v>
      </c>
      <c r="K124" s="117">
        <v>82.9</v>
      </c>
      <c r="L124" s="117">
        <v>94.5</v>
      </c>
      <c r="M124" s="117">
        <v>103.4</v>
      </c>
      <c r="N124" s="117">
        <v>105.4</v>
      </c>
      <c r="O124" s="117">
        <v>98.7</v>
      </c>
      <c r="P124" s="117">
        <v>92.4</v>
      </c>
      <c r="Q124" s="117">
        <v>74.8</v>
      </c>
      <c r="R124" s="117">
        <v>81.7</v>
      </c>
      <c r="S124" s="117">
        <v>85.7</v>
      </c>
      <c r="T124" s="117">
        <v>97.9</v>
      </c>
      <c r="U124" s="117">
        <v>64</v>
      </c>
      <c r="V124" s="117">
        <v>64</v>
      </c>
      <c r="W124" s="117">
        <v>91.5</v>
      </c>
      <c r="X124" s="117">
        <v>99.5</v>
      </c>
      <c r="Y124" s="117">
        <v>102.3</v>
      </c>
      <c r="Z124" s="117">
        <v>100.1</v>
      </c>
      <c r="AA124" s="117">
        <v>100.7</v>
      </c>
      <c r="AB124" s="117">
        <v>99</v>
      </c>
      <c r="AC124" s="117">
        <v>85.6</v>
      </c>
      <c r="AD124" s="117">
        <v>91.8</v>
      </c>
      <c r="AE124" s="117">
        <v>74.7</v>
      </c>
      <c r="AF124" s="117">
        <v>67.7</v>
      </c>
      <c r="AG124" s="118"/>
      <c r="AH124" s="47"/>
      <c r="AI124" s="48"/>
    </row>
    <row r="125" spans="1:35" x14ac:dyDescent="0.25">
      <c r="A125" s="182" t="s">
        <v>263</v>
      </c>
      <c r="B125" s="117">
        <v>32</v>
      </c>
      <c r="C125" s="117">
        <v>30</v>
      </c>
      <c r="D125" s="117">
        <v>31.1</v>
      </c>
      <c r="E125" s="117">
        <v>31.6</v>
      </c>
      <c r="F125" s="117">
        <v>31.3</v>
      </c>
      <c r="G125" s="117">
        <v>41.2</v>
      </c>
      <c r="H125" s="117">
        <v>37.700000000000003</v>
      </c>
      <c r="I125" s="117">
        <v>33.1</v>
      </c>
      <c r="J125" s="117">
        <v>14.9</v>
      </c>
      <c r="K125" s="117">
        <v>-14.6</v>
      </c>
      <c r="L125" s="117">
        <v>-29.1</v>
      </c>
      <c r="M125" s="117">
        <v>-31.7</v>
      </c>
      <c r="N125" s="117">
        <v>-22.1</v>
      </c>
      <c r="O125" s="117">
        <v>-18.100000000000001</v>
      </c>
      <c r="P125" s="117">
        <v>-15.5</v>
      </c>
      <c r="Q125" s="117">
        <v>-15.3</v>
      </c>
      <c r="R125" s="117">
        <v>15.3</v>
      </c>
      <c r="S125" s="117">
        <v>15.8</v>
      </c>
      <c r="T125" s="117">
        <v>17.3</v>
      </c>
      <c r="U125" s="117">
        <v>-39.1</v>
      </c>
      <c r="V125" s="117">
        <v>-39.1</v>
      </c>
      <c r="W125" s="117">
        <v>-34.9</v>
      </c>
      <c r="X125" s="117">
        <v>-56.8</v>
      </c>
      <c r="Y125" s="117">
        <v>-56.4</v>
      </c>
      <c r="Z125" s="117">
        <v>-51.7</v>
      </c>
      <c r="AA125" s="117">
        <v>-47.3</v>
      </c>
      <c r="AB125" s="117">
        <v>-40.4</v>
      </c>
      <c r="AC125" s="117">
        <v>-35</v>
      </c>
      <c r="AD125" s="117">
        <v>-22.6</v>
      </c>
      <c r="AE125" s="117">
        <v>6.1</v>
      </c>
      <c r="AF125" s="117">
        <v>29.4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60</v>
      </c>
      <c r="C126" s="117">
        <v>53</v>
      </c>
      <c r="D126" s="117">
        <v>49.2</v>
      </c>
      <c r="E126" s="117">
        <v>46.5</v>
      </c>
      <c r="F126" s="117">
        <v>46.8</v>
      </c>
      <c r="G126" s="117">
        <v>70.3</v>
      </c>
      <c r="H126" s="117">
        <v>77.599999999999994</v>
      </c>
      <c r="I126" s="117">
        <v>86.3</v>
      </c>
      <c r="J126" s="117">
        <v>92.2</v>
      </c>
      <c r="K126" s="117">
        <v>85.6</v>
      </c>
      <c r="L126" s="117">
        <v>88.6</v>
      </c>
      <c r="M126" s="117">
        <v>98.6</v>
      </c>
      <c r="N126" s="117">
        <v>96.2</v>
      </c>
      <c r="O126" s="117">
        <v>99.9</v>
      </c>
      <c r="P126" s="117">
        <v>93.5</v>
      </c>
      <c r="Q126" s="117">
        <v>85.3</v>
      </c>
      <c r="R126" s="117">
        <v>93.2</v>
      </c>
      <c r="S126" s="117">
        <v>99.1</v>
      </c>
      <c r="T126" s="117">
        <v>103.1</v>
      </c>
      <c r="U126" s="117">
        <v>89.3</v>
      </c>
      <c r="V126" s="117">
        <v>89.3</v>
      </c>
      <c r="W126" s="117">
        <v>81.099999999999994</v>
      </c>
      <c r="X126" s="117">
        <v>81.099999999999994</v>
      </c>
      <c r="Y126" s="117">
        <v>89.5</v>
      </c>
      <c r="Z126" s="117">
        <v>90.3</v>
      </c>
      <c r="AA126" s="117">
        <v>92.4</v>
      </c>
      <c r="AB126" s="117">
        <v>88.6</v>
      </c>
      <c r="AC126" s="117">
        <v>80.8</v>
      </c>
      <c r="AD126" s="117">
        <v>80.400000000000006</v>
      </c>
      <c r="AE126" s="117">
        <v>70.3</v>
      </c>
      <c r="AF126" s="117">
        <v>67.3</v>
      </c>
      <c r="AG126" s="114"/>
      <c r="AH126" s="47">
        <f t="shared" si="20"/>
        <v>103.1</v>
      </c>
      <c r="AI126" s="48">
        <f t="shared" si="21"/>
        <v>46.5</v>
      </c>
    </row>
    <row r="127" spans="1:35" x14ac:dyDescent="0.25">
      <c r="A127" s="181" t="s">
        <v>264</v>
      </c>
      <c r="B127" s="117">
        <v>16</v>
      </c>
      <c r="C127" s="117">
        <v>10.4</v>
      </c>
      <c r="D127" s="117">
        <v>11.3</v>
      </c>
      <c r="E127" s="117">
        <v>12.2</v>
      </c>
      <c r="F127" s="117">
        <v>12.1</v>
      </c>
      <c r="G127" s="117">
        <v>17.5</v>
      </c>
      <c r="H127" s="117">
        <v>25.7</v>
      </c>
      <c r="I127" s="117">
        <v>30.3</v>
      </c>
      <c r="J127" s="117">
        <v>21.8</v>
      </c>
      <c r="K127" s="117">
        <v>-9.5</v>
      </c>
      <c r="L127" s="117">
        <v>-7.5</v>
      </c>
      <c r="M127" s="117">
        <v>-13.3</v>
      </c>
      <c r="N127" s="117">
        <v>-9.8000000000000007</v>
      </c>
      <c r="O127" s="117">
        <v>-33.200000000000003</v>
      </c>
      <c r="P127" s="117">
        <v>-35.6</v>
      </c>
      <c r="Q127" s="117">
        <v>-42.8</v>
      </c>
      <c r="R127" s="117">
        <v>-14.1</v>
      </c>
      <c r="S127" s="117">
        <v>-9.5</v>
      </c>
      <c r="T127" s="117">
        <v>7.8</v>
      </c>
      <c r="U127" s="117">
        <v>-16.399999999999999</v>
      </c>
      <c r="V127" s="117">
        <v>-16.399999999999999</v>
      </c>
      <c r="W127" s="117">
        <v>7.9</v>
      </c>
      <c r="X127" s="117">
        <v>-8.9</v>
      </c>
      <c r="Y127" s="117">
        <v>-6.1</v>
      </c>
      <c r="Z127" s="117">
        <v>-6.3</v>
      </c>
      <c r="AA127" s="117">
        <v>-8.4</v>
      </c>
      <c r="AB127" s="117">
        <v>-11.3</v>
      </c>
      <c r="AC127" s="117">
        <v>-12.6</v>
      </c>
      <c r="AD127" s="117">
        <v>-8.8000000000000007</v>
      </c>
      <c r="AE127" s="117">
        <v>0</v>
      </c>
      <c r="AF127" s="106">
        <v>14</v>
      </c>
      <c r="AG127" s="114"/>
      <c r="AH127" s="47">
        <f t="shared" si="20"/>
        <v>30.3</v>
      </c>
      <c r="AI127" s="48">
        <f t="shared" si="21"/>
        <v>-42.8</v>
      </c>
    </row>
    <row r="128" spans="1:35" x14ac:dyDescent="0.25">
      <c r="A128" s="182" t="s">
        <v>126</v>
      </c>
      <c r="B128" s="106">
        <v>-0.3</v>
      </c>
      <c r="C128" s="106">
        <v>0</v>
      </c>
      <c r="D128" s="106">
        <v>1.7</v>
      </c>
      <c r="E128" s="106">
        <v>2.7</v>
      </c>
      <c r="F128" s="106">
        <v>2</v>
      </c>
      <c r="G128" s="106">
        <v>-1</v>
      </c>
      <c r="H128" s="106">
        <v>-6.9</v>
      </c>
      <c r="I128" s="106">
        <v>-12.5</v>
      </c>
      <c r="J128" s="106">
        <v>-18.7</v>
      </c>
      <c r="K128" s="106">
        <v>-26.6</v>
      </c>
      <c r="L128" s="106">
        <v>-31.9</v>
      </c>
      <c r="M128" s="106">
        <v>-32.6</v>
      </c>
      <c r="N128" s="106">
        <v>-29.6</v>
      </c>
      <c r="O128" s="106">
        <v>-25.5</v>
      </c>
      <c r="P128" s="106">
        <v>-21.4</v>
      </c>
      <c r="Q128" s="106">
        <v>-13.9</v>
      </c>
      <c r="R128" s="106">
        <v>-4.7</v>
      </c>
      <c r="S128" s="106">
        <v>-8.6999999999999993</v>
      </c>
      <c r="T128" s="106">
        <v>-12.4</v>
      </c>
      <c r="U128" s="106">
        <v>-16.2</v>
      </c>
      <c r="V128" s="106">
        <v>-16.2</v>
      </c>
      <c r="W128" s="106">
        <v>-40.700000000000003</v>
      </c>
      <c r="X128" s="106">
        <v>-42.1</v>
      </c>
      <c r="Y128" s="106">
        <v>-44.6</v>
      </c>
      <c r="Z128" s="106">
        <v>-35.200000000000003</v>
      </c>
      <c r="AA128" s="106">
        <v>-33.5</v>
      </c>
      <c r="AB128" s="106">
        <v>-26.3</v>
      </c>
      <c r="AC128" s="106">
        <v>-26.5</v>
      </c>
      <c r="AD128" s="106">
        <v>-19.5</v>
      </c>
      <c r="AE128" s="106">
        <v>-7.8</v>
      </c>
      <c r="AF128" s="106">
        <v>-0.9</v>
      </c>
      <c r="AG128" s="114"/>
      <c r="AH128" s="47">
        <f t="shared" si="20"/>
        <v>2.7</v>
      </c>
      <c r="AI128" s="48">
        <f t="shared" si="21"/>
        <v>-44.6</v>
      </c>
    </row>
    <row r="129" spans="1:37" x14ac:dyDescent="0.25">
      <c r="A129" s="182" t="s">
        <v>268</v>
      </c>
      <c r="B129" s="106">
        <v>14</v>
      </c>
      <c r="C129" s="106">
        <v>23</v>
      </c>
      <c r="D129" s="106">
        <v>22.1</v>
      </c>
      <c r="E129" s="106">
        <v>20.399999999999999</v>
      </c>
      <c r="F129" s="106">
        <v>22.3</v>
      </c>
      <c r="G129" s="106">
        <v>12.3</v>
      </c>
      <c r="H129" s="106">
        <v>7.7</v>
      </c>
      <c r="I129" s="106">
        <v>1.9</v>
      </c>
      <c r="J129" s="106">
        <v>0</v>
      </c>
      <c r="K129" s="106">
        <v>8.6999999999999993</v>
      </c>
      <c r="L129" s="106">
        <v>0</v>
      </c>
      <c r="M129" s="106">
        <v>-4.0999999999999996</v>
      </c>
      <c r="N129" s="106">
        <v>-3.4</v>
      </c>
      <c r="O129" s="106">
        <v>0</v>
      </c>
      <c r="P129" s="106">
        <v>11.1</v>
      </c>
      <c r="Q129" s="106">
        <v>28.5</v>
      </c>
      <c r="R129" s="106">
        <v>11.3</v>
      </c>
      <c r="S129" s="106">
        <v>9.5</v>
      </c>
      <c r="T129" s="106">
        <v>9.6999999999999993</v>
      </c>
      <c r="U129" s="106">
        <v>35.799999999999997</v>
      </c>
      <c r="V129" s="106">
        <v>35.799999999999997</v>
      </c>
      <c r="W129" s="106">
        <v>-7.6</v>
      </c>
      <c r="X129" s="106">
        <v>-4.5999999999999996</v>
      </c>
      <c r="Y129" s="106">
        <v>-9.1999999999999993</v>
      </c>
      <c r="Z129" s="106">
        <v>-8.6999999999999993</v>
      </c>
      <c r="AA129" s="106">
        <v>-11.9</v>
      </c>
      <c r="AB129" s="106">
        <v>-13.2</v>
      </c>
      <c r="AC129" s="106">
        <v>-12.4</v>
      </c>
      <c r="AD129" s="106">
        <v>-4.9000000000000004</v>
      </c>
      <c r="AE129" s="106">
        <v>11.7</v>
      </c>
      <c r="AF129" s="106">
        <v>10.4</v>
      </c>
      <c r="AG129" s="114"/>
      <c r="AH129" s="47">
        <f t="shared" si="20"/>
        <v>35.799999999999997</v>
      </c>
      <c r="AI129" s="48">
        <f t="shared" si="21"/>
        <v>-13.2</v>
      </c>
    </row>
    <row r="130" spans="1:37" ht="15.75" thickBot="1" x14ac:dyDescent="0.3">
      <c r="A130" s="182" t="s">
        <v>265</v>
      </c>
      <c r="B130" s="106">
        <v>76</v>
      </c>
      <c r="C130" s="106">
        <v>72</v>
      </c>
      <c r="D130" s="106">
        <v>60</v>
      </c>
      <c r="E130" s="106">
        <v>64.7</v>
      </c>
      <c r="F130" s="106">
        <v>70.7</v>
      </c>
      <c r="G130" s="106">
        <v>72</v>
      </c>
      <c r="H130" s="106">
        <v>79.2</v>
      </c>
      <c r="I130" s="106">
        <v>85.8</v>
      </c>
      <c r="J130" s="106">
        <v>96.4</v>
      </c>
      <c r="K130" s="106">
        <v>103.1</v>
      </c>
      <c r="L130" s="106">
        <v>108.3</v>
      </c>
      <c r="M130" s="106">
        <v>110.9</v>
      </c>
      <c r="N130" s="106">
        <v>106</v>
      </c>
      <c r="O130" s="106">
        <v>99.2</v>
      </c>
      <c r="P130" s="106">
        <v>110.9</v>
      </c>
      <c r="Q130" s="106">
        <v>80.2</v>
      </c>
      <c r="R130" s="106">
        <v>89.9</v>
      </c>
      <c r="S130" s="106">
        <v>95.25</v>
      </c>
      <c r="T130" s="106">
        <v>100.2</v>
      </c>
      <c r="U130" s="106">
        <v>92.7</v>
      </c>
      <c r="V130" s="106">
        <v>92.7</v>
      </c>
      <c r="W130" s="106">
        <v>113.8</v>
      </c>
      <c r="X130" s="106">
        <v>109.5</v>
      </c>
      <c r="Y130" s="106">
        <v>109.3</v>
      </c>
      <c r="Z130" s="106">
        <v>103.9</v>
      </c>
      <c r="AA130" s="106">
        <v>96.3</v>
      </c>
      <c r="AB130" s="106">
        <v>95.5</v>
      </c>
      <c r="AC130" s="106">
        <v>98.9</v>
      </c>
      <c r="AD130" s="106">
        <v>97.8</v>
      </c>
      <c r="AE130" s="106">
        <v>84.4</v>
      </c>
      <c r="AF130" s="106">
        <v>71.8</v>
      </c>
      <c r="AG130" s="114"/>
      <c r="AH130" s="47">
        <f t="shared" si="20"/>
        <v>113.8</v>
      </c>
      <c r="AI130" s="48">
        <f t="shared" si="21"/>
        <v>60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376</v>
      </c>
      <c r="B132" s="224">
        <v>1983.5</v>
      </c>
      <c r="C132" s="224">
        <v>1983.85</v>
      </c>
      <c r="D132" s="224">
        <v>1984.18</v>
      </c>
      <c r="E132" s="224">
        <v>1984.48</v>
      </c>
      <c r="F132" s="224">
        <v>1984.78</v>
      </c>
      <c r="G132" s="224">
        <v>1985.02</v>
      </c>
      <c r="H132" s="224"/>
      <c r="I132" s="224">
        <v>1985.28</v>
      </c>
      <c r="J132" s="224"/>
      <c r="K132" s="224">
        <v>1985.5</v>
      </c>
      <c r="L132" s="224"/>
      <c r="M132" s="151">
        <v>1985.18</v>
      </c>
      <c r="N132" s="151">
        <v>1984.45</v>
      </c>
      <c r="O132" s="151">
        <v>1983.48</v>
      </c>
      <c r="P132" s="151">
        <v>1982.92</v>
      </c>
      <c r="Q132" s="151">
        <v>1982.78</v>
      </c>
      <c r="R132" s="151">
        <v>1983.13</v>
      </c>
      <c r="S132" s="151"/>
      <c r="T132" s="151">
        <v>1983.75</v>
      </c>
      <c r="U132" s="151"/>
      <c r="V132" s="151"/>
      <c r="W132" s="151"/>
      <c r="X132" s="151"/>
      <c r="Y132" s="151"/>
      <c r="Z132" s="151"/>
      <c r="AA132" s="151"/>
      <c r="AB132" s="151">
        <v>1983.6</v>
      </c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243</v>
      </c>
      <c r="B133" s="224">
        <v>520.36</v>
      </c>
      <c r="C133" s="224">
        <v>520.84</v>
      </c>
      <c r="D133" s="224">
        <v>521.34</v>
      </c>
      <c r="E133" s="224">
        <v>521.70000000000005</v>
      </c>
      <c r="F133" s="224">
        <v>522.1</v>
      </c>
      <c r="G133" s="224">
        <v>522.48</v>
      </c>
      <c r="H133" s="224"/>
      <c r="I133" s="224">
        <v>522.85</v>
      </c>
      <c r="J133" s="224"/>
      <c r="K133" s="224">
        <v>522.9</v>
      </c>
      <c r="L133" s="224">
        <v>522.64</v>
      </c>
      <c r="M133" s="155">
        <v>522.44000000000005</v>
      </c>
      <c r="N133" s="155">
        <v>521.94000000000005</v>
      </c>
      <c r="O133" s="155">
        <v>521.48</v>
      </c>
      <c r="P133" s="155">
        <v>520.97</v>
      </c>
      <c r="Q133" s="155">
        <v>520.45000000000005</v>
      </c>
      <c r="R133" s="155">
        <v>519.94000000000005</v>
      </c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244</v>
      </c>
      <c r="B134" s="224">
        <v>622.70000000000005</v>
      </c>
      <c r="C134" s="224">
        <v>623.25</v>
      </c>
      <c r="D134" s="224">
        <v>623.75</v>
      </c>
      <c r="E134" s="224">
        <v>624.16</v>
      </c>
      <c r="F134" s="224">
        <v>624.61</v>
      </c>
      <c r="G134" s="224">
        <v>624.94000000000005</v>
      </c>
      <c r="H134" s="224"/>
      <c r="I134" s="224">
        <v>625.32000000000005</v>
      </c>
      <c r="J134" s="224"/>
      <c r="K134" s="224">
        <v>625.41</v>
      </c>
      <c r="L134" s="224">
        <v>625.37</v>
      </c>
      <c r="M134" s="155">
        <v>625.24</v>
      </c>
      <c r="N134" s="155">
        <v>64.849999999999994</v>
      </c>
      <c r="O134" s="155">
        <v>624.45000000000005</v>
      </c>
      <c r="P134" s="155">
        <v>324.02</v>
      </c>
      <c r="Q134" s="155">
        <v>623.54999999999995</v>
      </c>
      <c r="R134" s="155">
        <v>623.08000000000004</v>
      </c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x14ac:dyDescent="0.25">
      <c r="A135" s="199" t="s">
        <v>245</v>
      </c>
      <c r="B135" s="224">
        <v>335.3</v>
      </c>
      <c r="C135" s="224">
        <v>335.86</v>
      </c>
      <c r="D135" s="224">
        <v>336.5</v>
      </c>
      <c r="E135" s="224">
        <v>336.94</v>
      </c>
      <c r="F135" s="224">
        <v>337.2</v>
      </c>
      <c r="G135" s="224">
        <v>337.46</v>
      </c>
      <c r="H135" s="224"/>
      <c r="I135" s="224">
        <v>337.49</v>
      </c>
      <c r="J135" s="224"/>
      <c r="K135" s="224">
        <v>337.32</v>
      </c>
      <c r="L135" s="224"/>
      <c r="M135" s="155">
        <v>336.86</v>
      </c>
      <c r="N135" s="155">
        <v>336.43</v>
      </c>
      <c r="O135" s="155">
        <v>335.82</v>
      </c>
      <c r="P135" s="155">
        <v>335.28</v>
      </c>
      <c r="Q135" s="155">
        <v>334.68</v>
      </c>
      <c r="R135" s="155">
        <v>334.2</v>
      </c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6"/>
      <c r="AG135" s="153"/>
      <c r="AH135" s="47"/>
      <c r="AI135" s="48"/>
    </row>
    <row r="136" spans="1:37" x14ac:dyDescent="0.25">
      <c r="A136" s="199" t="s">
        <v>415</v>
      </c>
      <c r="B136" s="224">
        <v>884</v>
      </c>
      <c r="C136" s="224">
        <v>885</v>
      </c>
      <c r="D136" s="224">
        <v>885.6</v>
      </c>
      <c r="E136" s="224">
        <v>886.2</v>
      </c>
      <c r="F136" s="224">
        <v>886.9</v>
      </c>
      <c r="G136" s="224">
        <v>887.4</v>
      </c>
      <c r="H136" s="224"/>
      <c r="I136" s="224">
        <v>887.4</v>
      </c>
      <c r="J136" s="224"/>
      <c r="K136" s="224">
        <v>887.4</v>
      </c>
      <c r="L136" s="224"/>
      <c r="M136" s="155">
        <v>887.4</v>
      </c>
      <c r="N136" s="155">
        <v>887.3</v>
      </c>
      <c r="O136" s="155">
        <v>887.1</v>
      </c>
      <c r="P136" s="155">
        <v>886.9</v>
      </c>
      <c r="Q136" s="155">
        <v>886.7</v>
      </c>
      <c r="R136" s="155">
        <v>886.5</v>
      </c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>
        <v>885.5</v>
      </c>
      <c r="AC136" s="155"/>
      <c r="AD136" s="155"/>
      <c r="AE136" s="155"/>
      <c r="AF136" s="156"/>
      <c r="AG136" s="153"/>
      <c r="AH136" s="47"/>
      <c r="AI136" s="48"/>
    </row>
    <row r="137" spans="1:37" ht="15.75" thickBot="1" x14ac:dyDescent="0.3">
      <c r="A137" s="199" t="s">
        <v>246</v>
      </c>
      <c r="B137" s="224">
        <v>1522.41</v>
      </c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9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48">SUM(B139:B243)</f>
        <v>0</v>
      </c>
      <c r="C244" s="137">
        <f t="shared" si="48"/>
        <v>0</v>
      </c>
      <c r="D244" s="137">
        <f t="shared" si="48"/>
        <v>0</v>
      </c>
      <c r="E244" s="137">
        <f t="shared" si="48"/>
        <v>0</v>
      </c>
      <c r="F244" s="137">
        <f t="shared" si="48"/>
        <v>0</v>
      </c>
      <c r="G244" s="137">
        <f t="shared" si="48"/>
        <v>0</v>
      </c>
      <c r="H244" s="137">
        <f t="shared" si="48"/>
        <v>0</v>
      </c>
      <c r="I244" s="137">
        <f t="shared" si="48"/>
        <v>0</v>
      </c>
      <c r="J244" s="137">
        <f t="shared" si="48"/>
        <v>0</v>
      </c>
      <c r="K244" s="137">
        <f t="shared" si="48"/>
        <v>0</v>
      </c>
      <c r="L244" s="137">
        <f t="shared" si="48"/>
        <v>0</v>
      </c>
      <c r="M244" s="137">
        <f t="shared" si="48"/>
        <v>0</v>
      </c>
      <c r="N244" s="137">
        <f t="shared" si="48"/>
        <v>0</v>
      </c>
      <c r="O244" s="137">
        <f t="shared" si="48"/>
        <v>0</v>
      </c>
      <c r="P244" s="137">
        <f t="shared" si="48"/>
        <v>0</v>
      </c>
      <c r="Q244" s="137">
        <f t="shared" si="48"/>
        <v>0</v>
      </c>
      <c r="R244" s="137">
        <f t="shared" si="48"/>
        <v>0</v>
      </c>
      <c r="S244" s="137">
        <f t="shared" si="48"/>
        <v>0</v>
      </c>
      <c r="T244" s="137">
        <f t="shared" si="48"/>
        <v>0</v>
      </c>
      <c r="U244" s="137">
        <f t="shared" si="48"/>
        <v>0</v>
      </c>
      <c r="V244" s="137">
        <f t="shared" si="48"/>
        <v>0</v>
      </c>
      <c r="W244" s="137">
        <f t="shared" si="48"/>
        <v>0</v>
      </c>
      <c r="X244" s="137">
        <f t="shared" si="48"/>
        <v>0</v>
      </c>
      <c r="Y244" s="137">
        <f t="shared" si="48"/>
        <v>0</v>
      </c>
      <c r="Z244" s="137">
        <f t="shared" si="48"/>
        <v>0</v>
      </c>
      <c r="AA244" s="137">
        <f t="shared" si="48"/>
        <v>0</v>
      </c>
      <c r="AB244" s="137">
        <f t="shared" si="48"/>
        <v>0</v>
      </c>
      <c r="AC244" s="137">
        <f t="shared" si="48"/>
        <v>0</v>
      </c>
      <c r="AD244" s="137">
        <f t="shared" si="48"/>
        <v>0</v>
      </c>
      <c r="AE244" s="137">
        <f t="shared" si="48"/>
        <v>0</v>
      </c>
      <c r="AF244" s="138">
        <f t="shared" si="48"/>
        <v>0</v>
      </c>
      <c r="AG244" s="139">
        <f t="shared" si="48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49">AF246</f>
        <v>0.3</v>
      </c>
      <c r="C246" s="141">
        <v>0.3</v>
      </c>
      <c r="D246" s="141">
        <f t="shared" ref="D246:S251" si="50">C246</f>
        <v>0.3</v>
      </c>
      <c r="E246" s="141">
        <f t="shared" si="50"/>
        <v>0.3</v>
      </c>
      <c r="F246" s="141">
        <f t="shared" si="50"/>
        <v>0.3</v>
      </c>
      <c r="G246" s="141">
        <f t="shared" si="50"/>
        <v>0.3</v>
      </c>
      <c r="H246" s="141">
        <f t="shared" si="50"/>
        <v>0.3</v>
      </c>
      <c r="I246" s="141">
        <f t="shared" si="50"/>
        <v>0.3</v>
      </c>
      <c r="J246" s="141">
        <f t="shared" si="50"/>
        <v>0.3</v>
      </c>
      <c r="K246" s="141">
        <f t="shared" si="50"/>
        <v>0.3</v>
      </c>
      <c r="L246" s="141">
        <f t="shared" si="50"/>
        <v>0.3</v>
      </c>
      <c r="M246" s="141">
        <f t="shared" si="50"/>
        <v>0.3</v>
      </c>
      <c r="N246" s="141">
        <f t="shared" si="50"/>
        <v>0.3</v>
      </c>
      <c r="O246" s="141">
        <f t="shared" si="50"/>
        <v>0.3</v>
      </c>
      <c r="P246" s="141">
        <f t="shared" si="50"/>
        <v>0.3</v>
      </c>
      <c r="Q246" s="141">
        <f t="shared" si="50"/>
        <v>0.3</v>
      </c>
      <c r="R246" s="141">
        <f t="shared" si="50"/>
        <v>0.3</v>
      </c>
      <c r="S246" s="141">
        <f t="shared" si="50"/>
        <v>0.3</v>
      </c>
      <c r="T246" s="141">
        <f t="shared" ref="T246:AF251" si="51">S246</f>
        <v>0.3</v>
      </c>
      <c r="U246" s="141">
        <f t="shared" si="51"/>
        <v>0.3</v>
      </c>
      <c r="V246" s="141">
        <f t="shared" si="51"/>
        <v>0.3</v>
      </c>
      <c r="W246" s="141">
        <f t="shared" si="51"/>
        <v>0.3</v>
      </c>
      <c r="X246" s="141">
        <f t="shared" si="51"/>
        <v>0.3</v>
      </c>
      <c r="Y246" s="141">
        <f t="shared" si="51"/>
        <v>0.3</v>
      </c>
      <c r="Z246" s="141">
        <f t="shared" si="51"/>
        <v>0.3</v>
      </c>
      <c r="AA246" s="141">
        <f t="shared" si="51"/>
        <v>0.3</v>
      </c>
      <c r="AB246" s="141">
        <f t="shared" si="51"/>
        <v>0.3</v>
      </c>
      <c r="AC246" s="141">
        <f t="shared" si="51"/>
        <v>0.3</v>
      </c>
      <c r="AD246" s="141">
        <f t="shared" si="51"/>
        <v>0.3</v>
      </c>
      <c r="AE246" s="141">
        <f t="shared" si="51"/>
        <v>0.3</v>
      </c>
      <c r="AF246" s="141">
        <f t="shared" si="51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49"/>
        <v>0.4</v>
      </c>
      <c r="C247" s="129">
        <v>0.4</v>
      </c>
      <c r="D247" s="129">
        <f t="shared" si="50"/>
        <v>0.4</v>
      </c>
      <c r="E247" s="129">
        <f t="shared" si="50"/>
        <v>0.4</v>
      </c>
      <c r="F247" s="129">
        <f t="shared" si="50"/>
        <v>0.4</v>
      </c>
      <c r="G247" s="129">
        <f t="shared" si="50"/>
        <v>0.4</v>
      </c>
      <c r="H247" s="129">
        <f t="shared" si="50"/>
        <v>0.4</v>
      </c>
      <c r="I247" s="129">
        <f t="shared" si="50"/>
        <v>0.4</v>
      </c>
      <c r="J247" s="129">
        <f t="shared" si="50"/>
        <v>0.4</v>
      </c>
      <c r="K247" s="129">
        <f t="shared" si="50"/>
        <v>0.4</v>
      </c>
      <c r="L247" s="129">
        <f t="shared" si="50"/>
        <v>0.4</v>
      </c>
      <c r="M247" s="129">
        <f t="shared" si="50"/>
        <v>0.4</v>
      </c>
      <c r="N247" s="129">
        <f t="shared" si="50"/>
        <v>0.4</v>
      </c>
      <c r="O247" s="129">
        <f t="shared" si="50"/>
        <v>0.4</v>
      </c>
      <c r="P247" s="129">
        <f t="shared" si="50"/>
        <v>0.4</v>
      </c>
      <c r="Q247" s="129">
        <f t="shared" si="50"/>
        <v>0.4</v>
      </c>
      <c r="R247" s="129">
        <f t="shared" si="50"/>
        <v>0.4</v>
      </c>
      <c r="S247" s="129">
        <f t="shared" si="50"/>
        <v>0.4</v>
      </c>
      <c r="T247" s="129">
        <f t="shared" si="51"/>
        <v>0.4</v>
      </c>
      <c r="U247" s="129">
        <f t="shared" si="51"/>
        <v>0.4</v>
      </c>
      <c r="V247" s="129">
        <f t="shared" si="51"/>
        <v>0.4</v>
      </c>
      <c r="W247" s="129">
        <f t="shared" si="51"/>
        <v>0.4</v>
      </c>
      <c r="X247" s="129">
        <f t="shared" si="51"/>
        <v>0.4</v>
      </c>
      <c r="Y247" s="129">
        <f t="shared" si="51"/>
        <v>0.4</v>
      </c>
      <c r="Z247" s="129">
        <f t="shared" si="51"/>
        <v>0.4</v>
      </c>
      <c r="AA247" s="129">
        <f t="shared" si="51"/>
        <v>0.4</v>
      </c>
      <c r="AB247" s="129">
        <f t="shared" si="51"/>
        <v>0.4</v>
      </c>
      <c r="AC247" s="129">
        <f t="shared" si="51"/>
        <v>0.4</v>
      </c>
      <c r="AD247" s="129">
        <f t="shared" si="51"/>
        <v>0.4</v>
      </c>
      <c r="AE247" s="129">
        <f t="shared" si="51"/>
        <v>0.4</v>
      </c>
      <c r="AF247" s="129">
        <f t="shared" si="51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49"/>
        <v>1.5</v>
      </c>
      <c r="C248" s="129">
        <v>1.5</v>
      </c>
      <c r="D248" s="129">
        <f t="shared" si="50"/>
        <v>1.5</v>
      </c>
      <c r="E248" s="129">
        <f t="shared" si="50"/>
        <v>1.5</v>
      </c>
      <c r="F248" s="129">
        <f t="shared" si="50"/>
        <v>1.5</v>
      </c>
      <c r="G248" s="129">
        <f t="shared" si="50"/>
        <v>1.5</v>
      </c>
      <c r="H248" s="129">
        <f t="shared" si="50"/>
        <v>1.5</v>
      </c>
      <c r="I248" s="129">
        <f t="shared" si="50"/>
        <v>1.5</v>
      </c>
      <c r="J248" s="129">
        <f t="shared" si="50"/>
        <v>1.5</v>
      </c>
      <c r="K248" s="129">
        <f t="shared" si="50"/>
        <v>1.5</v>
      </c>
      <c r="L248" s="129">
        <f t="shared" si="50"/>
        <v>1.5</v>
      </c>
      <c r="M248" s="129">
        <f t="shared" si="50"/>
        <v>1.5</v>
      </c>
      <c r="N248" s="129">
        <f t="shared" si="50"/>
        <v>1.5</v>
      </c>
      <c r="O248" s="129">
        <f t="shared" si="50"/>
        <v>1.5</v>
      </c>
      <c r="P248" s="129">
        <f t="shared" si="50"/>
        <v>1.5</v>
      </c>
      <c r="Q248" s="129">
        <f t="shared" si="50"/>
        <v>1.5</v>
      </c>
      <c r="R248" s="129">
        <f t="shared" si="50"/>
        <v>1.5</v>
      </c>
      <c r="S248" s="129">
        <f t="shared" si="50"/>
        <v>1.5</v>
      </c>
      <c r="T248" s="129">
        <f t="shared" si="51"/>
        <v>1.5</v>
      </c>
      <c r="U248" s="129">
        <f t="shared" si="51"/>
        <v>1.5</v>
      </c>
      <c r="V248" s="129">
        <f t="shared" si="51"/>
        <v>1.5</v>
      </c>
      <c r="W248" s="129">
        <f t="shared" si="51"/>
        <v>1.5</v>
      </c>
      <c r="X248" s="129">
        <f t="shared" si="51"/>
        <v>1.5</v>
      </c>
      <c r="Y248" s="129">
        <f t="shared" si="51"/>
        <v>1.5</v>
      </c>
      <c r="Z248" s="129">
        <f t="shared" si="51"/>
        <v>1.5</v>
      </c>
      <c r="AA248" s="129">
        <f t="shared" si="51"/>
        <v>1.5</v>
      </c>
      <c r="AB248" s="129">
        <f t="shared" si="51"/>
        <v>1.5</v>
      </c>
      <c r="AC248" s="129">
        <f t="shared" si="51"/>
        <v>1.5</v>
      </c>
      <c r="AD248" s="129">
        <f t="shared" si="51"/>
        <v>1.5</v>
      </c>
      <c r="AE248" s="129">
        <f t="shared" si="51"/>
        <v>1.5</v>
      </c>
      <c r="AF248" s="129">
        <f t="shared" si="51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49"/>
        <v>0.3</v>
      </c>
      <c r="C249" s="129">
        <v>0.3</v>
      </c>
      <c r="D249" s="129">
        <f t="shared" si="50"/>
        <v>0.3</v>
      </c>
      <c r="E249" s="129">
        <f t="shared" si="50"/>
        <v>0.3</v>
      </c>
      <c r="F249" s="129">
        <f t="shared" si="50"/>
        <v>0.3</v>
      </c>
      <c r="G249" s="129">
        <f t="shared" si="50"/>
        <v>0.3</v>
      </c>
      <c r="H249" s="129">
        <f t="shared" si="50"/>
        <v>0.3</v>
      </c>
      <c r="I249" s="129">
        <f t="shared" si="50"/>
        <v>0.3</v>
      </c>
      <c r="J249" s="129">
        <f t="shared" si="50"/>
        <v>0.3</v>
      </c>
      <c r="K249" s="129">
        <f t="shared" si="50"/>
        <v>0.3</v>
      </c>
      <c r="L249" s="129">
        <f t="shared" si="50"/>
        <v>0.3</v>
      </c>
      <c r="M249" s="129">
        <f t="shared" si="50"/>
        <v>0.3</v>
      </c>
      <c r="N249" s="129">
        <f t="shared" si="50"/>
        <v>0.3</v>
      </c>
      <c r="O249" s="129">
        <f t="shared" si="50"/>
        <v>0.3</v>
      </c>
      <c r="P249" s="129">
        <f t="shared" si="50"/>
        <v>0.3</v>
      </c>
      <c r="Q249" s="129">
        <f t="shared" si="50"/>
        <v>0.3</v>
      </c>
      <c r="R249" s="129">
        <f t="shared" si="50"/>
        <v>0.3</v>
      </c>
      <c r="S249" s="129">
        <f t="shared" si="50"/>
        <v>0.3</v>
      </c>
      <c r="T249" s="129">
        <f t="shared" si="51"/>
        <v>0.3</v>
      </c>
      <c r="U249" s="129">
        <f t="shared" si="51"/>
        <v>0.3</v>
      </c>
      <c r="V249" s="129">
        <f t="shared" si="51"/>
        <v>0.3</v>
      </c>
      <c r="W249" s="129">
        <f t="shared" si="51"/>
        <v>0.3</v>
      </c>
      <c r="X249" s="129">
        <f t="shared" si="51"/>
        <v>0.3</v>
      </c>
      <c r="Y249" s="129">
        <f t="shared" si="51"/>
        <v>0.3</v>
      </c>
      <c r="Z249" s="129">
        <f t="shared" si="51"/>
        <v>0.3</v>
      </c>
      <c r="AA249" s="129">
        <f t="shared" si="51"/>
        <v>0.3</v>
      </c>
      <c r="AB249" s="129">
        <f t="shared" si="51"/>
        <v>0.3</v>
      </c>
      <c r="AC249" s="129">
        <f t="shared" si="51"/>
        <v>0.3</v>
      </c>
      <c r="AD249" s="129">
        <f t="shared" si="51"/>
        <v>0.3</v>
      </c>
      <c r="AE249" s="129">
        <f t="shared" si="51"/>
        <v>0.3</v>
      </c>
      <c r="AF249" s="129">
        <f t="shared" si="51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49"/>
        <v>0.4</v>
      </c>
      <c r="C250" s="129">
        <v>0.4</v>
      </c>
      <c r="D250" s="129">
        <f t="shared" si="50"/>
        <v>0.4</v>
      </c>
      <c r="E250" s="129">
        <f t="shared" si="50"/>
        <v>0.4</v>
      </c>
      <c r="F250" s="129">
        <f t="shared" si="50"/>
        <v>0.4</v>
      </c>
      <c r="G250" s="129">
        <f t="shared" si="50"/>
        <v>0.4</v>
      </c>
      <c r="H250" s="129">
        <f t="shared" si="50"/>
        <v>0.4</v>
      </c>
      <c r="I250" s="129">
        <f t="shared" si="50"/>
        <v>0.4</v>
      </c>
      <c r="J250" s="129">
        <f t="shared" si="50"/>
        <v>0.4</v>
      </c>
      <c r="K250" s="129">
        <f t="shared" si="50"/>
        <v>0.4</v>
      </c>
      <c r="L250" s="129">
        <f t="shared" si="50"/>
        <v>0.4</v>
      </c>
      <c r="M250" s="129">
        <f t="shared" si="50"/>
        <v>0.4</v>
      </c>
      <c r="N250" s="129">
        <f t="shared" si="50"/>
        <v>0.4</v>
      </c>
      <c r="O250" s="129">
        <f t="shared" si="50"/>
        <v>0.4</v>
      </c>
      <c r="P250" s="129">
        <f t="shared" si="50"/>
        <v>0.4</v>
      </c>
      <c r="Q250" s="129">
        <f t="shared" si="50"/>
        <v>0.4</v>
      </c>
      <c r="R250" s="129">
        <f t="shared" si="50"/>
        <v>0.4</v>
      </c>
      <c r="S250" s="129">
        <f t="shared" si="50"/>
        <v>0.4</v>
      </c>
      <c r="T250" s="129">
        <f t="shared" si="51"/>
        <v>0.4</v>
      </c>
      <c r="U250" s="129">
        <f t="shared" si="51"/>
        <v>0.4</v>
      </c>
      <c r="V250" s="129">
        <f t="shared" si="51"/>
        <v>0.4</v>
      </c>
      <c r="W250" s="129">
        <f t="shared" si="51"/>
        <v>0.4</v>
      </c>
      <c r="X250" s="129">
        <f t="shared" si="51"/>
        <v>0.4</v>
      </c>
      <c r="Y250" s="129">
        <f t="shared" si="51"/>
        <v>0.4</v>
      </c>
      <c r="Z250" s="129">
        <f t="shared" si="51"/>
        <v>0.4</v>
      </c>
      <c r="AA250" s="129">
        <f t="shared" si="51"/>
        <v>0.4</v>
      </c>
      <c r="AB250" s="129">
        <f t="shared" si="51"/>
        <v>0.4</v>
      </c>
      <c r="AC250" s="129">
        <f t="shared" si="51"/>
        <v>0.4</v>
      </c>
      <c r="AD250" s="129">
        <f t="shared" si="51"/>
        <v>0.4</v>
      </c>
      <c r="AE250" s="129">
        <f t="shared" si="51"/>
        <v>0.4</v>
      </c>
      <c r="AF250" s="129">
        <f t="shared" si="51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49"/>
        <v>0.64</v>
      </c>
      <c r="C251" s="133">
        <v>0.64</v>
      </c>
      <c r="D251" s="133">
        <f t="shared" si="50"/>
        <v>0.64</v>
      </c>
      <c r="E251" s="133">
        <f t="shared" si="50"/>
        <v>0.64</v>
      </c>
      <c r="F251" s="133">
        <f t="shared" si="50"/>
        <v>0.64</v>
      </c>
      <c r="G251" s="133">
        <f t="shared" si="50"/>
        <v>0.64</v>
      </c>
      <c r="H251" s="133">
        <f t="shared" si="50"/>
        <v>0.64</v>
      </c>
      <c r="I251" s="133">
        <f t="shared" si="50"/>
        <v>0.64</v>
      </c>
      <c r="J251" s="133">
        <f t="shared" si="50"/>
        <v>0.64</v>
      </c>
      <c r="K251" s="133">
        <f t="shared" si="50"/>
        <v>0.64</v>
      </c>
      <c r="L251" s="133">
        <f t="shared" si="50"/>
        <v>0.64</v>
      </c>
      <c r="M251" s="133">
        <f t="shared" si="50"/>
        <v>0.64</v>
      </c>
      <c r="N251" s="133">
        <f t="shared" si="50"/>
        <v>0.64</v>
      </c>
      <c r="O251" s="133">
        <f t="shared" si="50"/>
        <v>0.64</v>
      </c>
      <c r="P251" s="133">
        <f t="shared" si="50"/>
        <v>0.64</v>
      </c>
      <c r="Q251" s="133">
        <f t="shared" si="50"/>
        <v>0.64</v>
      </c>
      <c r="R251" s="133">
        <f t="shared" si="50"/>
        <v>0.64</v>
      </c>
      <c r="S251" s="133">
        <f t="shared" si="50"/>
        <v>0.64</v>
      </c>
      <c r="T251" s="133">
        <f t="shared" si="51"/>
        <v>0.64</v>
      </c>
      <c r="U251" s="133">
        <f t="shared" si="51"/>
        <v>0.64</v>
      </c>
      <c r="V251" s="133">
        <f t="shared" si="51"/>
        <v>0.64</v>
      </c>
      <c r="W251" s="133">
        <f t="shared" si="51"/>
        <v>0.64</v>
      </c>
      <c r="X251" s="133">
        <f t="shared" si="51"/>
        <v>0.64</v>
      </c>
      <c r="Y251" s="133">
        <f t="shared" si="51"/>
        <v>0.64</v>
      </c>
      <c r="Z251" s="133">
        <f t="shared" si="51"/>
        <v>0.64</v>
      </c>
      <c r="AA251" s="133">
        <f t="shared" si="51"/>
        <v>0.64</v>
      </c>
      <c r="AB251" s="133">
        <f t="shared" si="51"/>
        <v>0.64</v>
      </c>
      <c r="AC251" s="133">
        <f t="shared" si="51"/>
        <v>0.64</v>
      </c>
      <c r="AD251" s="133">
        <f t="shared" si="51"/>
        <v>0.64</v>
      </c>
      <c r="AE251" s="133">
        <f t="shared" si="51"/>
        <v>0.64</v>
      </c>
      <c r="AF251" s="133">
        <f t="shared" si="51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52">SUM(B246:B251)</f>
        <v>3.54</v>
      </c>
      <c r="C252" s="137">
        <f t="shared" si="52"/>
        <v>3.54</v>
      </c>
      <c r="D252" s="137">
        <f t="shared" si="52"/>
        <v>3.54</v>
      </c>
      <c r="E252" s="137">
        <f t="shared" si="52"/>
        <v>3.54</v>
      </c>
      <c r="F252" s="137">
        <f t="shared" si="52"/>
        <v>3.54</v>
      </c>
      <c r="G252" s="137">
        <f t="shared" si="52"/>
        <v>3.54</v>
      </c>
      <c r="H252" s="137">
        <f t="shared" si="52"/>
        <v>3.54</v>
      </c>
      <c r="I252" s="137">
        <f t="shared" si="52"/>
        <v>3.54</v>
      </c>
      <c r="J252" s="137">
        <f t="shared" si="52"/>
        <v>3.54</v>
      </c>
      <c r="K252" s="137">
        <f t="shared" si="52"/>
        <v>3.54</v>
      </c>
      <c r="L252" s="137">
        <f t="shared" si="52"/>
        <v>3.54</v>
      </c>
      <c r="M252" s="137">
        <f t="shared" si="52"/>
        <v>3.54</v>
      </c>
      <c r="N252" s="137">
        <f t="shared" si="52"/>
        <v>3.54</v>
      </c>
      <c r="O252" s="137">
        <f t="shared" si="52"/>
        <v>3.54</v>
      </c>
      <c r="P252" s="137">
        <f t="shared" si="52"/>
        <v>3.54</v>
      </c>
      <c r="Q252" s="137">
        <f t="shared" si="52"/>
        <v>3.54</v>
      </c>
      <c r="R252" s="137">
        <f t="shared" si="52"/>
        <v>3.54</v>
      </c>
      <c r="S252" s="137">
        <f t="shared" si="52"/>
        <v>3.54</v>
      </c>
      <c r="T252" s="137">
        <f t="shared" si="52"/>
        <v>3.54</v>
      </c>
      <c r="U252" s="137">
        <f t="shared" si="52"/>
        <v>3.54</v>
      </c>
      <c r="V252" s="137">
        <f t="shared" si="52"/>
        <v>3.54</v>
      </c>
      <c r="W252" s="137">
        <f t="shared" si="52"/>
        <v>3.54</v>
      </c>
      <c r="X252" s="137">
        <f t="shared" si="52"/>
        <v>3.54</v>
      </c>
      <c r="Y252" s="137">
        <f t="shared" si="52"/>
        <v>3.54</v>
      </c>
      <c r="Z252" s="137">
        <f t="shared" si="52"/>
        <v>3.54</v>
      </c>
      <c r="AA252" s="137">
        <f t="shared" si="52"/>
        <v>3.54</v>
      </c>
      <c r="AB252" s="137">
        <f t="shared" si="52"/>
        <v>3.54</v>
      </c>
      <c r="AC252" s="137">
        <f t="shared" si="52"/>
        <v>3.54</v>
      </c>
      <c r="AD252" s="137">
        <f t="shared" si="52"/>
        <v>3.54</v>
      </c>
      <c r="AE252" s="137">
        <f t="shared" si="52"/>
        <v>3.54</v>
      </c>
      <c r="AF252" s="137">
        <f t="shared" si="52"/>
        <v>3.54</v>
      </c>
      <c r="AG252" s="146">
        <f t="shared" si="52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1660.44</v>
      </c>
      <c r="C256" s="162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27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str">
        <f ca="1">"Pie Chart of Daily Peak Demand(Inclusive of Export) of Nepal ("&amp;A4&amp;" "&amp;B4&amp;")"</f>
        <v>Pie Chart of Daily Peak Demand(Inclusive of Export) of Nepal (Nepali Date: 2080/09/27)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str">
        <f ca="1">"Daily Load Curve(Excluding of Export) of Nepal ("&amp;A4&amp;" "&amp;B4&amp;")"</f>
        <v>Daily Load Curve(Excluding of Export) of Nepal (Nepali Date: 2080/09/27)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53">B99</f>
        <v>1003.2400000000001</v>
      </c>
      <c r="U261" s="171">
        <f t="shared" si="53"/>
        <v>981.24000000000012</v>
      </c>
      <c r="V261" s="171">
        <f t="shared" si="53"/>
        <v>940.24000000000012</v>
      </c>
      <c r="W261" s="171">
        <f t="shared" si="53"/>
        <v>943.94</v>
      </c>
      <c r="X261" s="171">
        <f t="shared" si="53"/>
        <v>959.34000000000015</v>
      </c>
      <c r="Y261" s="171">
        <f t="shared" si="53"/>
        <v>1043.54</v>
      </c>
      <c r="Z261" s="171">
        <f t="shared" si="53"/>
        <v>1124.54</v>
      </c>
      <c r="AA261" s="171">
        <f t="shared" si="53"/>
        <v>1195.54</v>
      </c>
      <c r="AB261" s="171">
        <f t="shared" si="53"/>
        <v>1333.44</v>
      </c>
      <c r="AC261" s="171">
        <f t="shared" si="53"/>
        <v>1415.8400000000001</v>
      </c>
      <c r="AD261" s="171">
        <f t="shared" si="53"/>
        <v>1577.04</v>
      </c>
      <c r="AE261" s="171">
        <f t="shared" si="53"/>
        <v>1631.3400000000001</v>
      </c>
      <c r="AF261" s="171">
        <f t="shared" si="53"/>
        <v>1660.44</v>
      </c>
      <c r="AG261" s="171">
        <f t="shared" si="53"/>
        <v>1667.6399999999999</v>
      </c>
      <c r="AH261" s="171">
        <f t="shared" si="53"/>
        <v>1538.2400000000002</v>
      </c>
      <c r="AI261" s="171">
        <f t="shared" si="53"/>
        <v>1471.44</v>
      </c>
      <c r="AJ261" s="171">
        <f t="shared" si="53"/>
        <v>1373.44</v>
      </c>
      <c r="AK261" s="171">
        <f t="shared" si="53"/>
        <v>1370.24</v>
      </c>
      <c r="AL261" s="171">
        <f t="shared" si="53"/>
        <v>1406.3400000000001</v>
      </c>
      <c r="AM261" s="171">
        <f t="shared" si="53"/>
        <v>1331.0400000000002</v>
      </c>
      <c r="AN261" s="171">
        <f t="shared" si="53"/>
        <v>1369.0400000000002</v>
      </c>
      <c r="AO261" s="171">
        <f t="shared" si="53"/>
        <v>1444.8400000000001</v>
      </c>
      <c r="AP261" s="171">
        <f t="shared" si="53"/>
        <v>1705.6</v>
      </c>
      <c r="AQ261" s="171">
        <f t="shared" si="53"/>
        <v>1666.4399999999998</v>
      </c>
      <c r="AR261" s="171">
        <f t="shared" si="53"/>
        <v>1639.0399999999997</v>
      </c>
      <c r="AS261" s="171">
        <f t="shared" si="53"/>
        <v>1611.9389999999999</v>
      </c>
      <c r="AT261" s="171">
        <f t="shared" si="53"/>
        <v>1546.6399999999999</v>
      </c>
      <c r="AU261" s="171">
        <f t="shared" si="53"/>
        <v>1527.9399999999998</v>
      </c>
      <c r="AV261" s="171">
        <f t="shared" si="53"/>
        <v>1356.74</v>
      </c>
      <c r="AW261" s="171">
        <f t="shared" si="53"/>
        <v>1169.3399999999999</v>
      </c>
      <c r="AX261" s="171">
        <f t="shared" si="53"/>
        <v>1026.94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54">C251</f>
        <v>0.64</v>
      </c>
      <c r="C282" s="174">
        <f t="shared" si="54"/>
        <v>0.64</v>
      </c>
      <c r="D282" s="174">
        <f t="shared" si="54"/>
        <v>0.64</v>
      </c>
      <c r="E282" s="174">
        <f t="shared" si="54"/>
        <v>0.64</v>
      </c>
      <c r="F282" s="174">
        <f t="shared" si="54"/>
        <v>0.64</v>
      </c>
      <c r="G282" s="174">
        <f t="shared" si="54"/>
        <v>0.64</v>
      </c>
      <c r="H282" s="174">
        <f t="shared" si="54"/>
        <v>0.64</v>
      </c>
      <c r="I282" s="174">
        <f t="shared" si="54"/>
        <v>0.64</v>
      </c>
      <c r="J282" s="174">
        <f t="shared" si="54"/>
        <v>0.64</v>
      </c>
      <c r="K282" s="174">
        <f t="shared" si="54"/>
        <v>0.64</v>
      </c>
      <c r="L282" s="174">
        <f t="shared" si="54"/>
        <v>0.64</v>
      </c>
      <c r="M282" s="174">
        <f t="shared" si="54"/>
        <v>0.64</v>
      </c>
      <c r="N282" s="174">
        <f t="shared" si="54"/>
        <v>0.64</v>
      </c>
      <c r="O282" s="174">
        <f t="shared" si="54"/>
        <v>0.64</v>
      </c>
      <c r="P282" s="174">
        <f t="shared" si="54"/>
        <v>0.64</v>
      </c>
      <c r="Q282" s="174">
        <f t="shared" si="54"/>
        <v>0.64</v>
      </c>
      <c r="R282" s="174">
        <f t="shared" si="54"/>
        <v>0.64</v>
      </c>
      <c r="S282" s="174">
        <f t="shared" si="54"/>
        <v>0.64</v>
      </c>
      <c r="T282" s="174">
        <f t="shared" si="54"/>
        <v>0.64</v>
      </c>
      <c r="U282" s="174">
        <f t="shared" si="54"/>
        <v>0.64</v>
      </c>
      <c r="V282" s="174">
        <f t="shared" si="54"/>
        <v>0.64</v>
      </c>
      <c r="W282" s="174">
        <f t="shared" si="54"/>
        <v>0.64</v>
      </c>
      <c r="X282" s="174">
        <f t="shared" si="54"/>
        <v>0.64</v>
      </c>
      <c r="Y282" s="174">
        <f t="shared" si="54"/>
        <v>0.64</v>
      </c>
      <c r="Z282" s="174">
        <f t="shared" si="54"/>
        <v>0.64</v>
      </c>
      <c r="AA282" s="174">
        <f t="shared" si="54"/>
        <v>0.64</v>
      </c>
      <c r="AB282" s="174">
        <f t="shared" si="54"/>
        <v>0.64</v>
      </c>
      <c r="AC282" s="174">
        <f t="shared" si="54"/>
        <v>0.64</v>
      </c>
      <c r="AD282" s="174">
        <f t="shared" si="54"/>
        <v>0.64</v>
      </c>
      <c r="AE282" s="174">
        <f t="shared" si="54"/>
        <v>0.64</v>
      </c>
      <c r="AF282" s="174">
        <f>B251</f>
        <v>0.64</v>
      </c>
      <c r="AG282" s="43"/>
      <c r="AH282" s="43"/>
    </row>
    <row r="283" spans="1:34" x14ac:dyDescent="0.25">
      <c r="A283" s="175" t="e">
        <f>#REF!</f>
        <v>#REF!</v>
      </c>
      <c r="B283" s="175" t="e">
        <f>IF(#REF!&lt;100,"",#REF!-520)</f>
        <v>#REF!</v>
      </c>
      <c r="C283" s="175" t="e">
        <f>IF(#REF!&lt;100,"",#REF!-520)</f>
        <v>#REF!</v>
      </c>
      <c r="D283" s="175" t="e">
        <f>IF(#REF!&lt;100,"",#REF!-520)</f>
        <v>#REF!</v>
      </c>
      <c r="E283" s="175" t="e">
        <f>IF(#REF!&lt;100,"",#REF!-520)</f>
        <v>#REF!</v>
      </c>
      <c r="F283" s="175" t="e">
        <f>IF(#REF!&lt;100,"",#REF!-520)</f>
        <v>#REF!</v>
      </c>
      <c r="G283" s="175" t="e">
        <f>IF(#REF!&lt;100,"",#REF!-520)</f>
        <v>#REF!</v>
      </c>
      <c r="H283" s="175" t="e">
        <f>IF(#REF!&lt;100,"",#REF!-520)</f>
        <v>#REF!</v>
      </c>
      <c r="I283" s="175" t="e">
        <f>IF(#REF!&lt;100,"",#REF!-520)</f>
        <v>#REF!</v>
      </c>
      <c r="J283" s="175" t="e">
        <f>IF(#REF!&lt;100,"",#REF!-520)</f>
        <v>#REF!</v>
      </c>
      <c r="K283" s="175" t="e">
        <f>IF(#REF!&lt;100,"",#REF!-520)</f>
        <v>#REF!</v>
      </c>
      <c r="L283" s="175" t="e">
        <f>IF(#REF!&lt;100,"",#REF!-520)</f>
        <v>#REF!</v>
      </c>
      <c r="M283" s="175" t="e">
        <f>IF(#REF!&lt;100,"",#REF!-520)</f>
        <v>#REF!</v>
      </c>
      <c r="N283" s="175" t="e">
        <f>IF(#REF!&lt;100,"",#REF!-520)</f>
        <v>#REF!</v>
      </c>
      <c r="O283" s="175" t="e">
        <f>IF(#REF!&lt;100,"",#REF!-520)</f>
        <v>#REF!</v>
      </c>
      <c r="P283" s="175" t="e">
        <f>IF(#REF!&lt;100,"",#REF!-520)</f>
        <v>#REF!</v>
      </c>
      <c r="Q283" s="175" t="e">
        <f>IF(#REF!&lt;100,"",#REF!-520)</f>
        <v>#REF!</v>
      </c>
      <c r="R283" s="175" t="e">
        <f>IF(#REF!&lt;100,"",#REF!-520)</f>
        <v>#REF!</v>
      </c>
      <c r="S283" s="175" t="e">
        <f>IF(#REF!&lt;100,"",#REF!-520)</f>
        <v>#REF!</v>
      </c>
      <c r="T283" s="175" t="e">
        <f>IF(#REF!&lt;100,"",#REF!-520)</f>
        <v>#REF!</v>
      </c>
      <c r="U283" s="175" t="e">
        <f>IF(#REF!&lt;100,"",#REF!-520)</f>
        <v>#REF!</v>
      </c>
      <c r="V283" s="175" t="e">
        <f>IF(#REF!&lt;100,"",#REF!-520)</f>
        <v>#REF!</v>
      </c>
      <c r="W283" s="175" t="e">
        <f>IF(#REF!&lt;100,"",#REF!-520)</f>
        <v>#REF!</v>
      </c>
      <c r="X283" s="175" t="e">
        <f>IF(#REF!&lt;100,"",#REF!-520)</f>
        <v>#REF!</v>
      </c>
      <c r="Y283" s="175" t="e">
        <f>IF(#REF!&lt;100,"",#REF!-520)</f>
        <v>#REF!</v>
      </c>
      <c r="Z283" s="175" t="e">
        <f>IF(#REF!&lt;100,"",#REF!-520)</f>
        <v>#REF!</v>
      </c>
      <c r="AA283" s="175" t="e">
        <f>IF(#REF!&lt;100,"",#REF!-520)</f>
        <v>#REF!</v>
      </c>
      <c r="AB283" s="175" t="e">
        <f>IF(#REF!&lt;100,"",#REF!-520)</f>
        <v>#REF!</v>
      </c>
      <c r="AC283" s="175" t="e">
        <f>IF(#REF!&lt;100,"",#REF!-520)</f>
        <v>#REF!</v>
      </c>
      <c r="AD283" s="175" t="e">
        <f>IF(#REF!&lt;100,"",#REF!-520)</f>
        <v>#REF!</v>
      </c>
      <c r="AE283" s="175" t="e">
        <f>IF(#REF!&lt;100,"",#REF!-520)</f>
        <v>#REF!</v>
      </c>
      <c r="AF283" s="175" t="e">
        <f>IF(#REF!&lt;100,"",#REF!-520)</f>
        <v>#REF!</v>
      </c>
      <c r="AG283" s="43"/>
      <c r="AH283" s="43"/>
    </row>
    <row r="284" spans="1:34" x14ac:dyDescent="0.25">
      <c r="A284" s="175" t="e">
        <f>#REF!</f>
        <v>#REF!</v>
      </c>
      <c r="B284" s="175" t="e">
        <f>IF(#REF!&lt;100,"",#REF!-620)</f>
        <v>#REF!</v>
      </c>
      <c r="C284" s="175" t="e">
        <f>IF(#REF!&lt;100,"",#REF!-620)</f>
        <v>#REF!</v>
      </c>
      <c r="D284" s="175" t="e">
        <f>IF(#REF!&lt;100,"",#REF!-620)</f>
        <v>#REF!</v>
      </c>
      <c r="E284" s="175" t="e">
        <f>IF(#REF!&lt;100,"",#REF!-620)</f>
        <v>#REF!</v>
      </c>
      <c r="F284" s="175" t="e">
        <f>IF(#REF!&lt;100,"",#REF!-620)</f>
        <v>#REF!</v>
      </c>
      <c r="G284" s="175" t="e">
        <f>IF(#REF!&lt;100,"",#REF!-620)</f>
        <v>#REF!</v>
      </c>
      <c r="H284" s="175" t="e">
        <f>IF(#REF!&lt;100,"",#REF!-620)</f>
        <v>#REF!</v>
      </c>
      <c r="I284" s="175" t="e">
        <f>IF(#REF!&lt;100,"",#REF!-620)</f>
        <v>#REF!</v>
      </c>
      <c r="J284" s="175" t="e">
        <f>IF(#REF!&lt;100,"",#REF!-620)</f>
        <v>#REF!</v>
      </c>
      <c r="K284" s="175" t="e">
        <f>IF(#REF!&lt;100,"",#REF!-620)</f>
        <v>#REF!</v>
      </c>
      <c r="L284" s="175" t="e">
        <f>IF(#REF!&lt;100,"",#REF!-620)</f>
        <v>#REF!</v>
      </c>
      <c r="M284" s="175" t="e">
        <f>IF(#REF!&lt;100,"",#REF!-620)</f>
        <v>#REF!</v>
      </c>
      <c r="N284" s="175" t="e">
        <f>IF(#REF!&lt;100,"",#REF!-620)</f>
        <v>#REF!</v>
      </c>
      <c r="O284" s="175" t="e">
        <f>IF(#REF!&lt;100,"",#REF!-620)</f>
        <v>#REF!</v>
      </c>
      <c r="P284" s="175" t="e">
        <f>IF(#REF!&lt;100,"",#REF!-620)</f>
        <v>#REF!</v>
      </c>
      <c r="Q284" s="175" t="e">
        <f>IF(#REF!&lt;100,"",#REF!-620)</f>
        <v>#REF!</v>
      </c>
      <c r="R284" s="175" t="e">
        <f>IF(#REF!&lt;100,"",#REF!-620)</f>
        <v>#REF!</v>
      </c>
      <c r="S284" s="175" t="e">
        <f>IF(#REF!&lt;100,"",#REF!-620)</f>
        <v>#REF!</v>
      </c>
      <c r="T284" s="175" t="e">
        <f>IF(#REF!&lt;100,"",#REF!-620)</f>
        <v>#REF!</v>
      </c>
      <c r="U284" s="175" t="e">
        <f>IF(#REF!&lt;100,"",#REF!-620)</f>
        <v>#REF!</v>
      </c>
      <c r="V284" s="175" t="e">
        <f>IF(#REF!&lt;100,"",#REF!-620)</f>
        <v>#REF!</v>
      </c>
      <c r="W284" s="175" t="e">
        <f>IF(#REF!&lt;100,"",#REF!-620)</f>
        <v>#REF!</v>
      </c>
      <c r="X284" s="175" t="e">
        <f>IF(#REF!&lt;100,"",#REF!-620)</f>
        <v>#REF!</v>
      </c>
      <c r="Y284" s="175" t="e">
        <f>IF(#REF!&lt;100,"",#REF!-620)</f>
        <v>#REF!</v>
      </c>
      <c r="Z284" s="175" t="e">
        <f>IF(#REF!&lt;100,"",#REF!-620)</f>
        <v>#REF!</v>
      </c>
      <c r="AA284" s="175" t="e">
        <f>IF(#REF!&lt;100,"",#REF!-620)</f>
        <v>#REF!</v>
      </c>
      <c r="AB284" s="175" t="e">
        <f>IF(#REF!&lt;100,"",#REF!-620)</f>
        <v>#REF!</v>
      </c>
      <c r="AC284" s="175" t="e">
        <f>IF(#REF!&lt;100,"",#REF!-620)</f>
        <v>#REF!</v>
      </c>
      <c r="AD284" s="175" t="e">
        <f>IF(#REF!&lt;100,"",#REF!-620)</f>
        <v>#REF!</v>
      </c>
      <c r="AE284" s="175" t="e">
        <f>IF(#REF!&lt;100,"",#REF!-620)</f>
        <v>#REF!</v>
      </c>
      <c r="AF284" s="175" t="e">
        <f>IF(#REF!&lt;100,"",#REF!-620)</f>
        <v>#REF!</v>
      </c>
      <c r="AG284" s="43"/>
      <c r="AH284" s="43"/>
    </row>
    <row r="285" spans="1:34" x14ac:dyDescent="0.25">
      <c r="A285" s="175" t="e">
        <f>#REF!</f>
        <v>#REF!</v>
      </c>
      <c r="B285" s="175" t="e">
        <f>IF(#REF!&lt;100,"",#REF!-330)</f>
        <v>#REF!</v>
      </c>
      <c r="C285" s="175" t="e">
        <f>IF(#REF!&lt;100,"",#REF!-330)</f>
        <v>#REF!</v>
      </c>
      <c r="D285" s="175" t="e">
        <f>IF(#REF!&lt;100,"",#REF!-330)</f>
        <v>#REF!</v>
      </c>
      <c r="E285" s="175" t="e">
        <f>IF(#REF!&lt;100,"",#REF!-330)</f>
        <v>#REF!</v>
      </c>
      <c r="F285" s="175" t="e">
        <f>IF(#REF!&lt;100,"",#REF!-330)</f>
        <v>#REF!</v>
      </c>
      <c r="G285" s="175" t="e">
        <f>IF(#REF!&lt;100,"",#REF!-330)</f>
        <v>#REF!</v>
      </c>
      <c r="H285" s="175" t="e">
        <f>IF(#REF!&lt;100,"",#REF!-330)</f>
        <v>#REF!</v>
      </c>
      <c r="I285" s="175" t="e">
        <f>IF(#REF!&lt;100,"",#REF!-330)</f>
        <v>#REF!</v>
      </c>
      <c r="J285" s="175" t="e">
        <f>IF(#REF!&lt;100,"",#REF!-330)</f>
        <v>#REF!</v>
      </c>
      <c r="K285" s="175" t="e">
        <f>IF(#REF!&lt;100,"",#REF!-330)</f>
        <v>#REF!</v>
      </c>
      <c r="L285" s="175" t="e">
        <f>IF(#REF!&lt;100,"",#REF!-330)</f>
        <v>#REF!</v>
      </c>
      <c r="M285" s="175" t="e">
        <f>IF(#REF!&lt;100,"",#REF!-330)</f>
        <v>#REF!</v>
      </c>
      <c r="N285" s="175" t="e">
        <f>IF(#REF!&lt;100,"",#REF!-330)</f>
        <v>#REF!</v>
      </c>
      <c r="O285" s="175" t="e">
        <f>IF(#REF!&lt;100,"",#REF!-330)</f>
        <v>#REF!</v>
      </c>
      <c r="P285" s="175" t="e">
        <f>IF(#REF!&lt;100,"",#REF!-330)</f>
        <v>#REF!</v>
      </c>
      <c r="Q285" s="175" t="e">
        <f>IF(#REF!&lt;100,"",#REF!-330)</f>
        <v>#REF!</v>
      </c>
      <c r="R285" s="175" t="e">
        <f>IF(#REF!&lt;100,"",#REF!-330)</f>
        <v>#REF!</v>
      </c>
      <c r="S285" s="175" t="e">
        <f>IF(#REF!&lt;100,"",#REF!-330)</f>
        <v>#REF!</v>
      </c>
      <c r="T285" s="175" t="e">
        <f>IF(#REF!&lt;100,"",#REF!-330)</f>
        <v>#REF!</v>
      </c>
      <c r="U285" s="175" t="e">
        <f>IF(#REF!&lt;100,"",#REF!-330)</f>
        <v>#REF!</v>
      </c>
      <c r="V285" s="175" t="e">
        <f>IF(#REF!&lt;100,"",#REF!-330)</f>
        <v>#REF!</v>
      </c>
      <c r="W285" s="175" t="e">
        <f>IF(#REF!&lt;100,"",#REF!-330)</f>
        <v>#REF!</v>
      </c>
      <c r="X285" s="175" t="e">
        <f>IF(#REF!&lt;100,"",#REF!-330)</f>
        <v>#REF!</v>
      </c>
      <c r="Y285" s="175" t="e">
        <f>IF(#REF!&lt;100,"",#REF!-330)</f>
        <v>#REF!</v>
      </c>
      <c r="Z285" s="175" t="e">
        <f>IF(#REF!&lt;100,"",#REF!-330)</f>
        <v>#REF!</v>
      </c>
      <c r="AA285" s="175" t="e">
        <f>IF(#REF!&lt;100,"",#REF!-330)</f>
        <v>#REF!</v>
      </c>
      <c r="AB285" s="175" t="e">
        <f>IF(#REF!&lt;100,"",#REF!-330)</f>
        <v>#REF!</v>
      </c>
      <c r="AC285" s="175" t="e">
        <f>IF(#REF!&lt;100,"",#REF!-330)</f>
        <v>#REF!</v>
      </c>
      <c r="AD285" s="175" t="e">
        <f>IF(#REF!&lt;100,"",#REF!-330)</f>
        <v>#REF!</v>
      </c>
      <c r="AE285" s="175" t="e">
        <f>IF(#REF!&lt;100,"",#REF!-330)</f>
        <v>#REF!</v>
      </c>
      <c r="AF285" s="175" t="e">
        <f>IF(#REF!&lt;100,"",#REF!-330)</f>
        <v>#REF!</v>
      </c>
      <c r="AG285" s="43"/>
      <c r="AH285" s="43"/>
    </row>
    <row r="286" spans="1:34" x14ac:dyDescent="0.25">
      <c r="A286" s="175" t="e">
        <f>#REF!</f>
        <v>#REF!</v>
      </c>
      <c r="B286" s="175" t="e">
        <f>IF(#REF!&lt;100,"",#REF!-1500)</f>
        <v>#REF!</v>
      </c>
      <c r="C286" s="175" t="e">
        <f>IF(#REF!&lt;100,"",#REF!-1500)</f>
        <v>#REF!</v>
      </c>
      <c r="D286" s="175" t="e">
        <f>IF(#REF!&lt;100,"",#REF!-1500)</f>
        <v>#REF!</v>
      </c>
      <c r="E286" s="175" t="e">
        <f>IF(#REF!&lt;100,"",#REF!-1500)</f>
        <v>#REF!</v>
      </c>
      <c r="F286" s="175" t="e">
        <f>IF(#REF!&lt;100,"",#REF!-1500)</f>
        <v>#REF!</v>
      </c>
      <c r="G286" s="175" t="e">
        <f>IF(#REF!&lt;100,"",#REF!-1500)</f>
        <v>#REF!</v>
      </c>
      <c r="H286" s="175" t="e">
        <f>IF(#REF!&lt;100,"",#REF!-1500)</f>
        <v>#REF!</v>
      </c>
      <c r="I286" s="175" t="e">
        <f>IF(#REF!&lt;100,"",#REF!-1500)</f>
        <v>#REF!</v>
      </c>
      <c r="J286" s="175" t="e">
        <f>IF(#REF!&lt;100,"",#REF!-1500)</f>
        <v>#REF!</v>
      </c>
      <c r="K286" s="175" t="e">
        <f>IF(#REF!&lt;100,"",#REF!-1500)</f>
        <v>#REF!</v>
      </c>
      <c r="L286" s="175" t="e">
        <f>IF(#REF!&lt;100,"",#REF!-1500)</f>
        <v>#REF!</v>
      </c>
      <c r="M286" s="175" t="e">
        <f>IF(#REF!&lt;100,"",#REF!-1500)</f>
        <v>#REF!</v>
      </c>
      <c r="N286" s="175" t="e">
        <f>IF(#REF!&lt;100,"",#REF!-1500)</f>
        <v>#REF!</v>
      </c>
      <c r="O286" s="175" t="e">
        <f>IF(#REF!&lt;100,"",#REF!-1500)</f>
        <v>#REF!</v>
      </c>
      <c r="P286" s="175" t="e">
        <f>IF(#REF!&lt;100,"",#REF!-1500)</f>
        <v>#REF!</v>
      </c>
      <c r="Q286" s="175" t="e">
        <f>IF(#REF!&lt;100,"",#REF!-1500)</f>
        <v>#REF!</v>
      </c>
      <c r="R286" s="175" t="e">
        <f>IF(#REF!&lt;100,"",#REF!-1500)</f>
        <v>#REF!</v>
      </c>
      <c r="S286" s="175" t="e">
        <f>IF(#REF!&lt;100,"",#REF!-1500)</f>
        <v>#REF!</v>
      </c>
      <c r="T286" s="175" t="e">
        <f>IF(#REF!&lt;100,"",#REF!-1500)</f>
        <v>#REF!</v>
      </c>
      <c r="U286" s="175" t="e">
        <f>IF(#REF!&lt;100,"",#REF!-1500)</f>
        <v>#REF!</v>
      </c>
      <c r="V286" s="175" t="e">
        <f>IF(#REF!&lt;100,"",#REF!-1500)</f>
        <v>#REF!</v>
      </c>
      <c r="W286" s="175" t="e">
        <f>IF(#REF!&lt;100,"",#REF!-1500)</f>
        <v>#REF!</v>
      </c>
      <c r="X286" s="175" t="e">
        <f>IF(#REF!&lt;100,"",#REF!-1500)</f>
        <v>#REF!</v>
      </c>
      <c r="Y286" s="175" t="e">
        <f>IF(#REF!&lt;100,"",#REF!-1500)</f>
        <v>#REF!</v>
      </c>
      <c r="Z286" s="175" t="e">
        <f>IF(#REF!&lt;100,"",#REF!-1500)</f>
        <v>#REF!</v>
      </c>
      <c r="AA286" s="175" t="e">
        <f>IF(#REF!&lt;100,"",#REF!-1500)</f>
        <v>#REF!</v>
      </c>
      <c r="AB286" s="175" t="e">
        <f>IF(#REF!&lt;100,"",#REF!-1500)</f>
        <v>#REF!</v>
      </c>
      <c r="AC286" s="175" t="e">
        <f>IF(#REF!&lt;100,"",#REF!-1500)</f>
        <v>#REF!</v>
      </c>
      <c r="AD286" s="175" t="e">
        <f>IF(#REF!&lt;100,"",#REF!-1500)</f>
        <v>#REF!</v>
      </c>
      <c r="AE286" s="175" t="e">
        <f>IF(#REF!&lt;100,"",#REF!-1500)</f>
        <v>#REF!</v>
      </c>
      <c r="AF286" s="175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605" priority="54">
      <formula>$AH11=0</formula>
    </cfRule>
  </conditionalFormatting>
  <conditionalFormatting sqref="A132:A253">
    <cfRule type="expression" dxfId="604" priority="5">
      <formula>$AH132=0</formula>
    </cfRule>
  </conditionalFormatting>
  <conditionalFormatting sqref="B8 M8 S8 AB8">
    <cfRule type="expression" dxfId="603" priority="115">
      <formula>AND(C$9&gt;=8/24,C$9&lt;14/24)</formula>
    </cfRule>
    <cfRule type="expression" dxfId="602" priority="114">
      <formula>AND(C$9&gt;=14/24,C$9&lt;20/24)</formula>
    </cfRule>
    <cfRule type="expression" dxfId="601" priority="116">
      <formula>C$9&lt;8/24</formula>
    </cfRule>
  </conditionalFormatting>
  <conditionalFormatting sqref="B63:I74 J64:J74 K68:P74 Q69:R74 S70:W74">
    <cfRule type="expression" dxfId="600" priority="22">
      <formula>AND(B$9&gt;=8/24,B$9&lt;14/24)</formula>
    </cfRule>
    <cfRule type="expression" dxfId="599" priority="21">
      <formula>AND(B$9&gt;=14/24,B$9&lt;20/24)</formula>
    </cfRule>
    <cfRule type="expression" dxfId="598" priority="20">
      <formula>B$9&gt;=20/24</formula>
    </cfRule>
    <cfRule type="expression" dxfId="597" priority="23">
      <formula>B$9&lt;8/24</formula>
    </cfRule>
  </conditionalFormatting>
  <conditionalFormatting sqref="B11:W54">
    <cfRule type="expression" dxfId="596" priority="14">
      <formula>B11&gt;$AG11</formula>
    </cfRule>
  </conditionalFormatting>
  <conditionalFormatting sqref="B53:W54">
    <cfRule type="expression" dxfId="595" priority="13">
      <formula>B$9&lt;8/24</formula>
    </cfRule>
  </conditionalFormatting>
  <conditionalFormatting sqref="B55:W55">
    <cfRule type="expression" dxfId="594" priority="34">
      <formula>B55&gt;$AG55</formula>
    </cfRule>
  </conditionalFormatting>
  <conditionalFormatting sqref="B9:AF52">
    <cfRule type="expression" dxfId="593" priority="25">
      <formula>B$9&gt;=20/24</formula>
    </cfRule>
    <cfRule type="expression" dxfId="592" priority="26">
      <formula>AND(B$9&gt;=14/24,B$9&lt;20/24)</formula>
    </cfRule>
    <cfRule type="expression" dxfId="591" priority="27">
      <formula>AND(B$9&gt;=8/24,B$9&lt;14/24)</formula>
    </cfRule>
    <cfRule type="expression" dxfId="590" priority="28">
      <formula>B$9&lt;8/24</formula>
    </cfRule>
  </conditionalFormatting>
  <conditionalFormatting sqref="B53:AF54">
    <cfRule type="expression" dxfId="589" priority="12">
      <formula>AND(B$9&gt;=8/24,B$9&lt;14/24)</formula>
    </cfRule>
    <cfRule type="expression" dxfId="588" priority="11">
      <formula>AND(B$9&gt;=14/24,B$9&lt;20/24)</formula>
    </cfRule>
    <cfRule type="expression" dxfId="587" priority="10">
      <formula>B$9&gt;=20/24</formula>
    </cfRule>
  </conditionalFormatting>
  <conditionalFormatting sqref="B55:AF57">
    <cfRule type="expression" dxfId="586" priority="31">
      <formula>AND(B$9&gt;=14/24,B$9&lt;20/24)</formula>
    </cfRule>
    <cfRule type="expression" dxfId="585" priority="30">
      <formula>B$9&gt;=20/24</formula>
    </cfRule>
    <cfRule type="expression" dxfId="584" priority="32">
      <formula>AND(B$9&gt;=8/24,B$9&lt;14/24)</formula>
    </cfRule>
  </conditionalFormatting>
  <conditionalFormatting sqref="B56:AF61">
    <cfRule type="expression" dxfId="583" priority="29">
      <formula>B56&gt;$AG56</formula>
    </cfRule>
  </conditionalFormatting>
  <conditionalFormatting sqref="B59:AF61">
    <cfRule type="expression" dxfId="582" priority="43">
      <formula>B$9&lt;8/24</formula>
    </cfRule>
    <cfRule type="expression" dxfId="581" priority="42">
      <formula>AND(B$9&gt;=8/24,B$9&lt;14/24)</formula>
    </cfRule>
    <cfRule type="expression" dxfId="580" priority="40">
      <formula>B$9&gt;=20/24</formula>
    </cfRule>
    <cfRule type="expression" dxfId="579" priority="41">
      <formula>AND(B$9&gt;=14/24,B$9&lt;20/24)</formula>
    </cfRule>
  </conditionalFormatting>
  <conditionalFormatting sqref="B63:AF74">
    <cfRule type="expression" dxfId="578" priority="19">
      <formula>B63&gt;$AG63</formula>
    </cfRule>
  </conditionalFormatting>
  <conditionalFormatting sqref="B77:AF79">
    <cfRule type="expression" dxfId="577" priority="46">
      <formula>AND(B$9&gt;=14/24,B$9&lt;20/24)</formula>
    </cfRule>
    <cfRule type="expression" dxfId="576" priority="45">
      <formula>B$9&gt;=20/24</formula>
    </cfRule>
    <cfRule type="expression" dxfId="575" priority="44">
      <formula>B77&gt;$AG77</formula>
    </cfRule>
    <cfRule type="expression" dxfId="574" priority="47">
      <formula>AND(B$9&gt;=8/24,B$9&lt;14/24)</formula>
    </cfRule>
    <cfRule type="expression" dxfId="573" priority="48">
      <formula>B$9&lt;8/24</formula>
    </cfRule>
  </conditionalFormatting>
  <conditionalFormatting sqref="B81:AF99">
    <cfRule type="expression" dxfId="572" priority="16">
      <formula>AND(B$9&gt;=14/24,B$9&lt;20/24)</formula>
    </cfRule>
    <cfRule type="expression" dxfId="571" priority="18">
      <formula>B$9&lt;8/24</formula>
    </cfRule>
    <cfRule type="expression" dxfId="570" priority="15">
      <formula>B$9&gt;=20/24</formula>
    </cfRule>
    <cfRule type="expression" dxfId="569" priority="17">
      <formula>AND(B$9&gt;=8/24,B$9&lt;14/24)</formula>
    </cfRule>
  </conditionalFormatting>
  <conditionalFormatting sqref="B101:AF117">
    <cfRule type="expression" dxfId="568" priority="8">
      <formula>AND(B$9&gt;=8/24,B$9&lt;14/24)</formula>
    </cfRule>
    <cfRule type="expression" dxfId="567" priority="9">
      <formula>B$9&lt;8/24</formula>
    </cfRule>
    <cfRule type="expression" dxfId="566" priority="7">
      <formula>AND(B$9&gt;=14/24,B$9&lt;20/24)</formula>
    </cfRule>
    <cfRule type="expression" dxfId="565" priority="6">
      <formula>B$9&gt;=20/24</formula>
    </cfRule>
  </conditionalFormatting>
  <conditionalFormatting sqref="B119:AF137">
    <cfRule type="expression" dxfId="564" priority="4">
      <formula>B$9&lt;8/24</formula>
    </cfRule>
    <cfRule type="expression" dxfId="563" priority="3">
      <formula>AND(B$9&gt;=8/24,B$9&lt;14/24)</formula>
    </cfRule>
    <cfRule type="expression" dxfId="562" priority="2">
      <formula>AND(B$9&gt;=14/24,B$9&lt;20/24)</formula>
    </cfRule>
    <cfRule type="expression" dxfId="561" priority="1">
      <formula>B$9&gt;=20/24</formula>
    </cfRule>
  </conditionalFormatting>
  <conditionalFormatting sqref="B244:AF244 B246:B252 D246:AF252 U260:AF260">
    <cfRule type="expression" dxfId="560" priority="110">
      <formula>B$9&lt;8/24</formula>
    </cfRule>
    <cfRule type="expression" dxfId="559" priority="109">
      <formula>AND(B$9&gt;=8/24,B$9&lt;14/24)</formula>
    </cfRule>
    <cfRule type="expression" dxfId="558" priority="108">
      <formula>AND(B$9&gt;=14/24,B$9&lt;20/24)</formula>
    </cfRule>
    <cfRule type="expression" dxfId="557" priority="107">
      <formula>B$9&gt;=20/24</formula>
    </cfRule>
  </conditionalFormatting>
  <conditionalFormatting sqref="B62:AG62">
    <cfRule type="expression" dxfId="556" priority="50">
      <formula>B$9&gt;=20/24</formula>
    </cfRule>
    <cfRule type="expression" dxfId="555" priority="51">
      <formula>AND(B$9&gt;=14/24,B$9&lt;20/24)</formula>
    </cfRule>
    <cfRule type="expression" dxfId="554" priority="52">
      <formula>AND(B$9&gt;=8/24,B$9&lt;14/24)</formula>
    </cfRule>
    <cfRule type="expression" dxfId="553" priority="53">
      <formula>B$9&lt;8/24</formula>
    </cfRule>
    <cfRule type="expression" dxfId="552" priority="49">
      <formula>B62&gt;$AG62</formula>
    </cfRule>
  </conditionalFormatting>
  <conditionalFormatting sqref="B75:AG76 B80:AG80">
    <cfRule type="expression" dxfId="551" priority="35">
      <formula>B75&gt;$AG75</formula>
    </cfRule>
  </conditionalFormatting>
  <conditionalFormatting sqref="B80:AG80">
    <cfRule type="expression" dxfId="550" priority="38">
      <formula>AND(B$9&gt;=8/24,B$9&lt;14/24)</formula>
    </cfRule>
    <cfRule type="expression" dxfId="549" priority="39">
      <formula>B$9&lt;8/24</formula>
    </cfRule>
    <cfRule type="expression" dxfId="548" priority="36">
      <formula>B$9&gt;=20/24</formula>
    </cfRule>
    <cfRule type="expression" dxfId="547" priority="37">
      <formula>AND(B$9&gt;=14/24,B$9&lt;20/24)</formula>
    </cfRule>
  </conditionalFormatting>
  <conditionalFormatting sqref="F63:L65">
    <cfRule type="expression" dxfId="546" priority="88">
      <formula>F$9&gt;=20/24</formula>
    </cfRule>
    <cfRule type="expression" dxfId="545" priority="91">
      <formula>F$9&lt;8/24</formula>
    </cfRule>
    <cfRule type="expression" dxfId="544" priority="90">
      <formula>AND(F$9&gt;=8/24,F$9&lt;14/24)</formula>
    </cfRule>
    <cfRule type="expression" dxfId="543" priority="89">
      <formula>AND(F$9&gt;=14/24,F$9&lt;20/24)</formula>
    </cfRule>
  </conditionalFormatting>
  <conditionalFormatting sqref="F68:R68">
    <cfRule type="expression" dxfId="542" priority="68">
      <formula>F$9&lt;8/24</formula>
    </cfRule>
    <cfRule type="expression" dxfId="541" priority="65">
      <formula>F$9&gt;=20/24</formula>
    </cfRule>
    <cfRule type="expression" dxfId="540" priority="66">
      <formula>AND(F$9&gt;=14/24,F$9&lt;20/24)</formula>
    </cfRule>
    <cfRule type="expression" dxfId="539" priority="67">
      <formula>AND(F$9&gt;=8/24,F$9&lt;14/24)</formula>
    </cfRule>
  </conditionalFormatting>
  <conditionalFormatting sqref="F69:AF74">
    <cfRule type="expression" dxfId="538" priority="55">
      <formula>F$9&gt;=20/24</formula>
    </cfRule>
    <cfRule type="expression" dxfId="537" priority="56">
      <formula>AND(F$9&gt;=14/24,F$9&lt;20/24)</formula>
    </cfRule>
    <cfRule type="expression" dxfId="536" priority="57">
      <formula>AND(F$9&gt;=8/24,F$9&lt;14/24)</formula>
    </cfRule>
    <cfRule type="expression" dxfId="535" priority="58">
      <formula>F$9&lt;8/24</formula>
    </cfRule>
  </conditionalFormatting>
  <conditionalFormatting sqref="K55:W56 B55:J57">
    <cfRule type="expression" dxfId="534" priority="33">
      <formula>B$9&lt;8/24</formula>
    </cfRule>
  </conditionalFormatting>
  <conditionalFormatting sqref="M63:R67">
    <cfRule type="expression" dxfId="533" priority="93">
      <formula>AND(M$9&gt;=14/24,M$9&lt;20/24)</formula>
    </cfRule>
    <cfRule type="expression" dxfId="532" priority="92">
      <formula>M$9&gt;=20/24</formula>
    </cfRule>
    <cfRule type="expression" dxfId="531" priority="94">
      <formula>AND(M$9&gt;=8/24,M$9&lt;14/24)</formula>
    </cfRule>
    <cfRule type="expression" dxfId="530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529" priority="113">
      <formula>C$9&gt;=20/24</formula>
    </cfRule>
  </conditionalFormatting>
  <conditionalFormatting sqref="S8">
    <cfRule type="expression" dxfId="528" priority="101">
      <formula>AND(U$9&gt;=14/24,U$9&lt;20/24)</formula>
    </cfRule>
    <cfRule type="expression" dxfId="527" priority="103">
      <formula>U$9&lt;8/24</formula>
    </cfRule>
    <cfRule type="expression" dxfId="526" priority="102">
      <formula>AND(U$9&gt;=8/24,U$9&lt;14/24)</formula>
    </cfRule>
    <cfRule type="expression" dxfId="525" priority="100">
      <formula>U$9&gt;=20/24</formula>
    </cfRule>
  </conditionalFormatting>
  <conditionalFormatting sqref="S63:AF68">
    <cfRule type="expression" dxfId="524" priority="59">
      <formula>S$9&gt;=20/24</formula>
    </cfRule>
    <cfRule type="expression" dxfId="523" priority="60">
      <formula>AND(S$9&gt;=14/24,S$9&lt;20/24)</formula>
    </cfRule>
    <cfRule type="expression" dxfId="522" priority="62">
      <formula>S$9&lt;8/24</formula>
    </cfRule>
    <cfRule type="expression" dxfId="521" priority="61">
      <formula>AND(S$9&gt;=8/24,S$9&lt;14/24)</formula>
    </cfRule>
  </conditionalFormatting>
  <conditionalFormatting sqref="T260">
    <cfRule type="expression" dxfId="520" priority="126">
      <formula>AND(AX$9&gt;=14/24,AX$9&lt;20/24)</formula>
    </cfRule>
    <cfRule type="expression" dxfId="519" priority="125">
      <formula>AX$9&gt;=20/24</formula>
    </cfRule>
    <cfRule type="expression" dxfId="518" priority="127">
      <formula>AND(AX$9&gt;=8/24,AX$9&lt;14/24)</formula>
    </cfRule>
    <cfRule type="expression" dxfId="517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X11:AF52">
    <cfRule type="expression" dxfId="516" priority="24">
      <formula>X11&gt;$AG11</formula>
    </cfRule>
  </conditionalFormatting>
  <conditionalFormatting sqref="X53:AF55">
    <cfRule type="expression" dxfId="515" priority="64">
      <formula>X53&gt;$AG53</formula>
    </cfRule>
  </conditionalFormatting>
  <conditionalFormatting sqref="X53:AF57 B56:R56 S56:W57 K57:R57">
    <cfRule type="expression" dxfId="514" priority="63">
      <formula>B$9&lt;8/24</formula>
    </cfRule>
  </conditionalFormatting>
  <conditionalFormatting sqref="AB8">
    <cfRule type="expression" dxfId="513" priority="98">
      <formula>AND(AD$9&gt;=8/24,AD$9&lt;14/24)</formula>
    </cfRule>
    <cfRule type="expression" dxfId="512" priority="99">
      <formula>AD$9&lt;8/24</formula>
    </cfRule>
    <cfRule type="expression" dxfId="511" priority="96">
      <formula>AD$9&gt;=20/24</formula>
    </cfRule>
    <cfRule type="expression" dxfId="510" priority="97">
      <formula>AND(AD$9&gt;=14/24,AD$9&lt;20/24)</formula>
    </cfRule>
  </conditionalFormatting>
  <conditionalFormatting sqref="AG58">
    <cfRule type="expression" dxfId="509" priority="83">
      <formula>AG58&gt;$AG58</formula>
    </cfRule>
  </conditionalFormatting>
  <conditionalFormatting sqref="AG97">
    <cfRule type="expression" dxfId="508" priority="87">
      <formula>AG$9&lt;8/24</formula>
    </cfRule>
    <cfRule type="expression" dxfId="507" priority="84">
      <formula>AG$9&gt;=20/24</formula>
    </cfRule>
    <cfRule type="expression" dxfId="506" priority="85">
      <formula>AND(AG$9&gt;=14/24,AG$9&lt;20/24)</formula>
    </cfRule>
    <cfRule type="expression" dxfId="505" priority="86">
      <formula>AND(AG$9&gt;=8/24,AG$9&lt;14/24)</formula>
    </cfRule>
  </conditionalFormatting>
  <conditionalFormatting sqref="AG260">
    <cfRule type="expression" dxfId="504" priority="118">
      <formula>AND(B$9&gt;=14/24,B$9&lt;20/24)</formula>
    </cfRule>
    <cfRule type="expression" dxfId="503" priority="119">
      <formula>AND(B$9&gt;=8/24,B$9&lt;14/24)</formula>
    </cfRule>
    <cfRule type="expression" dxfId="502" priority="120">
      <formula>B$9&lt;8/24</formula>
    </cfRule>
    <cfRule type="expression" dxfId="501" priority="117">
      <formula>B$9&gt;=20/24</formula>
    </cfRule>
  </conditionalFormatting>
  <conditionalFormatting sqref="AH260:AX260">
    <cfRule type="expression" dxfId="500" priority="121">
      <formula>AG$9&gt;=20/24</formula>
    </cfRule>
    <cfRule type="expression" dxfId="499" priority="122">
      <formula>AND(AG$9&gt;=14/24,AG$9&lt;20/24)</formula>
    </cfRule>
    <cfRule type="expression" dxfId="498" priority="123">
      <formula>AND(AG$9&gt;=8/24,AG$9&lt;14/24)</formula>
    </cfRule>
    <cfRule type="expression" dxfId="497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96" priority="130">
      <formula>AJ$9&gt;=20/24</formula>
    </cfRule>
    <cfRule type="expression" dxfId="495" priority="131">
      <formula>AND(AJ$9&gt;=14/24,AJ$9&lt;20/24)</formula>
    </cfRule>
    <cfRule type="expression" dxfId="494" priority="132">
      <formula>AND(AJ$9&gt;=8/24,AJ$9&lt;14/24)</formula>
    </cfRule>
    <cfRule type="expression" dxfId="493" priority="133">
      <formula>AJ$9&lt;8/24</formula>
    </cfRule>
  </conditionalFormatting>
  <conditionalFormatting sqref="AL88:AN88 AL94:AN94">
    <cfRule type="expression" dxfId="492" priority="79">
      <formula>AL$9&lt;8/24</formula>
    </cfRule>
    <cfRule type="expression" dxfId="491" priority="78">
      <formula>AND(AL$9&gt;=8/24,AL$9&lt;14/24)</formula>
    </cfRule>
    <cfRule type="expression" dxfId="490" priority="77">
      <formula>AND(AL$9&gt;=14/24,AL$9&lt;20/24)</formula>
    </cfRule>
    <cfRule type="expression" dxfId="489" priority="76">
      <formula>AL$9&gt;=20/24</formula>
    </cfRule>
  </conditionalFormatting>
  <conditionalFormatting sqref="AN89:AN92">
    <cfRule type="expression" dxfId="488" priority="75">
      <formula>AN$9&lt;8/24</formula>
    </cfRule>
    <cfRule type="expression" dxfId="487" priority="74">
      <formula>AND(AN$9&gt;=8/24,AN$9&lt;14/24)</formula>
    </cfRule>
    <cfRule type="expression" dxfId="486" priority="73">
      <formula>AND(AN$9&gt;=14/24,AN$9&lt;20/24)</formula>
    </cfRule>
    <cfRule type="expression" dxfId="485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F653-ED88-461B-A8B4-791DF0BDCF38}">
  <sheetPr codeName="Sheet33"/>
  <dimension ref="A1:CJ293"/>
  <sheetViews>
    <sheetView zoomScale="106" workbookViewId="0">
      <pane xSplit="1" ySplit="10" topLeftCell="L11" activePane="bottomRight" state="frozen"/>
      <selection activeCell="P118" sqref="P118"/>
      <selection pane="topRight" activeCell="P118" sqref="P118"/>
      <selection pane="bottomLeft" activeCell="P118" sqref="P118"/>
      <selection pane="bottomRight" activeCell="I13" sqref="I1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5" width="7.425781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2080/09/28</v>
      </c>
      <c r="C4" s="246"/>
      <c r="D4" s="246"/>
      <c r="E4" s="247" t="str">
        <f ca="1">"2080/"&amp;"09/"&amp;INT(MID(CELL("filename",G6),FIND("]",CELL("filename",G6))+1,200))</f>
        <v>2080/09/28</v>
      </c>
      <c r="F4" s="247"/>
      <c r="G4" s="247"/>
      <c r="H4" s="247" t="str">
        <f ca="1">TEXT(E4,"dddd")</f>
        <v>Saturday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268</v>
      </c>
      <c r="C5" s="30">
        <f t="shared" si="0"/>
        <v>280.10000000000002</v>
      </c>
      <c r="D5" s="30">
        <f t="shared" si="0"/>
        <v>267.34000000000003</v>
      </c>
      <c r="E5" s="30">
        <f t="shared" si="0"/>
        <v>302.89999999999998</v>
      </c>
      <c r="F5" s="30">
        <f t="shared" si="0"/>
        <v>315.8</v>
      </c>
      <c r="G5" s="30">
        <f t="shared" si="0"/>
        <v>342</v>
      </c>
      <c r="H5" s="30">
        <f t="shared" si="0"/>
        <v>376.1</v>
      </c>
      <c r="I5" s="30">
        <f t="shared" si="0"/>
        <v>425</v>
      </c>
      <c r="J5" s="30">
        <f t="shared" si="0"/>
        <v>446.7</v>
      </c>
      <c r="K5" s="30">
        <f t="shared" si="0"/>
        <v>352</v>
      </c>
      <c r="L5" s="30">
        <f t="shared" si="0"/>
        <v>200.4</v>
      </c>
      <c r="M5" s="30">
        <f t="shared" si="0"/>
        <v>92.8</v>
      </c>
      <c r="N5" s="30">
        <f t="shared" si="0"/>
        <v>158.69999999999999</v>
      </c>
      <c r="O5" s="30">
        <f t="shared" si="0"/>
        <v>283</v>
      </c>
      <c r="P5" s="30">
        <f t="shared" si="0"/>
        <v>436</v>
      </c>
      <c r="Q5" s="30">
        <f t="shared" si="0"/>
        <v>416.2</v>
      </c>
      <c r="R5" s="30">
        <f t="shared" si="0"/>
        <v>365.3</v>
      </c>
      <c r="S5" s="30">
        <f t="shared" si="0"/>
        <v>449.6</v>
      </c>
      <c r="T5" s="30">
        <f t="shared" si="0"/>
        <v>458.90000000000003</v>
      </c>
      <c r="U5" s="30">
        <f t="shared" si="0"/>
        <v>376.29999999999995</v>
      </c>
      <c r="V5" s="30">
        <f t="shared" si="0"/>
        <v>266.5</v>
      </c>
      <c r="W5" s="30">
        <f t="shared" si="0"/>
        <v>236.8</v>
      </c>
      <c r="X5" s="30">
        <f t="shared" si="0"/>
        <v>194.60000000000002</v>
      </c>
      <c r="Y5" s="30">
        <f t="shared" si="0"/>
        <v>190.7</v>
      </c>
      <c r="Z5" s="30">
        <f t="shared" si="0"/>
        <v>195.3</v>
      </c>
      <c r="AA5" s="30">
        <f t="shared" si="0"/>
        <v>303</v>
      </c>
      <c r="AB5" s="30">
        <f t="shared" si="0"/>
        <v>295.60000000000002</v>
      </c>
      <c r="AC5" s="30">
        <f t="shared" si="0"/>
        <v>340</v>
      </c>
      <c r="AD5" s="30">
        <f t="shared" si="0"/>
        <v>352.7</v>
      </c>
      <c r="AE5" s="30">
        <f t="shared" si="0"/>
        <v>331.4</v>
      </c>
      <c r="AF5" s="30">
        <f>B92</f>
        <v>242.2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1664MW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Load=985</v>
      </c>
      <c r="B7" s="35">
        <f>B100</f>
        <v>984.94</v>
      </c>
      <c r="C7" s="35">
        <f t="shared" ref="C7:AF7" si="1">C100</f>
        <v>1000.7400000000001</v>
      </c>
      <c r="D7" s="35">
        <f t="shared" si="1"/>
        <v>1012.8400000000001</v>
      </c>
      <c r="E7" s="35">
        <f t="shared" si="1"/>
        <v>1009.38</v>
      </c>
      <c r="F7" s="35">
        <f t="shared" si="1"/>
        <v>1044.94</v>
      </c>
      <c r="G7" s="35">
        <f t="shared" si="1"/>
        <v>1133.8399999999999</v>
      </c>
      <c r="H7" s="35">
        <f t="shared" si="1"/>
        <v>1184.8400000000001</v>
      </c>
      <c r="I7" s="35">
        <f t="shared" si="1"/>
        <v>1251.6399999999999</v>
      </c>
      <c r="J7" s="35">
        <f t="shared" si="1"/>
        <v>1349.8400000000001</v>
      </c>
      <c r="K7" s="35">
        <f t="shared" si="1"/>
        <v>1464.04</v>
      </c>
      <c r="L7" s="35">
        <f t="shared" si="1"/>
        <v>1516.5400000000002</v>
      </c>
      <c r="M7" s="35">
        <f t="shared" si="1"/>
        <v>1616.54</v>
      </c>
      <c r="N7" s="35">
        <f t="shared" si="1"/>
        <v>1663.9399999999998</v>
      </c>
      <c r="O7" s="35">
        <f t="shared" si="1"/>
        <v>1672.14</v>
      </c>
      <c r="P7" s="35">
        <f t="shared" si="1"/>
        <v>1562.8400000000001</v>
      </c>
      <c r="Q7" s="35">
        <f t="shared" si="1"/>
        <v>1704.64</v>
      </c>
      <c r="R7" s="35">
        <f t="shared" si="1"/>
        <v>1351.1399999999999</v>
      </c>
      <c r="S7" s="35">
        <f t="shared" si="1"/>
        <v>1277.9399999999998</v>
      </c>
      <c r="T7" s="35">
        <f t="shared" si="1"/>
        <v>1294.6399999999999</v>
      </c>
      <c r="U7" s="35">
        <f t="shared" si="1"/>
        <v>1314.34</v>
      </c>
      <c r="V7" s="35">
        <f t="shared" si="1"/>
        <v>1293.54</v>
      </c>
      <c r="W7" s="35">
        <f t="shared" si="1"/>
        <v>1536.04</v>
      </c>
      <c r="X7" s="35">
        <f t="shared" si="1"/>
        <v>1744.14</v>
      </c>
      <c r="Y7" s="35">
        <f t="shared" si="1"/>
        <v>1746.94</v>
      </c>
      <c r="Z7" s="35">
        <f t="shared" si="1"/>
        <v>1693.0400000000002</v>
      </c>
      <c r="AA7" s="35">
        <f t="shared" si="1"/>
        <v>1647.64</v>
      </c>
      <c r="AB7" s="35">
        <f t="shared" si="1"/>
        <v>1550.2400000000002</v>
      </c>
      <c r="AC7" s="35">
        <f t="shared" si="1"/>
        <v>1451.94</v>
      </c>
      <c r="AD7" s="35">
        <f t="shared" si="1"/>
        <v>1349.2400000000002</v>
      </c>
      <c r="AE7" s="35">
        <f t="shared" si="1"/>
        <v>1260.5400000000002</v>
      </c>
      <c r="AF7" s="35">
        <f t="shared" si="1"/>
        <v>1137.2399999999998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35.1</v>
      </c>
      <c r="C11" s="45">
        <v>35.1</v>
      </c>
      <c r="D11" s="45">
        <v>35.1</v>
      </c>
      <c r="E11" s="45">
        <v>34.799999999999997</v>
      </c>
      <c r="F11" s="45">
        <v>34.799999999999997</v>
      </c>
      <c r="G11" s="45">
        <v>34.799999999999997</v>
      </c>
      <c r="H11" s="45">
        <v>34.799999999999997</v>
      </c>
      <c r="I11" s="45">
        <v>34.799999999999997</v>
      </c>
      <c r="J11" s="45">
        <v>34.799999999999997</v>
      </c>
      <c r="K11" s="45">
        <v>34.799999999999997</v>
      </c>
      <c r="L11" s="45">
        <v>34.799999999999997</v>
      </c>
      <c r="M11" s="45">
        <v>35.4</v>
      </c>
      <c r="N11" s="45">
        <v>32.9</v>
      </c>
      <c r="O11" s="45">
        <v>32</v>
      </c>
      <c r="P11" s="45">
        <v>32</v>
      </c>
      <c r="Q11" s="45">
        <v>32</v>
      </c>
      <c r="R11" s="45">
        <v>32</v>
      </c>
      <c r="S11" s="45">
        <v>32</v>
      </c>
      <c r="T11" s="45">
        <v>32</v>
      </c>
      <c r="U11" s="45">
        <v>32</v>
      </c>
      <c r="V11" s="45">
        <v>32</v>
      </c>
      <c r="W11" s="45">
        <v>32</v>
      </c>
      <c r="X11" s="45">
        <v>32</v>
      </c>
      <c r="Y11" s="45">
        <v>32</v>
      </c>
      <c r="Z11" s="45">
        <v>32</v>
      </c>
      <c r="AA11" s="45">
        <v>32</v>
      </c>
      <c r="AB11" s="45">
        <v>33.4</v>
      </c>
      <c r="AC11" s="45">
        <v>33.4</v>
      </c>
      <c r="AD11" s="45">
        <v>33.4</v>
      </c>
      <c r="AE11" s="45">
        <v>33.4</v>
      </c>
      <c r="AF11" s="45">
        <v>33.6</v>
      </c>
      <c r="AG11" s="46">
        <v>86</v>
      </c>
      <c r="AH11" s="47">
        <f t="shared" ref="AH11:AH84" si="2">MAX(B11:AF11)</f>
        <v>35.4</v>
      </c>
      <c r="AI11" s="48">
        <f t="shared" ref="AI11:AI84" si="3">MIN(B11:AF11)</f>
        <v>32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11.5</v>
      </c>
      <c r="C12" s="45">
        <v>11.5</v>
      </c>
      <c r="D12" s="45">
        <v>11.5</v>
      </c>
      <c r="E12" s="45">
        <v>11.5</v>
      </c>
      <c r="F12" s="45">
        <v>11.5</v>
      </c>
      <c r="G12" s="45">
        <v>11.5</v>
      </c>
      <c r="H12" s="45">
        <v>11.5</v>
      </c>
      <c r="I12" s="45">
        <v>11.5</v>
      </c>
      <c r="J12" s="45">
        <v>11.5</v>
      </c>
      <c r="K12" s="45">
        <v>11.5</v>
      </c>
      <c r="L12" s="45">
        <v>11.5</v>
      </c>
      <c r="M12" s="45">
        <v>11.5</v>
      </c>
      <c r="N12" s="45">
        <v>11.5</v>
      </c>
      <c r="O12" s="45">
        <v>11.5</v>
      </c>
      <c r="P12" s="45">
        <v>11.5</v>
      </c>
      <c r="Q12" s="45">
        <v>11.5</v>
      </c>
      <c r="R12" s="45">
        <v>11.5</v>
      </c>
      <c r="S12" s="45">
        <v>11.5</v>
      </c>
      <c r="T12" s="45">
        <v>11.5</v>
      </c>
      <c r="U12" s="45">
        <v>11.5</v>
      </c>
      <c r="V12" s="45">
        <v>11.5</v>
      </c>
      <c r="W12" s="45">
        <v>11.5</v>
      </c>
      <c r="X12" s="45">
        <v>11.5</v>
      </c>
      <c r="Y12" s="45">
        <v>11.5</v>
      </c>
      <c r="Z12" s="45">
        <v>11.5</v>
      </c>
      <c r="AA12" s="45">
        <v>11.5</v>
      </c>
      <c r="AB12" s="45">
        <v>11.5</v>
      </c>
      <c r="AC12" s="45">
        <v>11.5</v>
      </c>
      <c r="AD12" s="45">
        <v>11.5</v>
      </c>
      <c r="AE12" s="45">
        <v>11.5</v>
      </c>
      <c r="AF12" s="45">
        <v>11.5</v>
      </c>
      <c r="AG12" s="49">
        <v>54</v>
      </c>
      <c r="AH12" s="47">
        <f t="shared" si="2"/>
        <v>11.5</v>
      </c>
      <c r="AI12" s="48">
        <f t="shared" si="3"/>
        <v>11.5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16.100000000000001</v>
      </c>
      <c r="C14" s="45">
        <v>16.100000000000001</v>
      </c>
      <c r="D14" s="45">
        <v>16.100000000000001</v>
      </c>
      <c r="E14" s="45">
        <v>18.100000000000001</v>
      </c>
      <c r="F14" s="45">
        <v>18.100000000000001</v>
      </c>
      <c r="G14" s="45">
        <v>18.100000000000001</v>
      </c>
      <c r="H14" s="45">
        <v>18.100000000000001</v>
      </c>
      <c r="I14" s="45">
        <v>18.100000000000001</v>
      </c>
      <c r="J14" s="45">
        <v>18.100000000000001</v>
      </c>
      <c r="K14" s="45">
        <v>18.100000000000001</v>
      </c>
      <c r="L14" s="45">
        <v>18.100000000000001</v>
      </c>
      <c r="M14" s="45">
        <v>18.100000000000001</v>
      </c>
      <c r="N14" s="45">
        <v>18.100000000000001</v>
      </c>
      <c r="O14" s="45">
        <v>18.100000000000001</v>
      </c>
      <c r="P14" s="45">
        <v>18.100000000000001</v>
      </c>
      <c r="Q14" s="45">
        <v>18.100000000000001</v>
      </c>
      <c r="R14" s="45">
        <v>18.100000000000001</v>
      </c>
      <c r="S14" s="45">
        <v>18.100000000000001</v>
      </c>
      <c r="T14" s="45">
        <v>18.100000000000001</v>
      </c>
      <c r="U14" s="45">
        <v>18.100000000000001</v>
      </c>
      <c r="V14" s="45">
        <v>18.100000000000001</v>
      </c>
      <c r="W14" s="45">
        <v>18.100000000000001</v>
      </c>
      <c r="X14" s="45">
        <v>18.100000000000001</v>
      </c>
      <c r="Y14" s="45">
        <v>18.100000000000001</v>
      </c>
      <c r="Z14" s="45">
        <v>18.100000000000001</v>
      </c>
      <c r="AA14" s="45">
        <v>18.100000000000001</v>
      </c>
      <c r="AB14" s="45">
        <v>17.5</v>
      </c>
      <c r="AC14" s="45">
        <v>17.5</v>
      </c>
      <c r="AD14" s="45">
        <v>17.5</v>
      </c>
      <c r="AE14" s="45">
        <v>17.5</v>
      </c>
      <c r="AF14" s="45">
        <v>17.5</v>
      </c>
      <c r="AG14" s="46">
        <v>52.4</v>
      </c>
      <c r="AH14" s="47">
        <f t="shared" si="2"/>
        <v>18.100000000000001</v>
      </c>
      <c r="AI14" s="48">
        <f t="shared" si="3"/>
        <v>16.100000000000001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41.4</v>
      </c>
      <c r="C15" s="45">
        <v>41.4</v>
      </c>
      <c r="D15" s="45">
        <v>41.4</v>
      </c>
      <c r="E15" s="45">
        <v>37.6</v>
      </c>
      <c r="F15" s="45">
        <v>37.6</v>
      </c>
      <c r="G15" s="45">
        <v>37.6</v>
      </c>
      <c r="H15" s="45">
        <v>37.6</v>
      </c>
      <c r="I15" s="45">
        <v>37.6</v>
      </c>
      <c r="J15" s="45">
        <v>37.6</v>
      </c>
      <c r="K15" s="45">
        <v>37.6</v>
      </c>
      <c r="L15" s="45">
        <v>37.6</v>
      </c>
      <c r="M15" s="51">
        <v>36.200000000000003</v>
      </c>
      <c r="N15" s="51">
        <v>36.200000000000003</v>
      </c>
      <c r="O15" s="51">
        <v>36.200000000000003</v>
      </c>
      <c r="P15" s="51">
        <v>36.200000000000003</v>
      </c>
      <c r="Q15" s="51">
        <v>36.200000000000003</v>
      </c>
      <c r="R15" s="51">
        <v>36.200000000000003</v>
      </c>
      <c r="S15" s="51">
        <v>36.200000000000003</v>
      </c>
      <c r="T15" s="51">
        <v>36.200000000000003</v>
      </c>
      <c r="U15" s="51">
        <v>36.200000000000003</v>
      </c>
      <c r="V15" s="51">
        <v>36.200000000000003</v>
      </c>
      <c r="W15" s="51">
        <v>36.200000000000003</v>
      </c>
      <c r="X15" s="51">
        <v>36.200000000000003</v>
      </c>
      <c r="Y15" s="51">
        <v>36.200000000000003</v>
      </c>
      <c r="Z15" s="51">
        <v>36.200000000000003</v>
      </c>
      <c r="AA15" s="51">
        <v>36.200000000000003</v>
      </c>
      <c r="AB15" s="51">
        <v>36.200000000000003</v>
      </c>
      <c r="AC15" s="51">
        <v>36.200000000000003</v>
      </c>
      <c r="AD15" s="51">
        <v>36.200000000000003</v>
      </c>
      <c r="AE15" s="51">
        <v>36.200000000000003</v>
      </c>
      <c r="AF15" s="51">
        <v>36.200000000000003</v>
      </c>
      <c r="AG15" s="49">
        <v>50</v>
      </c>
      <c r="AH15" s="47">
        <f t="shared" si="2"/>
        <v>41.4</v>
      </c>
      <c r="AI15" s="48">
        <f t="shared" si="3"/>
        <v>36.200000000000003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21.2</v>
      </c>
      <c r="C16" s="45">
        <v>21.2</v>
      </c>
      <c r="D16" s="45">
        <v>21.2</v>
      </c>
      <c r="E16" s="45">
        <v>19.3</v>
      </c>
      <c r="F16" s="45">
        <v>19.3</v>
      </c>
      <c r="G16" s="45">
        <v>19.3</v>
      </c>
      <c r="H16" s="45">
        <v>19.3</v>
      </c>
      <c r="I16" s="45">
        <v>19.3</v>
      </c>
      <c r="J16" s="45">
        <v>19.3</v>
      </c>
      <c r="K16" s="45">
        <v>19.3</v>
      </c>
      <c r="L16" s="45">
        <v>19.3</v>
      </c>
      <c r="M16" s="45">
        <v>18.600000000000001</v>
      </c>
      <c r="N16" s="45">
        <v>18.600000000000001</v>
      </c>
      <c r="O16" s="45">
        <v>18.600000000000001</v>
      </c>
      <c r="P16" s="45">
        <v>18.600000000000001</v>
      </c>
      <c r="Q16" s="45">
        <v>18.600000000000001</v>
      </c>
      <c r="R16" s="45">
        <v>18.600000000000001</v>
      </c>
      <c r="S16" s="45">
        <v>18.600000000000001</v>
      </c>
      <c r="T16" s="45">
        <v>18.600000000000001</v>
      </c>
      <c r="U16" s="45">
        <v>18.600000000000001</v>
      </c>
      <c r="V16" s="45">
        <v>18.600000000000001</v>
      </c>
      <c r="W16" s="45">
        <v>18.600000000000001</v>
      </c>
      <c r="X16" s="45">
        <v>18.600000000000001</v>
      </c>
      <c r="Y16" s="45">
        <v>18.600000000000001</v>
      </c>
      <c r="Z16" s="45">
        <v>18.600000000000001</v>
      </c>
      <c r="AA16" s="45">
        <v>18.600000000000001</v>
      </c>
      <c r="AB16" s="45">
        <v>18.600000000000001</v>
      </c>
      <c r="AC16" s="45">
        <v>18.600000000000001</v>
      </c>
      <c r="AD16" s="45">
        <v>18.600000000000001</v>
      </c>
      <c r="AE16" s="45">
        <v>18.600000000000001</v>
      </c>
      <c r="AF16" s="45">
        <v>18.600000000000001</v>
      </c>
      <c r="AG16" s="49">
        <v>45</v>
      </c>
      <c r="AH16" s="47">
        <f t="shared" si="2"/>
        <v>21.2</v>
      </c>
      <c r="AI16" s="48">
        <f t="shared" si="3"/>
        <v>18.600000000000001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10.5</v>
      </c>
      <c r="C18" s="45">
        <v>10.5</v>
      </c>
      <c r="D18" s="45">
        <v>10.5</v>
      </c>
      <c r="E18" s="45">
        <v>10</v>
      </c>
      <c r="F18" s="45">
        <v>10</v>
      </c>
      <c r="G18" s="45">
        <v>10</v>
      </c>
      <c r="H18" s="45">
        <v>10</v>
      </c>
      <c r="I18" s="45">
        <v>10</v>
      </c>
      <c r="J18" s="45">
        <v>10</v>
      </c>
      <c r="K18" s="45">
        <v>10</v>
      </c>
      <c r="L18" s="45">
        <v>10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10</v>
      </c>
      <c r="T18" s="45">
        <v>10</v>
      </c>
      <c r="U18" s="45">
        <v>10</v>
      </c>
      <c r="V18" s="45">
        <v>10</v>
      </c>
      <c r="W18" s="45">
        <v>10</v>
      </c>
      <c r="X18" s="45">
        <v>10</v>
      </c>
      <c r="Y18" s="45">
        <v>10</v>
      </c>
      <c r="Z18" s="45">
        <v>10</v>
      </c>
      <c r="AA18" s="45">
        <v>10</v>
      </c>
      <c r="AB18" s="45">
        <v>10</v>
      </c>
      <c r="AC18" s="45">
        <v>10</v>
      </c>
      <c r="AD18" s="45">
        <v>10</v>
      </c>
      <c r="AE18" s="45">
        <v>10</v>
      </c>
      <c r="AF18" s="45">
        <v>10</v>
      </c>
      <c r="AG18" s="49">
        <v>42</v>
      </c>
      <c r="AH18" s="47">
        <f t="shared" si="2"/>
        <v>10.5</v>
      </c>
      <c r="AI18" s="48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9.9</v>
      </c>
      <c r="C22" s="45">
        <v>9.9</v>
      </c>
      <c r="D22" s="45">
        <v>9.9</v>
      </c>
      <c r="E22" s="45">
        <v>9.9</v>
      </c>
      <c r="F22" s="45">
        <v>9.9</v>
      </c>
      <c r="G22" s="45">
        <v>9.9</v>
      </c>
      <c r="H22" s="45">
        <v>9.9</v>
      </c>
      <c r="I22" s="45">
        <v>9.9</v>
      </c>
      <c r="J22" s="45">
        <v>9.9</v>
      </c>
      <c r="K22" s="45">
        <v>9.9</v>
      </c>
      <c r="L22" s="45">
        <v>9.9</v>
      </c>
      <c r="M22" s="45">
        <v>9.9</v>
      </c>
      <c r="N22" s="45">
        <v>9.9</v>
      </c>
      <c r="O22" s="45">
        <v>9.9</v>
      </c>
      <c r="P22" s="45">
        <v>9.9</v>
      </c>
      <c r="Q22" s="45">
        <v>9.9</v>
      </c>
      <c r="R22" s="45">
        <v>9.9</v>
      </c>
      <c r="S22" s="45">
        <v>9.9</v>
      </c>
      <c r="T22" s="45">
        <v>9.9</v>
      </c>
      <c r="U22" s="45">
        <v>9.9</v>
      </c>
      <c r="V22" s="45">
        <v>9.9</v>
      </c>
      <c r="W22" s="45">
        <v>9.9</v>
      </c>
      <c r="X22" s="45">
        <v>9.9</v>
      </c>
      <c r="Y22" s="45">
        <v>9.9</v>
      </c>
      <c r="Z22" s="45">
        <v>9.9</v>
      </c>
      <c r="AA22" s="45">
        <v>9.9</v>
      </c>
      <c r="AB22" s="45">
        <v>9.9</v>
      </c>
      <c r="AC22" s="45">
        <v>9.9</v>
      </c>
      <c r="AD22" s="45">
        <v>9.9</v>
      </c>
      <c r="AE22" s="45">
        <v>9.9</v>
      </c>
      <c r="AF22" s="45">
        <v>9.9</v>
      </c>
      <c r="AG22" s="52">
        <v>30</v>
      </c>
      <c r="AH22" s="47">
        <f t="shared" si="2"/>
        <v>9.9</v>
      </c>
      <c r="AI22" s="48">
        <f t="shared" si="3"/>
        <v>9.9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10.6</v>
      </c>
      <c r="C24" s="45">
        <v>10.6</v>
      </c>
      <c r="D24" s="45">
        <v>10.6</v>
      </c>
      <c r="E24" s="45">
        <v>11.6</v>
      </c>
      <c r="F24" s="45">
        <v>11.6</v>
      </c>
      <c r="G24" s="45">
        <v>11.6</v>
      </c>
      <c r="H24" s="45">
        <v>11.6</v>
      </c>
      <c r="I24" s="45">
        <v>11.6</v>
      </c>
      <c r="J24" s="45">
        <v>11.6</v>
      </c>
      <c r="K24" s="45">
        <v>11.6</v>
      </c>
      <c r="L24" s="45">
        <v>11.6</v>
      </c>
      <c r="M24" s="45">
        <v>11.6</v>
      </c>
      <c r="N24" s="45">
        <v>11.6</v>
      </c>
      <c r="O24" s="45">
        <v>11.6</v>
      </c>
      <c r="P24" s="45">
        <v>11.6</v>
      </c>
      <c r="Q24" s="45">
        <v>11.6</v>
      </c>
      <c r="R24" s="45">
        <v>11.6</v>
      </c>
      <c r="S24" s="45">
        <v>11.6</v>
      </c>
      <c r="T24" s="45">
        <v>11.6</v>
      </c>
      <c r="U24" s="45">
        <v>11.6</v>
      </c>
      <c r="V24" s="45">
        <v>11.6</v>
      </c>
      <c r="W24" s="45">
        <v>11.6</v>
      </c>
      <c r="X24" s="45">
        <v>11.6</v>
      </c>
      <c r="Y24" s="45">
        <v>11.6</v>
      </c>
      <c r="Z24" s="45">
        <v>11.6</v>
      </c>
      <c r="AA24" s="45">
        <v>11.6</v>
      </c>
      <c r="AB24" s="45">
        <v>11.6</v>
      </c>
      <c r="AC24" s="45">
        <v>11.6</v>
      </c>
      <c r="AD24" s="45">
        <v>11.6</v>
      </c>
      <c r="AE24" s="45">
        <v>11.6</v>
      </c>
      <c r="AF24" s="45">
        <v>11.6</v>
      </c>
      <c r="AG24" s="49">
        <v>28</v>
      </c>
      <c r="AH24" s="47">
        <f t="shared" si="2"/>
        <v>11.6</v>
      </c>
      <c r="AI24" s="48">
        <f t="shared" si="3"/>
        <v>10.6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8.4</v>
      </c>
      <c r="C25" s="45">
        <v>8.4</v>
      </c>
      <c r="D25" s="45">
        <v>8.4</v>
      </c>
      <c r="E25" s="45">
        <v>8.8000000000000007</v>
      </c>
      <c r="F25" s="45">
        <v>8.8000000000000007</v>
      </c>
      <c r="G25" s="45">
        <v>8.8000000000000007</v>
      </c>
      <c r="H25" s="45">
        <v>8.8000000000000007</v>
      </c>
      <c r="I25" s="45">
        <v>8.8000000000000007</v>
      </c>
      <c r="J25" s="45">
        <v>8.8000000000000007</v>
      </c>
      <c r="K25" s="45">
        <v>8.8000000000000007</v>
      </c>
      <c r="L25" s="45">
        <v>8.8000000000000007</v>
      </c>
      <c r="M25" s="45">
        <v>8.8000000000000007</v>
      </c>
      <c r="N25" s="45">
        <v>8.8000000000000007</v>
      </c>
      <c r="O25" s="45">
        <v>8.8000000000000007</v>
      </c>
      <c r="P25" s="45">
        <v>8.8000000000000007</v>
      </c>
      <c r="Q25" s="45">
        <v>8.8000000000000007</v>
      </c>
      <c r="R25" s="45">
        <v>8.8000000000000007</v>
      </c>
      <c r="S25" s="45">
        <v>8.8000000000000007</v>
      </c>
      <c r="T25" s="45">
        <v>8.8000000000000007</v>
      </c>
      <c r="U25" s="45">
        <v>8.8000000000000007</v>
      </c>
      <c r="V25" s="45">
        <v>8.8000000000000007</v>
      </c>
      <c r="W25" s="45">
        <v>8.8000000000000007</v>
      </c>
      <c r="X25" s="45">
        <v>8.8000000000000007</v>
      </c>
      <c r="Y25" s="45">
        <v>8.8000000000000007</v>
      </c>
      <c r="Z25" s="45">
        <v>8.8000000000000007</v>
      </c>
      <c r="AA25" s="45">
        <v>8.8000000000000007</v>
      </c>
      <c r="AB25" s="45">
        <v>8.8000000000000007</v>
      </c>
      <c r="AC25" s="45">
        <v>8.8000000000000007</v>
      </c>
      <c r="AD25" s="45">
        <v>8.8000000000000007</v>
      </c>
      <c r="AE25" s="45">
        <v>8.8000000000000007</v>
      </c>
      <c r="AF25" s="45">
        <v>8.8000000000000007</v>
      </c>
      <c r="AG25" s="52">
        <v>30</v>
      </c>
      <c r="AH25" s="47">
        <f t="shared" si="2"/>
        <v>8.8000000000000007</v>
      </c>
      <c r="AI25" s="48">
        <f t="shared" si="3"/>
        <v>8.4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10.5</v>
      </c>
      <c r="C26" s="45">
        <v>10.5</v>
      </c>
      <c r="D26" s="45">
        <v>10.5</v>
      </c>
      <c r="E26" s="45">
        <v>10.5</v>
      </c>
      <c r="F26" s="45">
        <v>10.5</v>
      </c>
      <c r="G26" s="45">
        <v>10.5</v>
      </c>
      <c r="H26" s="45">
        <v>10.5</v>
      </c>
      <c r="I26" s="45">
        <v>10.5</v>
      </c>
      <c r="J26" s="45">
        <v>10.5</v>
      </c>
      <c r="K26" s="45">
        <v>10.5</v>
      </c>
      <c r="L26" s="45">
        <v>10.5</v>
      </c>
      <c r="M26" s="45">
        <v>10.5</v>
      </c>
      <c r="N26" s="45">
        <v>10.5</v>
      </c>
      <c r="O26" s="45">
        <v>10.5</v>
      </c>
      <c r="P26" s="45">
        <v>10.5</v>
      </c>
      <c r="Q26" s="45">
        <v>10.5</v>
      </c>
      <c r="R26" s="45">
        <v>10.5</v>
      </c>
      <c r="S26" s="45">
        <v>10.5</v>
      </c>
      <c r="T26" s="45">
        <v>10.5</v>
      </c>
      <c r="U26" s="45">
        <v>10.5</v>
      </c>
      <c r="V26" s="45">
        <v>10.5</v>
      </c>
      <c r="W26" s="45">
        <v>10.5</v>
      </c>
      <c r="X26" s="45">
        <v>10.5</v>
      </c>
      <c r="Y26" s="45">
        <v>10.5</v>
      </c>
      <c r="Z26" s="45">
        <v>10.5</v>
      </c>
      <c r="AA26" s="45">
        <v>10.5</v>
      </c>
      <c r="AB26" s="45">
        <v>10.5</v>
      </c>
      <c r="AC26" s="45">
        <v>10.5</v>
      </c>
      <c r="AD26" s="45">
        <v>10.5</v>
      </c>
      <c r="AE26" s="45">
        <v>10.5</v>
      </c>
      <c r="AF26" s="45">
        <v>10.5</v>
      </c>
      <c r="AG26" s="49">
        <v>25</v>
      </c>
      <c r="AH26" s="47">
        <f t="shared" si="2"/>
        <v>10.5</v>
      </c>
      <c r="AI26" s="48">
        <f t="shared" si="3"/>
        <v>10.5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10.1</v>
      </c>
      <c r="C29" s="45">
        <v>10.1</v>
      </c>
      <c r="D29" s="45">
        <v>10.1</v>
      </c>
      <c r="E29" s="45">
        <v>9.5</v>
      </c>
      <c r="F29" s="45">
        <v>9.5</v>
      </c>
      <c r="G29" s="45">
        <v>9.5</v>
      </c>
      <c r="H29" s="45">
        <v>9.5</v>
      </c>
      <c r="I29" s="45">
        <v>9.5</v>
      </c>
      <c r="J29" s="45">
        <v>9.5</v>
      </c>
      <c r="K29" s="45">
        <v>9.5</v>
      </c>
      <c r="L29" s="45">
        <v>9.5</v>
      </c>
      <c r="M29" s="45">
        <v>9.5</v>
      </c>
      <c r="N29" s="45">
        <v>9.5</v>
      </c>
      <c r="O29" s="45">
        <v>9.5</v>
      </c>
      <c r="P29" s="45">
        <v>9.5</v>
      </c>
      <c r="Q29" s="45">
        <v>9.5</v>
      </c>
      <c r="R29" s="45">
        <v>9.5</v>
      </c>
      <c r="S29" s="45">
        <v>9.5</v>
      </c>
      <c r="T29" s="45">
        <v>9.5</v>
      </c>
      <c r="U29" s="45">
        <v>9.5</v>
      </c>
      <c r="V29" s="45">
        <v>9.5</v>
      </c>
      <c r="W29" s="45">
        <v>9.5</v>
      </c>
      <c r="X29" s="45">
        <v>9.5</v>
      </c>
      <c r="Y29" s="45">
        <v>9.5</v>
      </c>
      <c r="Z29" s="45">
        <v>9.5</v>
      </c>
      <c r="AA29" s="45">
        <v>9.5</v>
      </c>
      <c r="AB29" s="45">
        <v>9.5</v>
      </c>
      <c r="AC29" s="45">
        <v>9.5</v>
      </c>
      <c r="AD29" s="45">
        <v>9.5</v>
      </c>
      <c r="AE29" s="45">
        <v>9.5</v>
      </c>
      <c r="AF29" s="45">
        <v>9.5</v>
      </c>
      <c r="AG29" s="49">
        <v>25</v>
      </c>
      <c r="AH29" s="47">
        <f t="shared" si="2"/>
        <v>10.1</v>
      </c>
      <c r="AI29" s="48">
        <f t="shared" si="3"/>
        <v>9.5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10.1</v>
      </c>
      <c r="C30" s="45">
        <v>10.1</v>
      </c>
      <c r="D30" s="45">
        <v>10.1</v>
      </c>
      <c r="E30" s="45">
        <v>9.1999999999999993</v>
      </c>
      <c r="F30" s="45">
        <v>9.1999999999999993</v>
      </c>
      <c r="G30" s="45">
        <v>9.1999999999999993</v>
      </c>
      <c r="H30" s="45">
        <v>9.1999999999999993</v>
      </c>
      <c r="I30" s="45">
        <v>9.1999999999999993</v>
      </c>
      <c r="J30" s="45">
        <v>9.1999999999999993</v>
      </c>
      <c r="K30" s="45">
        <v>9.1999999999999993</v>
      </c>
      <c r="L30" s="45">
        <v>9.1999999999999993</v>
      </c>
      <c r="M30" s="45">
        <v>9.1999999999999993</v>
      </c>
      <c r="N30" s="45">
        <v>9.1999999999999993</v>
      </c>
      <c r="O30" s="45">
        <v>9.1999999999999993</v>
      </c>
      <c r="P30" s="45">
        <v>9.1999999999999993</v>
      </c>
      <c r="Q30" s="45">
        <v>9.1999999999999993</v>
      </c>
      <c r="R30" s="45">
        <v>9.1999999999999993</v>
      </c>
      <c r="S30" s="45">
        <v>9.1999999999999993</v>
      </c>
      <c r="T30" s="45">
        <v>9.1999999999999993</v>
      </c>
      <c r="U30" s="45">
        <v>9.1999999999999993</v>
      </c>
      <c r="V30" s="45">
        <v>9.1999999999999993</v>
      </c>
      <c r="W30" s="45">
        <v>9.1999999999999993</v>
      </c>
      <c r="X30" s="45">
        <v>9.1999999999999993</v>
      </c>
      <c r="Y30" s="45">
        <v>9.1999999999999993</v>
      </c>
      <c r="Z30" s="45">
        <v>9.1999999999999993</v>
      </c>
      <c r="AA30" s="45">
        <v>9.1999999999999993</v>
      </c>
      <c r="AB30" s="45">
        <v>9.1999999999999993</v>
      </c>
      <c r="AC30" s="45">
        <v>9.1999999999999993</v>
      </c>
      <c r="AD30" s="45">
        <v>9.1999999999999993</v>
      </c>
      <c r="AE30" s="45">
        <v>9.1999999999999993</v>
      </c>
      <c r="AF30" s="45">
        <v>9.1999999999999993</v>
      </c>
      <c r="AG30" s="49">
        <v>23.5</v>
      </c>
      <c r="AH30" s="47">
        <f t="shared" si="2"/>
        <v>10.1</v>
      </c>
      <c r="AI30" s="48">
        <f t="shared" si="3"/>
        <v>9.1999999999999993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10.199999999999999</v>
      </c>
      <c r="C34" s="45">
        <v>10.199999999999999</v>
      </c>
      <c r="D34" s="45">
        <v>10.199999999999999</v>
      </c>
      <c r="E34" s="45">
        <v>9.9</v>
      </c>
      <c r="F34" s="45">
        <v>9.9</v>
      </c>
      <c r="G34" s="45">
        <v>9.9</v>
      </c>
      <c r="H34" s="45">
        <v>9.9</v>
      </c>
      <c r="I34" s="45">
        <v>9.9</v>
      </c>
      <c r="J34" s="45">
        <v>9.9</v>
      </c>
      <c r="K34" s="45">
        <v>9.9</v>
      </c>
      <c r="L34" s="45">
        <v>9.9</v>
      </c>
      <c r="M34" s="45">
        <v>9.9</v>
      </c>
      <c r="N34" s="45">
        <v>9.9</v>
      </c>
      <c r="O34" s="45">
        <v>9.9</v>
      </c>
      <c r="P34" s="45">
        <v>9.9</v>
      </c>
      <c r="Q34" s="45">
        <v>9.9</v>
      </c>
      <c r="R34" s="45">
        <v>9.9</v>
      </c>
      <c r="S34" s="45">
        <v>9.9</v>
      </c>
      <c r="T34" s="45">
        <v>9.9</v>
      </c>
      <c r="U34" s="45">
        <v>9.9</v>
      </c>
      <c r="V34" s="45">
        <v>9.9</v>
      </c>
      <c r="W34" s="45">
        <v>9.9</v>
      </c>
      <c r="X34" s="45">
        <v>9.9</v>
      </c>
      <c r="Y34" s="45">
        <v>9.9</v>
      </c>
      <c r="Z34" s="45">
        <v>9.9</v>
      </c>
      <c r="AA34" s="45">
        <v>9.9</v>
      </c>
      <c r="AB34" s="45">
        <v>9.9</v>
      </c>
      <c r="AC34" s="45">
        <v>9.9</v>
      </c>
      <c r="AD34" s="45">
        <v>9.9</v>
      </c>
      <c r="AE34" s="45">
        <v>9.9</v>
      </c>
      <c r="AF34" s="45">
        <v>9.9</v>
      </c>
      <c r="AG34" s="49">
        <v>22</v>
      </c>
      <c r="AH34" s="47">
        <f t="shared" si="2"/>
        <v>10.199999999999999</v>
      </c>
      <c r="AI34" s="48">
        <f t="shared" si="3"/>
        <v>9.9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>SUM(B11:B56)</f>
        <v>589.40000000000009</v>
      </c>
      <c r="C58" s="60">
        <f t="shared" ref="C58:L58" si="4">SUM(C11:C56)</f>
        <v>589.40000000000009</v>
      </c>
      <c r="D58" s="60">
        <f t="shared" si="4"/>
        <v>589.40000000000009</v>
      </c>
      <c r="E58" s="60">
        <f t="shared" si="4"/>
        <v>584.5</v>
      </c>
      <c r="F58" s="60">
        <f t="shared" si="4"/>
        <v>584.5</v>
      </c>
      <c r="G58" s="60">
        <f t="shared" si="4"/>
        <v>584.5</v>
      </c>
      <c r="H58" s="60">
        <f t="shared" si="4"/>
        <v>584.5</v>
      </c>
      <c r="I58" s="60">
        <f t="shared" si="4"/>
        <v>584.5</v>
      </c>
      <c r="J58" s="60">
        <f t="shared" si="4"/>
        <v>584.5</v>
      </c>
      <c r="K58" s="60">
        <f t="shared" si="4"/>
        <v>584.5</v>
      </c>
      <c r="L58" s="60">
        <f t="shared" si="4"/>
        <v>584.5</v>
      </c>
      <c r="M58" s="60">
        <f t="shared" ref="M58:AF58" si="5">SUM(M11:M56)</f>
        <v>583</v>
      </c>
      <c r="N58" s="60">
        <f t="shared" si="5"/>
        <v>580.5</v>
      </c>
      <c r="O58" s="60">
        <f t="shared" si="5"/>
        <v>579.59999999999991</v>
      </c>
      <c r="P58" s="60">
        <f t="shared" si="5"/>
        <v>579.59999999999991</v>
      </c>
      <c r="Q58" s="60">
        <f t="shared" ref="Q58" si="6">SUM(Q11:Q56)</f>
        <v>579.59999999999991</v>
      </c>
      <c r="R58" s="60">
        <f t="shared" si="5"/>
        <v>579.59999999999991</v>
      </c>
      <c r="S58" s="60">
        <f t="shared" ref="S58:T58" si="7">SUM(S11:S56)</f>
        <v>579.59999999999991</v>
      </c>
      <c r="T58" s="60">
        <f t="shared" si="7"/>
        <v>579.59999999999991</v>
      </c>
      <c r="U58" s="60">
        <f t="shared" ref="U58:V58" si="8">SUM(U11:U56)</f>
        <v>579.59999999999991</v>
      </c>
      <c r="V58" s="60">
        <f t="shared" si="8"/>
        <v>579.59999999999991</v>
      </c>
      <c r="W58" s="60">
        <f t="shared" ref="W58:X58" si="9">SUM(W11:W56)</f>
        <v>579.59999999999991</v>
      </c>
      <c r="X58" s="60">
        <f t="shared" si="9"/>
        <v>579.59999999999991</v>
      </c>
      <c r="Y58" s="60">
        <f t="shared" ref="Y58:Z58" si="10">SUM(Y11:Y56)</f>
        <v>579.59999999999991</v>
      </c>
      <c r="Z58" s="60">
        <f t="shared" si="10"/>
        <v>579.59999999999991</v>
      </c>
      <c r="AA58" s="60">
        <f t="shared" ref="AA58" si="11">SUM(AA11:AA56)</f>
        <v>579.59999999999991</v>
      </c>
      <c r="AB58" s="60">
        <f t="shared" si="5"/>
        <v>580.40000000000009</v>
      </c>
      <c r="AC58" s="60">
        <f t="shared" si="5"/>
        <v>580.40000000000009</v>
      </c>
      <c r="AD58" s="60">
        <f t="shared" si="5"/>
        <v>580.40000000000009</v>
      </c>
      <c r="AE58" s="60">
        <f t="shared" si="5"/>
        <v>580.40000000000009</v>
      </c>
      <c r="AF58" s="60">
        <f t="shared" si="5"/>
        <v>580.59999999999991</v>
      </c>
      <c r="AG58" s="61">
        <f>SUM(AG14:AG56)</f>
        <v>1042.4000000000001</v>
      </c>
      <c r="AH58" s="47">
        <f t="shared" si="2"/>
        <v>589.40000000000009</v>
      </c>
      <c r="AI58" s="48">
        <f t="shared" si="3"/>
        <v>579.59999999999991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20</v>
      </c>
      <c r="J59" s="45">
        <v>10</v>
      </c>
      <c r="K59" s="45">
        <v>50</v>
      </c>
      <c r="L59" s="45">
        <v>140</v>
      </c>
      <c r="M59" s="45">
        <v>310</v>
      </c>
      <c r="N59" s="63">
        <v>400</v>
      </c>
      <c r="O59" s="63">
        <v>350</v>
      </c>
      <c r="P59" s="63">
        <v>260</v>
      </c>
      <c r="Q59" s="63">
        <v>260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185</v>
      </c>
      <c r="X59" s="45">
        <v>320</v>
      </c>
      <c r="Y59" s="45">
        <v>365</v>
      </c>
      <c r="Z59" s="45">
        <v>315</v>
      </c>
      <c r="AA59" s="45">
        <v>265</v>
      </c>
      <c r="AB59" s="45">
        <v>110</v>
      </c>
      <c r="AC59" s="45">
        <v>120</v>
      </c>
      <c r="AD59" s="45">
        <v>100</v>
      </c>
      <c r="AE59" s="45">
        <v>30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</v>
      </c>
      <c r="C60" s="65">
        <v>34</v>
      </c>
      <c r="D60" s="65">
        <v>34</v>
      </c>
      <c r="E60" s="65">
        <v>34</v>
      </c>
      <c r="F60" s="65">
        <v>34</v>
      </c>
      <c r="G60" s="65">
        <v>34</v>
      </c>
      <c r="H60" s="65">
        <v>34</v>
      </c>
      <c r="I60" s="65">
        <v>34</v>
      </c>
      <c r="J60" s="65">
        <v>34</v>
      </c>
      <c r="K60" s="65">
        <v>34</v>
      </c>
      <c r="L60" s="65">
        <v>34</v>
      </c>
      <c r="M60" s="65">
        <v>34</v>
      </c>
      <c r="N60" s="65">
        <v>34</v>
      </c>
      <c r="O60" s="65">
        <v>34</v>
      </c>
      <c r="P60" s="65">
        <v>34</v>
      </c>
      <c r="Q60" s="65">
        <v>34</v>
      </c>
      <c r="R60" s="65">
        <v>34</v>
      </c>
      <c r="S60" s="65">
        <v>34</v>
      </c>
      <c r="T60" s="65">
        <v>34</v>
      </c>
      <c r="U60" s="65">
        <v>34</v>
      </c>
      <c r="V60" s="65">
        <v>34</v>
      </c>
      <c r="W60" s="65">
        <v>34</v>
      </c>
      <c r="X60" s="65">
        <v>34</v>
      </c>
      <c r="Y60" s="65">
        <v>34</v>
      </c>
      <c r="Z60" s="65">
        <v>34</v>
      </c>
      <c r="AA60" s="65">
        <v>34</v>
      </c>
      <c r="AB60" s="65">
        <v>34</v>
      </c>
      <c r="AC60" s="65">
        <v>34</v>
      </c>
      <c r="AD60" s="65">
        <v>34</v>
      </c>
      <c r="AE60" s="65">
        <v>34</v>
      </c>
      <c r="AF60" s="65">
        <v>34</v>
      </c>
      <c r="AG60" s="55">
        <v>60</v>
      </c>
      <c r="AH60" s="47">
        <f t="shared" si="2"/>
        <v>34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14</v>
      </c>
      <c r="C61" s="67">
        <v>14</v>
      </c>
      <c r="D61" s="67">
        <v>14.1</v>
      </c>
      <c r="E61" s="67">
        <v>14.1</v>
      </c>
      <c r="F61" s="67">
        <v>14.1</v>
      </c>
      <c r="G61" s="67">
        <v>14.1</v>
      </c>
      <c r="H61" s="67">
        <v>14.1</v>
      </c>
      <c r="I61" s="67">
        <v>12</v>
      </c>
      <c r="J61" s="67">
        <v>12.2</v>
      </c>
      <c r="K61" s="67">
        <v>12.2</v>
      </c>
      <c r="L61" s="67">
        <v>12.2</v>
      </c>
      <c r="M61" s="67">
        <v>12.1</v>
      </c>
      <c r="N61" s="67">
        <v>12.2</v>
      </c>
      <c r="O61" s="67">
        <v>12.1</v>
      </c>
      <c r="P61" s="67">
        <v>12.2</v>
      </c>
      <c r="Q61" s="67">
        <v>12.2</v>
      </c>
      <c r="R61" s="67">
        <v>13.1</v>
      </c>
      <c r="S61" s="67">
        <v>13.1</v>
      </c>
      <c r="T61" s="67">
        <v>13.1</v>
      </c>
      <c r="U61" s="67">
        <v>13.1</v>
      </c>
      <c r="V61" s="67">
        <v>13.1</v>
      </c>
      <c r="W61" s="67">
        <v>13.1</v>
      </c>
      <c r="X61" s="67">
        <v>18.2</v>
      </c>
      <c r="Y61" s="67">
        <v>18.2</v>
      </c>
      <c r="Z61" s="67">
        <v>18.2</v>
      </c>
      <c r="AA61" s="67">
        <v>18.2</v>
      </c>
      <c r="AB61" s="67">
        <v>12.7</v>
      </c>
      <c r="AC61" s="67">
        <v>12.7</v>
      </c>
      <c r="AD61" s="67">
        <v>12.7</v>
      </c>
      <c r="AE61" s="67">
        <v>12.7</v>
      </c>
      <c r="AF61" s="67">
        <v>12.7</v>
      </c>
      <c r="AG61" s="68">
        <v>22.1</v>
      </c>
      <c r="AH61" s="47">
        <f t="shared" si="2"/>
        <v>18.2</v>
      </c>
      <c r="AI61" s="48">
        <f t="shared" si="3"/>
        <v>12</v>
      </c>
      <c r="AK61" s="50"/>
    </row>
    <row r="62" spans="1:88" ht="15.75" thickBot="1" x14ac:dyDescent="0.3">
      <c r="A62" s="69" t="s">
        <v>62</v>
      </c>
      <c r="B62" s="60">
        <f t="shared" ref="B62:AG62" si="12">SUM(B59:B61)</f>
        <v>48</v>
      </c>
      <c r="C62" s="60">
        <f t="shared" si="12"/>
        <v>48</v>
      </c>
      <c r="D62" s="60">
        <f t="shared" si="12"/>
        <v>48.1</v>
      </c>
      <c r="E62" s="60">
        <f t="shared" si="12"/>
        <v>48.1</v>
      </c>
      <c r="F62" s="60">
        <f t="shared" si="12"/>
        <v>48.1</v>
      </c>
      <c r="G62" s="60">
        <f t="shared" si="12"/>
        <v>48.1</v>
      </c>
      <c r="H62" s="60">
        <f t="shared" si="12"/>
        <v>48.1</v>
      </c>
      <c r="I62" s="60">
        <f t="shared" si="12"/>
        <v>66</v>
      </c>
      <c r="J62" s="60">
        <f t="shared" si="12"/>
        <v>56.2</v>
      </c>
      <c r="K62" s="60">
        <f t="shared" si="12"/>
        <v>96.2</v>
      </c>
      <c r="L62" s="60">
        <f t="shared" si="12"/>
        <v>186.2</v>
      </c>
      <c r="M62" s="60">
        <f t="shared" si="12"/>
        <v>356.1</v>
      </c>
      <c r="N62" s="60">
        <f t="shared" si="12"/>
        <v>446.2</v>
      </c>
      <c r="O62" s="60">
        <f t="shared" si="12"/>
        <v>396.1</v>
      </c>
      <c r="P62" s="60">
        <f t="shared" si="12"/>
        <v>306.2</v>
      </c>
      <c r="Q62" s="60">
        <f t="shared" ref="Q62" si="13">SUM(Q59:Q61)</f>
        <v>306.2</v>
      </c>
      <c r="R62" s="60">
        <f t="shared" si="12"/>
        <v>47.1</v>
      </c>
      <c r="S62" s="60">
        <f t="shared" ref="S62:T62" si="14">SUM(S59:S61)</f>
        <v>47.1</v>
      </c>
      <c r="T62" s="60">
        <f t="shared" si="14"/>
        <v>47.1</v>
      </c>
      <c r="U62" s="60">
        <f t="shared" ref="U62:V62" si="15">SUM(U59:U61)</f>
        <v>47.1</v>
      </c>
      <c r="V62" s="60">
        <f t="shared" si="15"/>
        <v>47.1</v>
      </c>
      <c r="W62" s="60">
        <f t="shared" ref="W62:X62" si="16">SUM(W59:W61)</f>
        <v>232.1</v>
      </c>
      <c r="X62" s="60">
        <f t="shared" si="16"/>
        <v>372.2</v>
      </c>
      <c r="Y62" s="60">
        <f t="shared" ref="Y62:Z62" si="17">SUM(Y59:Y61)</f>
        <v>417.2</v>
      </c>
      <c r="Z62" s="60">
        <f t="shared" si="17"/>
        <v>367.2</v>
      </c>
      <c r="AA62" s="60">
        <f t="shared" ref="AA62" si="18">SUM(AA59:AA61)</f>
        <v>317.2</v>
      </c>
      <c r="AB62" s="60">
        <f t="shared" si="12"/>
        <v>156.69999999999999</v>
      </c>
      <c r="AC62" s="60">
        <f t="shared" si="12"/>
        <v>166.7</v>
      </c>
      <c r="AD62" s="60">
        <f t="shared" si="12"/>
        <v>146.69999999999999</v>
      </c>
      <c r="AE62" s="60">
        <f t="shared" si="12"/>
        <v>76.7</v>
      </c>
      <c r="AF62" s="60">
        <f t="shared" si="12"/>
        <v>46.7</v>
      </c>
      <c r="AG62" s="61">
        <f t="shared" si="12"/>
        <v>538.1</v>
      </c>
      <c r="AH62" s="47">
        <f t="shared" si="2"/>
        <v>446.2</v>
      </c>
      <c r="AI62" s="48">
        <f t="shared" si="3"/>
        <v>46.7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35.200000000000003</v>
      </c>
      <c r="I63" s="45">
        <v>30.5</v>
      </c>
      <c r="J63" s="45">
        <v>80</v>
      </c>
      <c r="K63" s="45">
        <v>70.5</v>
      </c>
      <c r="L63" s="45">
        <v>137</v>
      </c>
      <c r="M63" s="45">
        <v>140.19999999999999</v>
      </c>
      <c r="N63" s="45">
        <v>131.6</v>
      </c>
      <c r="O63" s="45">
        <v>132</v>
      </c>
      <c r="P63" s="45">
        <v>121.8</v>
      </c>
      <c r="Q63" s="45">
        <v>121.8</v>
      </c>
      <c r="R63" s="45">
        <v>92.1</v>
      </c>
      <c r="S63" s="45">
        <v>61.3</v>
      </c>
      <c r="T63" s="45">
        <v>31</v>
      </c>
      <c r="U63" s="45">
        <v>40.700000000000003</v>
      </c>
      <c r="V63" s="45">
        <v>91.5</v>
      </c>
      <c r="W63" s="45">
        <v>122.6</v>
      </c>
      <c r="X63" s="45">
        <v>144</v>
      </c>
      <c r="Y63" s="45">
        <v>144</v>
      </c>
      <c r="Z63" s="45">
        <v>144</v>
      </c>
      <c r="AA63" s="45">
        <v>144</v>
      </c>
      <c r="AB63" s="45">
        <v>130</v>
      </c>
      <c r="AC63" s="45">
        <v>60</v>
      </c>
      <c r="AD63" s="45">
        <v>61.3</v>
      </c>
      <c r="AE63" s="45">
        <v>38.4</v>
      </c>
      <c r="AF63" s="45">
        <v>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30</v>
      </c>
      <c r="H64" s="65">
        <v>29.8</v>
      </c>
      <c r="I64" s="65">
        <v>34.799999999999997</v>
      </c>
      <c r="J64" s="65">
        <v>34.700000000000003</v>
      </c>
      <c r="K64" s="65">
        <v>58.7</v>
      </c>
      <c r="L64" s="65">
        <v>58.8</v>
      </c>
      <c r="M64" s="65">
        <v>59.7</v>
      </c>
      <c r="N64" s="65">
        <v>60.1</v>
      </c>
      <c r="O64" s="65">
        <v>61.5</v>
      </c>
      <c r="P64" s="65">
        <v>60.5</v>
      </c>
      <c r="Q64" s="65">
        <v>60.5</v>
      </c>
      <c r="R64" s="65">
        <v>46.7</v>
      </c>
      <c r="S64" s="65">
        <v>45.5</v>
      </c>
      <c r="T64" s="65">
        <v>24.8</v>
      </c>
      <c r="U64" s="65">
        <v>34.700000000000003</v>
      </c>
      <c r="V64" s="65">
        <v>51.8</v>
      </c>
      <c r="W64" s="65">
        <v>45.7</v>
      </c>
      <c r="X64" s="45">
        <v>68.5</v>
      </c>
      <c r="Y64" s="45">
        <v>68.5</v>
      </c>
      <c r="Z64" s="45">
        <v>68.5</v>
      </c>
      <c r="AA64" s="45">
        <v>68.5</v>
      </c>
      <c r="AB64" s="45">
        <v>64.8</v>
      </c>
      <c r="AC64" s="45">
        <v>23.6</v>
      </c>
      <c r="AD64" s="65">
        <v>22.1</v>
      </c>
      <c r="AE64" s="45">
        <v>34.4</v>
      </c>
      <c r="AF64" s="45">
        <v>22.9</v>
      </c>
      <c r="AG64" s="55">
        <v>70</v>
      </c>
      <c r="AH64" s="47">
        <f t="shared" si="2"/>
        <v>68.5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46</v>
      </c>
      <c r="H65" s="65">
        <v>35.799999999999997</v>
      </c>
      <c r="I65" s="65">
        <v>50.3</v>
      </c>
      <c r="J65" s="65">
        <v>60</v>
      </c>
      <c r="K65" s="65">
        <v>66.2</v>
      </c>
      <c r="L65" s="65">
        <v>67.400000000000006</v>
      </c>
      <c r="M65" s="65">
        <v>67.2</v>
      </c>
      <c r="N65" s="65">
        <v>66.8</v>
      </c>
      <c r="O65" s="65">
        <v>54</v>
      </c>
      <c r="P65" s="65">
        <v>53.5</v>
      </c>
      <c r="Q65" s="65">
        <v>53.5</v>
      </c>
      <c r="R65" s="65">
        <v>45.5</v>
      </c>
      <c r="S65" s="65">
        <v>19</v>
      </c>
      <c r="T65" s="65">
        <v>19.3</v>
      </c>
      <c r="U65" s="65">
        <v>19.399999999999999</v>
      </c>
      <c r="V65" s="65">
        <v>36.1</v>
      </c>
      <c r="W65" s="65">
        <v>65.3</v>
      </c>
      <c r="X65" s="45">
        <v>65.599999999999994</v>
      </c>
      <c r="Y65" s="45">
        <v>65.599999999999994</v>
      </c>
      <c r="Z65" s="45">
        <v>65.599999999999994</v>
      </c>
      <c r="AA65" s="45">
        <v>65.599999999999994</v>
      </c>
      <c r="AB65" s="45">
        <v>66.900000000000006</v>
      </c>
      <c r="AC65" s="45">
        <v>66.900000000000006</v>
      </c>
      <c r="AD65" s="65">
        <v>50</v>
      </c>
      <c r="AE65" s="45">
        <v>50.1</v>
      </c>
      <c r="AF65" s="45">
        <v>34.4</v>
      </c>
      <c r="AG65" s="55">
        <v>69</v>
      </c>
      <c r="AH65" s="47">
        <f t="shared" si="2"/>
        <v>67.400000000000006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49.4</v>
      </c>
      <c r="C66" s="65">
        <v>49.4</v>
      </c>
      <c r="D66" s="65">
        <v>49.1</v>
      </c>
      <c r="E66" s="65">
        <v>48.3</v>
      </c>
      <c r="F66" s="65">
        <v>48.3</v>
      </c>
      <c r="G66" s="65">
        <v>48.3</v>
      </c>
      <c r="H66" s="65">
        <v>48.3</v>
      </c>
      <c r="I66" s="65">
        <v>48.3</v>
      </c>
      <c r="J66" s="65">
        <v>48.3</v>
      </c>
      <c r="K66" s="65">
        <v>48.3</v>
      </c>
      <c r="L66" s="65">
        <v>48.3</v>
      </c>
      <c r="M66" s="65">
        <v>46.1</v>
      </c>
      <c r="N66" s="65">
        <v>46.4</v>
      </c>
      <c r="O66" s="65">
        <v>47.1</v>
      </c>
      <c r="P66" s="65">
        <v>0</v>
      </c>
      <c r="Q66" s="65">
        <v>0</v>
      </c>
      <c r="R66" s="65">
        <v>0</v>
      </c>
      <c r="S66" s="65">
        <v>59</v>
      </c>
      <c r="T66" s="65">
        <v>49.1</v>
      </c>
      <c r="U66" s="65">
        <v>48.1</v>
      </c>
      <c r="V66" s="65">
        <v>48.1</v>
      </c>
      <c r="W66" s="65">
        <v>48.1</v>
      </c>
      <c r="X66" s="45">
        <v>48.1</v>
      </c>
      <c r="Y66" s="45">
        <v>48.1</v>
      </c>
      <c r="Z66" s="45">
        <v>48.1</v>
      </c>
      <c r="AA66" s="45">
        <v>48.1</v>
      </c>
      <c r="AB66" s="45">
        <v>48.1</v>
      </c>
      <c r="AC66" s="45">
        <v>48.1</v>
      </c>
      <c r="AD66" s="65">
        <v>52.4</v>
      </c>
      <c r="AE66" s="65">
        <v>52.4</v>
      </c>
      <c r="AF66" s="45">
        <v>52.1</v>
      </c>
      <c r="AG66" s="55">
        <v>60</v>
      </c>
      <c r="AH66" s="47">
        <f t="shared" si="2"/>
        <v>59</v>
      </c>
      <c r="AI66" s="48">
        <f t="shared" si="3"/>
        <v>0</v>
      </c>
      <c r="AK66" s="50"/>
    </row>
    <row r="67" spans="1:41" x14ac:dyDescent="0.25">
      <c r="A67" s="54" t="s">
        <v>67</v>
      </c>
      <c r="B67" s="65">
        <v>10</v>
      </c>
      <c r="C67" s="65">
        <v>0</v>
      </c>
      <c r="D67" s="65">
        <v>0</v>
      </c>
      <c r="E67" s="65">
        <v>15</v>
      </c>
      <c r="F67" s="65">
        <v>15</v>
      </c>
      <c r="G67" s="65">
        <v>15</v>
      </c>
      <c r="H67" s="65">
        <v>15</v>
      </c>
      <c r="I67" s="65">
        <v>15</v>
      </c>
      <c r="J67" s="65">
        <v>15</v>
      </c>
      <c r="K67" s="65">
        <v>15</v>
      </c>
      <c r="L67" s="65">
        <v>15</v>
      </c>
      <c r="M67" s="65">
        <v>15</v>
      </c>
      <c r="N67" s="65">
        <v>15</v>
      </c>
      <c r="O67" s="65">
        <v>15</v>
      </c>
      <c r="P67" s="65">
        <v>10</v>
      </c>
      <c r="Q67" s="65">
        <v>0</v>
      </c>
      <c r="R67" s="65">
        <v>0</v>
      </c>
      <c r="S67" s="65">
        <v>10</v>
      </c>
      <c r="T67" s="65">
        <v>10</v>
      </c>
      <c r="U67" s="65">
        <v>15</v>
      </c>
      <c r="V67" s="65">
        <v>10</v>
      </c>
      <c r="W67" s="65">
        <v>10</v>
      </c>
      <c r="X67" s="45">
        <v>15</v>
      </c>
      <c r="Y67" s="45">
        <v>15</v>
      </c>
      <c r="Z67" s="45">
        <v>15</v>
      </c>
      <c r="AA67" s="45">
        <v>15</v>
      </c>
      <c r="AB67" s="45">
        <v>10</v>
      </c>
      <c r="AC67" s="45">
        <v>23</v>
      </c>
      <c r="AD67" s="65">
        <v>23</v>
      </c>
      <c r="AE67" s="65">
        <v>23</v>
      </c>
      <c r="AF67" s="45">
        <v>23</v>
      </c>
      <c r="AG67" s="55">
        <v>30</v>
      </c>
      <c r="AH67" s="47">
        <f t="shared" si="2"/>
        <v>23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65">
        <v>0.9</v>
      </c>
      <c r="N68" s="65">
        <v>1.8</v>
      </c>
      <c r="O68" s="65">
        <v>3.3</v>
      </c>
      <c r="P68" s="65">
        <v>4.5</v>
      </c>
      <c r="Q68" s="65">
        <v>3.3</v>
      </c>
      <c r="R68" s="65">
        <v>15</v>
      </c>
      <c r="S68" s="65">
        <v>12.2</v>
      </c>
      <c r="T68" s="65">
        <v>7.4</v>
      </c>
      <c r="U68" s="65">
        <v>2.7</v>
      </c>
      <c r="V68" s="65">
        <v>0.5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65"/>
      <c r="AE68" s="65"/>
      <c r="AF68" s="45"/>
      <c r="AG68" s="55">
        <v>25</v>
      </c>
      <c r="AH68" s="47">
        <f t="shared" si="2"/>
        <v>15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</v>
      </c>
      <c r="C71" s="65">
        <v>10</v>
      </c>
      <c r="D71" s="65">
        <v>10</v>
      </c>
      <c r="E71" s="65">
        <v>10</v>
      </c>
      <c r="F71" s="65">
        <v>10</v>
      </c>
      <c r="G71" s="65">
        <v>10</v>
      </c>
      <c r="H71" s="65">
        <v>10</v>
      </c>
      <c r="I71" s="65">
        <v>10</v>
      </c>
      <c r="J71" s="65">
        <v>10</v>
      </c>
      <c r="K71" s="65">
        <v>10</v>
      </c>
      <c r="L71" s="65">
        <v>10</v>
      </c>
      <c r="M71" s="65">
        <v>10</v>
      </c>
      <c r="N71" s="65">
        <v>10</v>
      </c>
      <c r="O71" s="65">
        <v>10</v>
      </c>
      <c r="P71" s="65">
        <v>10</v>
      </c>
      <c r="Q71" s="65">
        <v>10</v>
      </c>
      <c r="R71" s="65">
        <v>10</v>
      </c>
      <c r="S71" s="65">
        <v>10</v>
      </c>
      <c r="T71" s="65">
        <v>10</v>
      </c>
      <c r="U71" s="65">
        <v>10</v>
      </c>
      <c r="V71" s="65">
        <v>10</v>
      </c>
      <c r="W71" s="65">
        <v>10</v>
      </c>
      <c r="X71" s="65">
        <v>10</v>
      </c>
      <c r="Y71" s="65">
        <v>10</v>
      </c>
      <c r="Z71" s="65">
        <v>10</v>
      </c>
      <c r="AA71" s="65">
        <v>10</v>
      </c>
      <c r="AB71" s="65">
        <v>10</v>
      </c>
      <c r="AC71" s="65">
        <v>10</v>
      </c>
      <c r="AD71" s="65">
        <v>10</v>
      </c>
      <c r="AE71" s="65">
        <v>10</v>
      </c>
      <c r="AF71" s="65">
        <v>10</v>
      </c>
      <c r="AG71" s="55">
        <v>14.1</v>
      </c>
      <c r="AH71" s="47">
        <f t="shared" si="2"/>
        <v>10</v>
      </c>
      <c r="AI71" s="48">
        <f t="shared" si="3"/>
        <v>10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4.9000000000000004</v>
      </c>
      <c r="C72" s="65">
        <v>4.9000000000000004</v>
      </c>
      <c r="D72" s="65">
        <v>5.0999999999999996</v>
      </c>
      <c r="E72" s="65">
        <v>5.0999999999999996</v>
      </c>
      <c r="F72" s="65">
        <v>5.0999999999999996</v>
      </c>
      <c r="G72" s="65">
        <v>5.0999999999999996</v>
      </c>
      <c r="H72" s="65">
        <v>5.0999999999999996</v>
      </c>
      <c r="I72" s="65">
        <v>5.0999999999999996</v>
      </c>
      <c r="J72" s="65">
        <v>5.0999999999999996</v>
      </c>
      <c r="K72" s="65">
        <v>5.0999999999999996</v>
      </c>
      <c r="L72" s="65">
        <v>5.0999999999999996</v>
      </c>
      <c r="M72" s="65">
        <v>5.0999999999999996</v>
      </c>
      <c r="N72" s="65">
        <v>5.0999999999999996</v>
      </c>
      <c r="O72" s="65">
        <v>5.0999999999999996</v>
      </c>
      <c r="P72" s="65">
        <v>5.0999999999999996</v>
      </c>
      <c r="Q72" s="65">
        <v>5.0999999999999996</v>
      </c>
      <c r="R72" s="65">
        <v>5.0999999999999996</v>
      </c>
      <c r="S72" s="65">
        <v>5.0999999999999996</v>
      </c>
      <c r="T72" s="65">
        <v>5.0999999999999996</v>
      </c>
      <c r="U72" s="65">
        <v>5.0999999999999996</v>
      </c>
      <c r="V72" s="65">
        <v>5.0999999999999996</v>
      </c>
      <c r="W72" s="65">
        <v>5.0999999999999996</v>
      </c>
      <c r="X72" s="65">
        <v>5.0999999999999996</v>
      </c>
      <c r="Y72" s="65">
        <v>5.0999999999999996</v>
      </c>
      <c r="Z72" s="65">
        <v>5.0999999999999996</v>
      </c>
      <c r="AA72" s="65">
        <v>5.0999999999999996</v>
      </c>
      <c r="AB72" s="65">
        <v>5.0999999999999996</v>
      </c>
      <c r="AC72" s="65">
        <v>5.0999999999999996</v>
      </c>
      <c r="AD72" s="65">
        <v>5.0999999999999996</v>
      </c>
      <c r="AE72" s="65">
        <v>5.0999999999999996</v>
      </c>
      <c r="AF72" s="65">
        <v>5.0999999999999996</v>
      </c>
      <c r="AG72" s="55">
        <v>14</v>
      </c>
      <c r="AH72" s="47">
        <f t="shared" si="2"/>
        <v>5.0999999999999996</v>
      </c>
      <c r="AI72" s="48">
        <f t="shared" si="3"/>
        <v>4.9000000000000004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9">SUM(B63:B75)</f>
        <v>105.34000000000002</v>
      </c>
      <c r="C76" s="60">
        <f t="shared" si="19"/>
        <v>95.340000000000018</v>
      </c>
      <c r="D76" s="60">
        <f t="shared" si="19"/>
        <v>95.24</v>
      </c>
      <c r="E76" s="60">
        <f t="shared" si="19"/>
        <v>109.44</v>
      </c>
      <c r="F76" s="60">
        <f t="shared" si="19"/>
        <v>109.44</v>
      </c>
      <c r="G76" s="60">
        <f t="shared" si="19"/>
        <v>185.44</v>
      </c>
      <c r="H76" s="60">
        <f t="shared" si="19"/>
        <v>210.23999999999998</v>
      </c>
      <c r="I76" s="60">
        <f t="shared" si="19"/>
        <v>225.03999999999996</v>
      </c>
      <c r="J76" s="60">
        <f t="shared" si="19"/>
        <v>284.14000000000004</v>
      </c>
      <c r="K76" s="60">
        <f t="shared" si="19"/>
        <v>304.84000000000003</v>
      </c>
      <c r="L76" s="60">
        <f t="shared" si="19"/>
        <v>372.6400000000001</v>
      </c>
      <c r="M76" s="60">
        <f t="shared" si="19"/>
        <v>375.24</v>
      </c>
      <c r="N76" s="60">
        <f t="shared" si="19"/>
        <v>367.84000000000003</v>
      </c>
      <c r="O76" s="60">
        <f t="shared" si="19"/>
        <v>359.04000000000008</v>
      </c>
      <c r="P76" s="60">
        <f t="shared" si="19"/>
        <v>296.44000000000005</v>
      </c>
      <c r="Q76" s="60">
        <f t="shared" ref="Q76" si="20">SUM(Q63:Q75)</f>
        <v>285.24000000000007</v>
      </c>
      <c r="R76" s="60">
        <f t="shared" si="19"/>
        <v>245.44</v>
      </c>
      <c r="S76" s="60">
        <f t="shared" ref="S76:T76" si="21">SUM(S63:S75)</f>
        <v>253.14</v>
      </c>
      <c r="T76" s="60">
        <f t="shared" si="21"/>
        <v>187.73999999999998</v>
      </c>
      <c r="U76" s="60">
        <f t="shared" ref="U76:V76" si="22">SUM(U63:U75)</f>
        <v>206.73999999999998</v>
      </c>
      <c r="V76" s="60">
        <f t="shared" si="22"/>
        <v>284.14000000000004</v>
      </c>
      <c r="W76" s="60">
        <f t="shared" ref="W76:X76" si="23">SUM(W63:W75)</f>
        <v>337.84000000000009</v>
      </c>
      <c r="X76" s="60">
        <f t="shared" si="23"/>
        <v>387.34000000000009</v>
      </c>
      <c r="Y76" s="60">
        <f t="shared" ref="Y76:Z76" si="24">SUM(Y63:Y75)</f>
        <v>387.34000000000009</v>
      </c>
      <c r="Z76" s="60">
        <f t="shared" si="24"/>
        <v>387.34000000000009</v>
      </c>
      <c r="AA76" s="60">
        <f t="shared" ref="AA76" si="25">SUM(AA63:AA75)</f>
        <v>387.34000000000009</v>
      </c>
      <c r="AB76" s="60">
        <f t="shared" si="19"/>
        <v>365.94000000000011</v>
      </c>
      <c r="AC76" s="60">
        <f t="shared" si="19"/>
        <v>267.74</v>
      </c>
      <c r="AD76" s="60">
        <f t="shared" si="19"/>
        <v>254.94</v>
      </c>
      <c r="AE76" s="60">
        <f t="shared" si="19"/>
        <v>244.44</v>
      </c>
      <c r="AF76" s="60">
        <f t="shared" si="19"/>
        <v>178.54</v>
      </c>
      <c r="AG76" s="61">
        <f t="shared" si="19"/>
        <v>489.91</v>
      </c>
      <c r="AH76" s="47">
        <f t="shared" si="2"/>
        <v>387.34000000000009</v>
      </c>
      <c r="AI76" s="48">
        <f t="shared" si="3"/>
        <v>95.24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>
        <v>14</v>
      </c>
      <c r="L77" s="45">
        <v>14</v>
      </c>
      <c r="M77" s="45">
        <v>14.1</v>
      </c>
      <c r="N77" s="45">
        <v>60.2</v>
      </c>
      <c r="O77" s="45">
        <v>60.2</v>
      </c>
      <c r="P77" s="45">
        <v>59.9</v>
      </c>
      <c r="Q77" s="45">
        <v>59.9</v>
      </c>
      <c r="R77" s="45">
        <v>39.4</v>
      </c>
      <c r="S77" s="45">
        <v>13.4</v>
      </c>
      <c r="T77" s="45">
        <v>23.5</v>
      </c>
      <c r="U77" s="45">
        <v>13.9</v>
      </c>
      <c r="V77" s="45">
        <v>0</v>
      </c>
      <c r="W77" s="45">
        <v>0</v>
      </c>
      <c r="X77" s="45">
        <v>30</v>
      </c>
      <c r="Y77" s="45">
        <v>30</v>
      </c>
      <c r="Z77" s="45">
        <v>30</v>
      </c>
      <c r="AA77" s="45">
        <v>30</v>
      </c>
      <c r="AB77" s="45">
        <v>13.7</v>
      </c>
      <c r="AC77" s="45">
        <v>13.7</v>
      </c>
      <c r="AD77" s="45">
        <v>20</v>
      </c>
      <c r="AE77" s="45">
        <v>0</v>
      </c>
      <c r="AF77" s="45">
        <v>0</v>
      </c>
      <c r="AG77" s="52">
        <v>60</v>
      </c>
      <c r="AH77" s="47">
        <f t="shared" si="2"/>
        <v>60.2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>
        <v>13</v>
      </c>
      <c r="L78" s="65">
        <v>5.3</v>
      </c>
      <c r="M78" s="65">
        <v>5.6</v>
      </c>
      <c r="N78" s="65">
        <v>26.7</v>
      </c>
      <c r="O78" s="65">
        <v>28.2</v>
      </c>
      <c r="P78" s="65">
        <v>27.6</v>
      </c>
      <c r="Q78" s="65">
        <v>27.6</v>
      </c>
      <c r="R78" s="65">
        <v>17.100000000000001</v>
      </c>
      <c r="S78" s="65">
        <v>14.2</v>
      </c>
      <c r="T78" s="65">
        <v>5.2</v>
      </c>
      <c r="U78" s="65">
        <v>5.9</v>
      </c>
      <c r="V78" s="65">
        <v>4.7</v>
      </c>
      <c r="W78" s="65">
        <v>0</v>
      </c>
      <c r="X78" s="65">
        <v>13.3</v>
      </c>
      <c r="Y78" s="65">
        <v>13.3</v>
      </c>
      <c r="Z78" s="65">
        <v>13.3</v>
      </c>
      <c r="AA78" s="65">
        <v>13.3</v>
      </c>
      <c r="AB78" s="65">
        <v>7.7</v>
      </c>
      <c r="AC78" s="65">
        <v>5.7</v>
      </c>
      <c r="AD78" s="65">
        <v>5.3</v>
      </c>
      <c r="AE78" s="65">
        <v>4.5999999999999996</v>
      </c>
      <c r="AF78" s="65"/>
      <c r="AG78" s="55">
        <v>32</v>
      </c>
      <c r="AH78" s="47">
        <f t="shared" si="2"/>
        <v>28.2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>
        <v>4.8</v>
      </c>
      <c r="L79" s="67">
        <v>1.9</v>
      </c>
      <c r="M79" s="67">
        <v>2.1</v>
      </c>
      <c r="N79" s="67">
        <v>9.6999999999999993</v>
      </c>
      <c r="O79" s="67">
        <v>10.3</v>
      </c>
      <c r="P79" s="67">
        <v>10.1</v>
      </c>
      <c r="Q79" s="67">
        <v>10.1</v>
      </c>
      <c r="R79" s="67">
        <v>6.3</v>
      </c>
      <c r="S79" s="67">
        <v>5.2</v>
      </c>
      <c r="T79" s="67">
        <v>1.9</v>
      </c>
      <c r="U79" s="67">
        <v>2.2000000000000002</v>
      </c>
      <c r="V79" s="67">
        <v>1.7</v>
      </c>
      <c r="W79" s="67">
        <v>0</v>
      </c>
      <c r="X79" s="67">
        <v>4.9000000000000004</v>
      </c>
      <c r="Y79" s="67">
        <v>4.9000000000000004</v>
      </c>
      <c r="Z79" s="67">
        <v>4.9000000000000004</v>
      </c>
      <c r="AA79" s="67">
        <v>4.9000000000000004</v>
      </c>
      <c r="AB79" s="67">
        <v>2.8</v>
      </c>
      <c r="AC79" s="67">
        <v>2.1</v>
      </c>
      <c r="AD79" s="67">
        <v>1.9</v>
      </c>
      <c r="AE79" s="67">
        <v>1.7</v>
      </c>
      <c r="AF79" s="67"/>
      <c r="AG79" s="68">
        <v>14</v>
      </c>
      <c r="AH79" s="47">
        <f t="shared" si="2"/>
        <v>10.3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6">B77+B78+B79</f>
        <v>0</v>
      </c>
      <c r="C80" s="60">
        <f t="shared" si="26"/>
        <v>0</v>
      </c>
      <c r="D80" s="60">
        <f t="shared" si="26"/>
        <v>0</v>
      </c>
      <c r="E80" s="60">
        <f t="shared" si="26"/>
        <v>0</v>
      </c>
      <c r="F80" s="60">
        <f t="shared" si="26"/>
        <v>0</v>
      </c>
      <c r="G80" s="60">
        <f t="shared" si="26"/>
        <v>0</v>
      </c>
      <c r="H80" s="60">
        <f t="shared" si="26"/>
        <v>0</v>
      </c>
      <c r="I80" s="60">
        <f t="shared" si="26"/>
        <v>0</v>
      </c>
      <c r="J80" s="60">
        <f t="shared" si="26"/>
        <v>0</v>
      </c>
      <c r="K80" s="60">
        <f t="shared" si="26"/>
        <v>31.8</v>
      </c>
      <c r="L80" s="60">
        <f t="shared" si="26"/>
        <v>21.2</v>
      </c>
      <c r="M80" s="60">
        <f t="shared" si="26"/>
        <v>21.8</v>
      </c>
      <c r="N80" s="60">
        <f t="shared" si="26"/>
        <v>96.600000000000009</v>
      </c>
      <c r="O80" s="60">
        <f t="shared" si="26"/>
        <v>98.7</v>
      </c>
      <c r="P80" s="60">
        <f t="shared" si="26"/>
        <v>97.6</v>
      </c>
      <c r="Q80" s="60">
        <f t="shared" ref="Q80" si="27">Q77+Q78+Q79</f>
        <v>97.6</v>
      </c>
      <c r="R80" s="60">
        <f t="shared" si="26"/>
        <v>62.8</v>
      </c>
      <c r="S80" s="60">
        <f t="shared" ref="S80:T80" si="28">S77+S78+S79</f>
        <v>32.800000000000004</v>
      </c>
      <c r="T80" s="60">
        <f t="shared" si="28"/>
        <v>30.599999999999998</v>
      </c>
      <c r="U80" s="60">
        <f t="shared" ref="U80:V80" si="29">U77+U78+U79</f>
        <v>22</v>
      </c>
      <c r="V80" s="60">
        <f t="shared" si="29"/>
        <v>6.4</v>
      </c>
      <c r="W80" s="60">
        <f t="shared" ref="W80:X80" si="30">W77+W78+W79</f>
        <v>0</v>
      </c>
      <c r="X80" s="60">
        <f t="shared" si="30"/>
        <v>48.199999999999996</v>
      </c>
      <c r="Y80" s="60">
        <f t="shared" ref="Y80:Z80" si="31">Y77+Y78+Y79</f>
        <v>48.199999999999996</v>
      </c>
      <c r="Z80" s="60">
        <f t="shared" si="31"/>
        <v>48.199999999999996</v>
      </c>
      <c r="AA80" s="60">
        <f t="shared" ref="AA80" si="32">AA77+AA78+AA79</f>
        <v>48.199999999999996</v>
      </c>
      <c r="AB80" s="60">
        <f t="shared" si="26"/>
        <v>24.2</v>
      </c>
      <c r="AC80" s="60">
        <f t="shared" si="26"/>
        <v>21.5</v>
      </c>
      <c r="AD80" s="60">
        <f t="shared" si="26"/>
        <v>27.2</v>
      </c>
      <c r="AE80" s="60">
        <f t="shared" si="26"/>
        <v>6.3</v>
      </c>
      <c r="AF80" s="60">
        <f t="shared" si="26"/>
        <v>0</v>
      </c>
      <c r="AG80" s="61">
        <f>SUM(AG77:AG79)</f>
        <v>106</v>
      </c>
      <c r="AH80" s="47">
        <f t="shared" si="2"/>
        <v>98.7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48.2</v>
      </c>
      <c r="C81" s="45">
        <v>63</v>
      </c>
      <c r="D81" s="45">
        <v>64.7</v>
      </c>
      <c r="E81" s="45">
        <v>57.6</v>
      </c>
      <c r="F81" s="45">
        <v>54.9</v>
      </c>
      <c r="G81" s="45">
        <v>59.8</v>
      </c>
      <c r="H81" s="45">
        <v>62</v>
      </c>
      <c r="I81" s="45">
        <v>57.1</v>
      </c>
      <c r="J81" s="45">
        <v>65</v>
      </c>
      <c r="K81" s="45">
        <v>62.7</v>
      </c>
      <c r="L81" s="45">
        <v>60</v>
      </c>
      <c r="M81" s="45">
        <v>55.4</v>
      </c>
      <c r="N81" s="45">
        <v>51.4</v>
      </c>
      <c r="O81" s="45">
        <v>56.8</v>
      </c>
      <c r="P81" s="45">
        <v>56</v>
      </c>
      <c r="Q81" s="45">
        <v>58</v>
      </c>
      <c r="R81" s="45">
        <v>45.4</v>
      </c>
      <c r="S81" s="45">
        <v>60.1</v>
      </c>
      <c r="T81" s="45">
        <v>70.599999999999994</v>
      </c>
      <c r="U81" s="45">
        <v>69.3</v>
      </c>
      <c r="V81" s="45">
        <v>49.4</v>
      </c>
      <c r="W81" s="45">
        <v>64.7</v>
      </c>
      <c r="X81" s="45">
        <v>64.3</v>
      </c>
      <c r="Y81" s="45">
        <v>59.2</v>
      </c>
      <c r="Z81" s="45">
        <v>45.1</v>
      </c>
      <c r="AA81" s="45">
        <v>44.5</v>
      </c>
      <c r="AB81" s="45">
        <v>53</v>
      </c>
      <c r="AC81" s="45">
        <v>42.5</v>
      </c>
      <c r="AD81" s="45">
        <v>40</v>
      </c>
      <c r="AE81" s="45">
        <v>56.5</v>
      </c>
      <c r="AF81" s="45">
        <v>51.2</v>
      </c>
      <c r="AG81" s="52"/>
      <c r="AH81" s="47">
        <f t="shared" si="2"/>
        <v>70.599999999999994</v>
      </c>
      <c r="AI81" s="48">
        <f t="shared" si="3"/>
        <v>40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194</v>
      </c>
      <c r="C83" s="65">
        <v>205</v>
      </c>
      <c r="D83" s="65">
        <v>215.4</v>
      </c>
      <c r="E83" s="65">
        <v>209.74</v>
      </c>
      <c r="F83" s="65">
        <v>248</v>
      </c>
      <c r="G83" s="65">
        <v>256</v>
      </c>
      <c r="H83" s="65">
        <v>280</v>
      </c>
      <c r="I83" s="65">
        <v>319</v>
      </c>
      <c r="J83" s="65">
        <v>360</v>
      </c>
      <c r="K83" s="65">
        <v>384</v>
      </c>
      <c r="L83" s="65">
        <v>292</v>
      </c>
      <c r="M83" s="65">
        <v>145</v>
      </c>
      <c r="N83" s="65">
        <v>41.4</v>
      </c>
      <c r="O83" s="65">
        <v>101.9</v>
      </c>
      <c r="P83" s="65">
        <v>227</v>
      </c>
      <c r="Q83" s="65">
        <v>378</v>
      </c>
      <c r="R83" s="65">
        <v>370.8</v>
      </c>
      <c r="S83" s="65">
        <v>305.2</v>
      </c>
      <c r="T83" s="65">
        <v>379</v>
      </c>
      <c r="U83" s="65">
        <v>389.6</v>
      </c>
      <c r="V83" s="65">
        <v>326.89999999999998</v>
      </c>
      <c r="W83" s="65">
        <v>201.8</v>
      </c>
      <c r="X83" s="65">
        <v>172.5</v>
      </c>
      <c r="Y83" s="65">
        <v>135.4</v>
      </c>
      <c r="Z83" s="65">
        <v>145.6</v>
      </c>
      <c r="AA83" s="65">
        <v>150.80000000000001</v>
      </c>
      <c r="AB83" s="65">
        <v>250</v>
      </c>
      <c r="AC83" s="65">
        <v>253.1</v>
      </c>
      <c r="AD83" s="65">
        <v>300</v>
      </c>
      <c r="AE83" s="65">
        <v>296.2</v>
      </c>
      <c r="AF83" s="65">
        <v>280.2</v>
      </c>
      <c r="AG83" s="75"/>
      <c r="AH83" s="47">
        <f t="shared" si="2"/>
        <v>389.6</v>
      </c>
      <c r="AI83" s="48">
        <f t="shared" si="3"/>
        <v>41.4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3">MAX(B85:AF85)</f>
        <v>0</v>
      </c>
      <c r="AI85" s="48">
        <f t="shared" ref="AI85:AI130" si="34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3"/>
        <v>0</v>
      </c>
      <c r="AI86" s="48">
        <f t="shared" si="34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3"/>
        <v>0</v>
      </c>
      <c r="AI87" s="48">
        <f t="shared" si="3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3"/>
        <v>0</v>
      </c>
      <c r="AI88" s="48">
        <f t="shared" si="3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3"/>
        <v>0</v>
      </c>
      <c r="AI89" s="48">
        <f t="shared" si="3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3"/>
        <v>0</v>
      </c>
      <c r="AI90" s="48">
        <f t="shared" si="3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3"/>
        <v>0</v>
      </c>
      <c r="AI91" s="48">
        <f t="shared" si="34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35">SUMIF(B81:B91,"&gt;0")</f>
        <v>242.2</v>
      </c>
      <c r="C92" s="60">
        <f t="shared" si="35"/>
        <v>268</v>
      </c>
      <c r="D92" s="60">
        <f t="shared" si="35"/>
        <v>280.10000000000002</v>
      </c>
      <c r="E92" s="60">
        <f t="shared" si="35"/>
        <v>267.34000000000003</v>
      </c>
      <c r="F92" s="60">
        <f t="shared" si="35"/>
        <v>302.89999999999998</v>
      </c>
      <c r="G92" s="60">
        <f t="shared" si="35"/>
        <v>315.8</v>
      </c>
      <c r="H92" s="60">
        <f t="shared" si="35"/>
        <v>342</v>
      </c>
      <c r="I92" s="60">
        <f t="shared" si="35"/>
        <v>376.1</v>
      </c>
      <c r="J92" s="60">
        <f t="shared" si="35"/>
        <v>425</v>
      </c>
      <c r="K92" s="60">
        <f t="shared" si="35"/>
        <v>446.7</v>
      </c>
      <c r="L92" s="60">
        <f t="shared" si="35"/>
        <v>352</v>
      </c>
      <c r="M92" s="60">
        <f t="shared" si="35"/>
        <v>200.4</v>
      </c>
      <c r="N92" s="60">
        <f t="shared" si="35"/>
        <v>92.8</v>
      </c>
      <c r="O92" s="60">
        <f t="shared" si="35"/>
        <v>158.69999999999999</v>
      </c>
      <c r="P92" s="60">
        <f t="shared" si="35"/>
        <v>283</v>
      </c>
      <c r="Q92" s="60">
        <f t="shared" ref="Q92" si="36">SUMIF(Q81:Q91,"&gt;0")</f>
        <v>436</v>
      </c>
      <c r="R92" s="60">
        <f t="shared" si="35"/>
        <v>416.2</v>
      </c>
      <c r="S92" s="60">
        <f t="shared" ref="S92:T92" si="37">SUMIF(S81:S91,"&gt;0")</f>
        <v>365.3</v>
      </c>
      <c r="T92" s="60">
        <f t="shared" si="37"/>
        <v>449.6</v>
      </c>
      <c r="U92" s="60">
        <f t="shared" ref="U92:V92" si="38">SUMIF(U81:U91,"&gt;0")</f>
        <v>458.90000000000003</v>
      </c>
      <c r="V92" s="60">
        <f t="shared" si="38"/>
        <v>376.29999999999995</v>
      </c>
      <c r="W92" s="60">
        <f t="shared" ref="W92:X92" si="39">SUMIF(W81:W91,"&gt;0")</f>
        <v>266.5</v>
      </c>
      <c r="X92" s="60">
        <f t="shared" si="39"/>
        <v>236.8</v>
      </c>
      <c r="Y92" s="60">
        <f t="shared" ref="Y92:Z92" si="40">SUMIF(Y81:Y91,"&gt;0")</f>
        <v>194.60000000000002</v>
      </c>
      <c r="Z92" s="60">
        <f t="shared" si="40"/>
        <v>190.7</v>
      </c>
      <c r="AA92" s="60">
        <f t="shared" ref="AA92" si="41">SUMIF(AA81:AA91,"&gt;0")</f>
        <v>195.3</v>
      </c>
      <c r="AB92" s="60">
        <f t="shared" si="35"/>
        <v>303</v>
      </c>
      <c r="AC92" s="60">
        <f t="shared" si="35"/>
        <v>295.60000000000002</v>
      </c>
      <c r="AD92" s="60">
        <f t="shared" si="35"/>
        <v>340</v>
      </c>
      <c r="AE92" s="60">
        <f t="shared" si="35"/>
        <v>352.7</v>
      </c>
      <c r="AF92" s="60">
        <f t="shared" si="35"/>
        <v>331.4</v>
      </c>
      <c r="AG92" s="88">
        <f>SUM(AG81:AG91)</f>
        <v>0</v>
      </c>
      <c r="AH92" s="47">
        <f t="shared" si="33"/>
        <v>458.90000000000003</v>
      </c>
      <c r="AI92" s="48">
        <f t="shared" si="34"/>
        <v>92.8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3"/>
        <v>0</v>
      </c>
      <c r="AI93" s="48">
        <f t="shared" si="34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3"/>
        <v>0</v>
      </c>
      <c r="AI94" s="48">
        <f t="shared" si="34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3"/>
        <v>0</v>
      </c>
      <c r="AI95" s="48">
        <f t="shared" si="34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3"/>
        <v>0</v>
      </c>
      <c r="AI96" s="48">
        <f t="shared" si="34"/>
        <v>0</v>
      </c>
    </row>
    <row r="97" spans="1:37" ht="15.75" thickBot="1" x14ac:dyDescent="0.3">
      <c r="A97" s="74" t="s">
        <v>100</v>
      </c>
      <c r="B97" s="95">
        <f t="shared" ref="B97:AG97" si="42">B58+B62+B80+B76+B92+B96</f>
        <v>984.94</v>
      </c>
      <c r="C97" s="95">
        <f t="shared" si="42"/>
        <v>1000.7400000000001</v>
      </c>
      <c r="D97" s="95">
        <f t="shared" si="42"/>
        <v>1012.8400000000001</v>
      </c>
      <c r="E97" s="95">
        <f t="shared" si="42"/>
        <v>1009.38</v>
      </c>
      <c r="F97" s="95">
        <f t="shared" si="42"/>
        <v>1044.94</v>
      </c>
      <c r="G97" s="95">
        <f t="shared" si="42"/>
        <v>1133.8399999999999</v>
      </c>
      <c r="H97" s="95">
        <f t="shared" si="42"/>
        <v>1184.8400000000001</v>
      </c>
      <c r="I97" s="95">
        <f t="shared" si="42"/>
        <v>1251.6399999999999</v>
      </c>
      <c r="J97" s="95">
        <f t="shared" si="42"/>
        <v>1349.8400000000001</v>
      </c>
      <c r="K97" s="95">
        <f t="shared" si="42"/>
        <v>1464.04</v>
      </c>
      <c r="L97" s="95">
        <f t="shared" si="42"/>
        <v>1516.5400000000002</v>
      </c>
      <c r="M97" s="95">
        <f t="shared" si="42"/>
        <v>1536.54</v>
      </c>
      <c r="N97" s="95">
        <f t="shared" si="42"/>
        <v>1583.9399999999998</v>
      </c>
      <c r="O97" s="95">
        <f t="shared" si="42"/>
        <v>1592.14</v>
      </c>
      <c r="P97" s="95">
        <f t="shared" si="42"/>
        <v>1562.8400000000001</v>
      </c>
      <c r="Q97" s="95">
        <f t="shared" ref="Q97" si="43">Q58+Q62+Q80+Q76+Q92+Q96</f>
        <v>1704.64</v>
      </c>
      <c r="R97" s="95">
        <f t="shared" si="42"/>
        <v>1351.1399999999999</v>
      </c>
      <c r="S97" s="95">
        <f t="shared" ref="S97:T97" si="44">S58+S62+S80+S76+S92+S96</f>
        <v>1277.9399999999998</v>
      </c>
      <c r="T97" s="95">
        <f t="shared" si="44"/>
        <v>1294.6399999999999</v>
      </c>
      <c r="U97" s="95">
        <f t="shared" ref="U97:V97" si="45">U58+U62+U80+U76+U92+U96</f>
        <v>1314.34</v>
      </c>
      <c r="V97" s="95">
        <f t="shared" si="45"/>
        <v>1293.54</v>
      </c>
      <c r="W97" s="95">
        <f t="shared" ref="W97:X97" si="46">W58+W62+W80+W76+W92+W96</f>
        <v>1416.04</v>
      </c>
      <c r="X97" s="95">
        <f t="shared" si="46"/>
        <v>1624.14</v>
      </c>
      <c r="Y97" s="95">
        <f t="shared" ref="Y97:Z97" si="47">Y58+Y62+Y80+Y76+Y92+Y96</f>
        <v>1626.94</v>
      </c>
      <c r="Z97" s="95">
        <f t="shared" si="47"/>
        <v>1573.0400000000002</v>
      </c>
      <c r="AA97" s="95">
        <f t="shared" ref="AA97" si="48">AA58+AA62+AA80+AA76+AA92+AA96</f>
        <v>1527.64</v>
      </c>
      <c r="AB97" s="95">
        <f t="shared" si="42"/>
        <v>1430.2400000000002</v>
      </c>
      <c r="AC97" s="95">
        <f t="shared" si="42"/>
        <v>1331.94</v>
      </c>
      <c r="AD97" s="95">
        <f t="shared" si="42"/>
        <v>1349.2400000000002</v>
      </c>
      <c r="AE97" s="95">
        <f t="shared" si="42"/>
        <v>1260.5400000000002</v>
      </c>
      <c r="AF97" s="95">
        <f t="shared" si="42"/>
        <v>1137.2399999999998</v>
      </c>
      <c r="AG97" s="61">
        <f t="shared" si="42"/>
        <v>2231.81</v>
      </c>
      <c r="AH97" s="47">
        <f t="shared" si="33"/>
        <v>1704.64</v>
      </c>
      <c r="AI97" s="48">
        <f t="shared" si="34"/>
        <v>984.94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>
        <v>80</v>
      </c>
      <c r="N98" s="97">
        <v>80</v>
      </c>
      <c r="O98" s="97">
        <v>80</v>
      </c>
      <c r="P98" s="97"/>
      <c r="Q98" s="97"/>
      <c r="R98" s="97"/>
      <c r="S98" s="97"/>
      <c r="T98" s="97"/>
      <c r="U98" s="97"/>
      <c r="V98" s="97"/>
      <c r="W98" s="97">
        <v>120</v>
      </c>
      <c r="X98" s="97">
        <v>120</v>
      </c>
      <c r="Y98" s="97">
        <v>120</v>
      </c>
      <c r="Z98" s="97">
        <v>120</v>
      </c>
      <c r="AA98" s="97">
        <v>120</v>
      </c>
      <c r="AB98" s="97">
        <v>120</v>
      </c>
      <c r="AC98" s="97">
        <v>120</v>
      </c>
      <c r="AD98" s="97"/>
      <c r="AE98" s="97"/>
      <c r="AF98" s="97"/>
      <c r="AG98" s="88"/>
      <c r="AH98" s="47">
        <f t="shared" si="33"/>
        <v>120</v>
      </c>
      <c r="AI98" s="48">
        <f t="shared" si="34"/>
        <v>80</v>
      </c>
    </row>
    <row r="99" spans="1:37" ht="15.75" thickBot="1" x14ac:dyDescent="0.3">
      <c r="A99" s="74" t="s">
        <v>102</v>
      </c>
      <c r="B99" s="95">
        <f t="shared" ref="B99:AF99" si="49">B97+B98</f>
        <v>984.94</v>
      </c>
      <c r="C99" s="95">
        <f t="shared" si="49"/>
        <v>1000.7400000000001</v>
      </c>
      <c r="D99" s="95">
        <f t="shared" si="49"/>
        <v>1012.8400000000001</v>
      </c>
      <c r="E99" s="95">
        <f t="shared" si="49"/>
        <v>1009.38</v>
      </c>
      <c r="F99" s="95">
        <f t="shared" si="49"/>
        <v>1044.94</v>
      </c>
      <c r="G99" s="95">
        <f t="shared" si="49"/>
        <v>1133.8399999999999</v>
      </c>
      <c r="H99" s="95">
        <f t="shared" si="49"/>
        <v>1184.8400000000001</v>
      </c>
      <c r="I99" s="95">
        <f t="shared" si="49"/>
        <v>1251.6399999999999</v>
      </c>
      <c r="J99" s="95">
        <f t="shared" si="49"/>
        <v>1349.8400000000001</v>
      </c>
      <c r="K99" s="95">
        <f t="shared" si="49"/>
        <v>1464.04</v>
      </c>
      <c r="L99" s="95">
        <f t="shared" si="49"/>
        <v>1516.5400000000002</v>
      </c>
      <c r="M99" s="95">
        <f t="shared" si="49"/>
        <v>1616.54</v>
      </c>
      <c r="N99" s="95">
        <f t="shared" si="49"/>
        <v>1663.9399999999998</v>
      </c>
      <c r="O99" s="95">
        <f t="shared" si="49"/>
        <v>1672.14</v>
      </c>
      <c r="P99" s="95">
        <f t="shared" si="49"/>
        <v>1562.8400000000001</v>
      </c>
      <c r="Q99" s="95">
        <f t="shared" ref="Q99" si="50">Q97+Q98</f>
        <v>1704.64</v>
      </c>
      <c r="R99" s="95">
        <f t="shared" si="49"/>
        <v>1351.1399999999999</v>
      </c>
      <c r="S99" s="95">
        <f t="shared" ref="S99:T99" si="51">S97+S98</f>
        <v>1277.9399999999998</v>
      </c>
      <c r="T99" s="95">
        <f t="shared" si="51"/>
        <v>1294.6399999999999</v>
      </c>
      <c r="U99" s="95">
        <f t="shared" ref="U99:V99" si="52">U97+U98</f>
        <v>1314.34</v>
      </c>
      <c r="V99" s="95">
        <f t="shared" si="52"/>
        <v>1293.54</v>
      </c>
      <c r="W99" s="95">
        <f t="shared" ref="W99:X99" si="53">W97+W98</f>
        <v>1536.04</v>
      </c>
      <c r="X99" s="95">
        <f t="shared" si="53"/>
        <v>1744.14</v>
      </c>
      <c r="Y99" s="95">
        <f t="shared" ref="Y99:Z99" si="54">Y97+Y98</f>
        <v>1746.94</v>
      </c>
      <c r="Z99" s="95">
        <f t="shared" si="54"/>
        <v>1693.0400000000002</v>
      </c>
      <c r="AA99" s="95">
        <f t="shared" ref="AA99" si="55">AA97+AA98</f>
        <v>1647.64</v>
      </c>
      <c r="AB99" s="95">
        <f t="shared" si="49"/>
        <v>1550.2400000000002</v>
      </c>
      <c r="AC99" s="95">
        <f t="shared" si="49"/>
        <v>1451.94</v>
      </c>
      <c r="AD99" s="95">
        <f t="shared" si="49"/>
        <v>1349.2400000000002</v>
      </c>
      <c r="AE99" s="95">
        <f t="shared" si="49"/>
        <v>1260.5400000000002</v>
      </c>
      <c r="AF99" s="95">
        <f t="shared" si="49"/>
        <v>1137.2399999999998</v>
      </c>
      <c r="AG99" s="88">
        <f>AG96+AG92+AG80+AG76+AG58+AG98</f>
        <v>1693.71</v>
      </c>
      <c r="AH99" s="47">
        <f t="shared" si="33"/>
        <v>1746.94</v>
      </c>
      <c r="AI99" s="48">
        <f t="shared" si="34"/>
        <v>984.94</v>
      </c>
    </row>
    <row r="100" spans="1:37" ht="15.75" thickBot="1" x14ac:dyDescent="0.3">
      <c r="A100" s="74" t="s">
        <v>103</v>
      </c>
      <c r="B100" s="95">
        <f t="shared" ref="B100:M100" si="56">B99-(B107)</f>
        <v>984.94</v>
      </c>
      <c r="C100" s="95">
        <f t="shared" si="56"/>
        <v>1000.7400000000001</v>
      </c>
      <c r="D100" s="95">
        <f t="shared" si="56"/>
        <v>1012.8400000000001</v>
      </c>
      <c r="E100" s="95">
        <f t="shared" si="56"/>
        <v>1009.38</v>
      </c>
      <c r="F100" s="95">
        <f t="shared" si="56"/>
        <v>1044.94</v>
      </c>
      <c r="G100" s="95">
        <f t="shared" si="56"/>
        <v>1133.8399999999999</v>
      </c>
      <c r="H100" s="95">
        <f t="shared" si="56"/>
        <v>1184.8400000000001</v>
      </c>
      <c r="I100" s="95">
        <f t="shared" si="56"/>
        <v>1251.6399999999999</v>
      </c>
      <c r="J100" s="95">
        <f t="shared" si="56"/>
        <v>1349.8400000000001</v>
      </c>
      <c r="K100" s="95">
        <f t="shared" si="56"/>
        <v>1464.04</v>
      </c>
      <c r="L100" s="95">
        <f t="shared" si="56"/>
        <v>1516.5400000000002</v>
      </c>
      <c r="M100" s="95">
        <f t="shared" si="56"/>
        <v>1616.54</v>
      </c>
      <c r="N100" s="95">
        <f>N99-(N107)</f>
        <v>1663.9399999999998</v>
      </c>
      <c r="O100" s="95">
        <f t="shared" ref="O100:AF100" si="57">O99-(O107)</f>
        <v>1672.14</v>
      </c>
      <c r="P100" s="95">
        <f t="shared" si="57"/>
        <v>1562.8400000000001</v>
      </c>
      <c r="Q100" s="95">
        <f t="shared" ref="Q100" si="58">Q99-(Q107)</f>
        <v>1704.64</v>
      </c>
      <c r="R100" s="95">
        <f t="shared" si="57"/>
        <v>1351.1399999999999</v>
      </c>
      <c r="S100" s="95">
        <f t="shared" ref="S100:T100" si="59">S99-(S107)</f>
        <v>1277.9399999999998</v>
      </c>
      <c r="T100" s="95">
        <f t="shared" si="59"/>
        <v>1294.6399999999999</v>
      </c>
      <c r="U100" s="95">
        <f t="shared" ref="U100:V100" si="60">U99-(U107)</f>
        <v>1314.34</v>
      </c>
      <c r="V100" s="95">
        <f t="shared" si="60"/>
        <v>1293.54</v>
      </c>
      <c r="W100" s="95">
        <f t="shared" ref="W100:X100" si="61">W99-(W107)</f>
        <v>1536.04</v>
      </c>
      <c r="X100" s="95">
        <f t="shared" si="61"/>
        <v>1744.14</v>
      </c>
      <c r="Y100" s="95">
        <f t="shared" ref="Y100:Z100" si="62">Y99-(Y107)</f>
        <v>1746.94</v>
      </c>
      <c r="Z100" s="95">
        <f t="shared" si="62"/>
        <v>1693.0400000000002</v>
      </c>
      <c r="AA100" s="95">
        <f t="shared" ref="AA100" si="63">AA99-(AA107)</f>
        <v>1647.64</v>
      </c>
      <c r="AB100" s="95">
        <f t="shared" si="57"/>
        <v>1550.2400000000002</v>
      </c>
      <c r="AC100" s="95">
        <f t="shared" si="57"/>
        <v>1451.94</v>
      </c>
      <c r="AD100" s="95">
        <f t="shared" si="57"/>
        <v>1349.2400000000002</v>
      </c>
      <c r="AE100" s="95">
        <f t="shared" si="57"/>
        <v>1260.5400000000002</v>
      </c>
      <c r="AF100" s="95">
        <f t="shared" si="57"/>
        <v>1137.2399999999998</v>
      </c>
      <c r="AG100" s="88"/>
      <c r="AH100" s="47">
        <f t="shared" si="33"/>
        <v>1746.94</v>
      </c>
      <c r="AI100" s="48">
        <f t="shared" si="34"/>
        <v>984.94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64">IF(C84&lt;0,C84*-1,0)</f>
        <v>0</v>
      </c>
      <c r="D101" s="76">
        <f t="shared" si="64"/>
        <v>0</v>
      </c>
      <c r="E101" s="76">
        <f t="shared" si="64"/>
        <v>0</v>
      </c>
      <c r="F101" s="76">
        <f t="shared" si="64"/>
        <v>0</v>
      </c>
      <c r="G101" s="76">
        <f t="shared" si="64"/>
        <v>0</v>
      </c>
      <c r="H101" s="76">
        <f t="shared" si="64"/>
        <v>0</v>
      </c>
      <c r="I101" s="76">
        <f t="shared" si="64"/>
        <v>0</v>
      </c>
      <c r="J101" s="76">
        <f t="shared" si="64"/>
        <v>0</v>
      </c>
      <c r="K101" s="76">
        <f t="shared" si="64"/>
        <v>0</v>
      </c>
      <c r="L101" s="76">
        <f t="shared" si="64"/>
        <v>0</v>
      </c>
      <c r="M101" s="76">
        <f t="shared" si="64"/>
        <v>0</v>
      </c>
      <c r="N101" s="76">
        <f t="shared" si="64"/>
        <v>0</v>
      </c>
      <c r="O101" s="76">
        <f t="shared" si="64"/>
        <v>0</v>
      </c>
      <c r="P101" s="76">
        <f t="shared" si="64"/>
        <v>0</v>
      </c>
      <c r="Q101" s="76">
        <f t="shared" ref="Q101" si="65">IF(Q84&lt;0,Q84*-1,0)</f>
        <v>0</v>
      </c>
      <c r="R101" s="76">
        <f t="shared" si="64"/>
        <v>0</v>
      </c>
      <c r="S101" s="76">
        <f t="shared" ref="S101:T101" si="66">IF(S84&lt;0,S84*-1,0)</f>
        <v>0</v>
      </c>
      <c r="T101" s="76">
        <f t="shared" si="66"/>
        <v>0</v>
      </c>
      <c r="U101" s="76">
        <f t="shared" ref="U101:V101" si="67">IF(U84&lt;0,U84*-1,0)</f>
        <v>0</v>
      </c>
      <c r="V101" s="76">
        <f t="shared" si="67"/>
        <v>0</v>
      </c>
      <c r="W101" s="76">
        <f t="shared" ref="W101:X101" si="68">IF(W84&lt;0,W84*-1,0)</f>
        <v>0</v>
      </c>
      <c r="X101" s="76">
        <f t="shared" si="68"/>
        <v>0</v>
      </c>
      <c r="Y101" s="76">
        <f t="shared" ref="Y101:Z101" si="69">IF(Y84&lt;0,Y84*-1,0)</f>
        <v>0</v>
      </c>
      <c r="Z101" s="76">
        <f t="shared" si="69"/>
        <v>0</v>
      </c>
      <c r="AA101" s="76">
        <f t="shared" ref="AA101" si="70">IF(AA84&lt;0,AA84*-1,0)</f>
        <v>0</v>
      </c>
      <c r="AB101" s="76">
        <f t="shared" si="64"/>
        <v>0</v>
      </c>
      <c r="AC101" s="76">
        <f t="shared" si="64"/>
        <v>0</v>
      </c>
      <c r="AD101" s="76">
        <f t="shared" si="64"/>
        <v>0</v>
      </c>
      <c r="AE101" s="76">
        <f t="shared" si="64"/>
        <v>0</v>
      </c>
      <c r="AF101" s="76">
        <f t="shared" si="64"/>
        <v>0</v>
      </c>
      <c r="AG101" s="52"/>
      <c r="AH101" s="47">
        <f t="shared" si="33"/>
        <v>0</v>
      </c>
      <c r="AI101" s="48">
        <f t="shared" si="34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71">IF(C82&lt;0,C82*-1,0)</f>
        <v>0</v>
      </c>
      <c r="D102" s="76">
        <f t="shared" si="71"/>
        <v>0</v>
      </c>
      <c r="E102" s="76">
        <f t="shared" si="71"/>
        <v>0</v>
      </c>
      <c r="F102" s="76">
        <f t="shared" si="71"/>
        <v>0</v>
      </c>
      <c r="G102" s="76">
        <f t="shared" si="71"/>
        <v>0</v>
      </c>
      <c r="H102" s="76">
        <f t="shared" si="71"/>
        <v>0</v>
      </c>
      <c r="I102" s="76">
        <f t="shared" si="71"/>
        <v>0</v>
      </c>
      <c r="J102" s="76">
        <f t="shared" si="71"/>
        <v>0</v>
      </c>
      <c r="K102" s="76">
        <f t="shared" si="71"/>
        <v>0</v>
      </c>
      <c r="L102" s="76">
        <f t="shared" si="71"/>
        <v>0</v>
      </c>
      <c r="M102" s="76">
        <f t="shared" si="71"/>
        <v>0</v>
      </c>
      <c r="N102" s="76">
        <f t="shared" si="71"/>
        <v>0</v>
      </c>
      <c r="O102" s="76">
        <f t="shared" si="71"/>
        <v>0</v>
      </c>
      <c r="P102" s="76">
        <f t="shared" si="71"/>
        <v>0</v>
      </c>
      <c r="Q102" s="76">
        <f t="shared" ref="Q102" si="72">IF(Q82&lt;0,Q82*-1,0)</f>
        <v>0</v>
      </c>
      <c r="R102" s="76">
        <f t="shared" si="71"/>
        <v>0</v>
      </c>
      <c r="S102" s="76">
        <f t="shared" ref="S102:T102" si="73">IF(S82&lt;0,S82*-1,0)</f>
        <v>0</v>
      </c>
      <c r="T102" s="76">
        <f t="shared" si="73"/>
        <v>0</v>
      </c>
      <c r="U102" s="76">
        <f t="shared" ref="U102:V102" si="74">IF(U82&lt;0,U82*-1,0)</f>
        <v>0</v>
      </c>
      <c r="V102" s="76">
        <f t="shared" si="74"/>
        <v>0</v>
      </c>
      <c r="W102" s="76">
        <f t="shared" ref="W102:X102" si="75">IF(W82&lt;0,W82*-1,0)</f>
        <v>0</v>
      </c>
      <c r="X102" s="76">
        <f t="shared" si="75"/>
        <v>0</v>
      </c>
      <c r="Y102" s="76">
        <f t="shared" ref="Y102:Z102" si="76">IF(Y82&lt;0,Y82*-1,0)</f>
        <v>0</v>
      </c>
      <c r="Z102" s="76">
        <f t="shared" si="76"/>
        <v>0</v>
      </c>
      <c r="AA102" s="76">
        <f t="shared" ref="AA102" si="77">IF(AA82&lt;0,AA82*-1,0)</f>
        <v>0</v>
      </c>
      <c r="AB102" s="76">
        <f t="shared" si="71"/>
        <v>0</v>
      </c>
      <c r="AC102" s="76">
        <f t="shared" si="71"/>
        <v>0</v>
      </c>
      <c r="AD102" s="76">
        <f t="shared" si="71"/>
        <v>0</v>
      </c>
      <c r="AE102" s="76">
        <f t="shared" si="71"/>
        <v>0</v>
      </c>
      <c r="AF102" s="76">
        <f t="shared" si="71"/>
        <v>0</v>
      </c>
      <c r="AG102" s="55"/>
      <c r="AH102" s="47">
        <f t="shared" si="33"/>
        <v>0</v>
      </c>
      <c r="AI102" s="48">
        <f t="shared" si="34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78">IF(C85&lt;0,C85*-1,0)</f>
        <v>0</v>
      </c>
      <c r="D103" s="76">
        <f t="shared" si="78"/>
        <v>0</v>
      </c>
      <c r="E103" s="76">
        <f t="shared" si="78"/>
        <v>0</v>
      </c>
      <c r="F103" s="76">
        <f t="shared" si="78"/>
        <v>0</v>
      </c>
      <c r="G103" s="76">
        <f t="shared" si="78"/>
        <v>0</v>
      </c>
      <c r="H103" s="76">
        <f t="shared" si="78"/>
        <v>0</v>
      </c>
      <c r="I103" s="76">
        <f t="shared" si="78"/>
        <v>0</v>
      </c>
      <c r="J103" s="76">
        <f t="shared" si="78"/>
        <v>0</v>
      </c>
      <c r="K103" s="76">
        <f t="shared" si="78"/>
        <v>0</v>
      </c>
      <c r="L103" s="76">
        <f t="shared" si="78"/>
        <v>0</v>
      </c>
      <c r="M103" s="76">
        <f t="shared" si="78"/>
        <v>0</v>
      </c>
      <c r="N103" s="76">
        <f t="shared" si="78"/>
        <v>0</v>
      </c>
      <c r="O103" s="76">
        <f t="shared" si="78"/>
        <v>0</v>
      </c>
      <c r="P103" s="76">
        <f t="shared" si="78"/>
        <v>0</v>
      </c>
      <c r="Q103" s="76">
        <f t="shared" ref="Q103" si="79">IF(Q85&lt;0,Q85*-1,0)</f>
        <v>0</v>
      </c>
      <c r="R103" s="76">
        <f t="shared" si="78"/>
        <v>0</v>
      </c>
      <c r="S103" s="76">
        <f t="shared" ref="S103:T103" si="80">IF(S85&lt;0,S85*-1,0)</f>
        <v>0</v>
      </c>
      <c r="T103" s="76">
        <f t="shared" si="80"/>
        <v>0</v>
      </c>
      <c r="U103" s="76">
        <f t="shared" ref="U103:V103" si="81">IF(U85&lt;0,U85*-1,0)</f>
        <v>0</v>
      </c>
      <c r="V103" s="76">
        <f t="shared" si="81"/>
        <v>0</v>
      </c>
      <c r="W103" s="76">
        <f t="shared" ref="W103:X103" si="82">IF(W85&lt;0,W85*-1,0)</f>
        <v>0</v>
      </c>
      <c r="X103" s="76">
        <f t="shared" si="82"/>
        <v>0</v>
      </c>
      <c r="Y103" s="76">
        <f t="shared" ref="Y103:Z103" si="83">IF(Y85&lt;0,Y85*-1,0)</f>
        <v>0</v>
      </c>
      <c r="Z103" s="76">
        <f t="shared" si="83"/>
        <v>0</v>
      </c>
      <c r="AA103" s="76">
        <f t="shared" ref="AA103" si="84">IF(AA85&lt;0,AA85*-1,0)</f>
        <v>0</v>
      </c>
      <c r="AB103" s="76">
        <f t="shared" si="78"/>
        <v>0</v>
      </c>
      <c r="AC103" s="76">
        <f t="shared" si="78"/>
        <v>0</v>
      </c>
      <c r="AD103" s="76">
        <f t="shared" si="78"/>
        <v>0</v>
      </c>
      <c r="AE103" s="76">
        <f t="shared" si="78"/>
        <v>0</v>
      </c>
      <c r="AF103" s="76">
        <f t="shared" si="78"/>
        <v>0</v>
      </c>
      <c r="AG103" s="98"/>
      <c r="AH103" s="47">
        <f t="shared" si="33"/>
        <v>0</v>
      </c>
      <c r="AI103" s="48">
        <f t="shared" si="34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85">IF(C83&lt;0,C83*-1,0)</f>
        <v>0</v>
      </c>
      <c r="D104" s="76">
        <f t="shared" si="85"/>
        <v>0</v>
      </c>
      <c r="E104" s="76">
        <f t="shared" si="85"/>
        <v>0</v>
      </c>
      <c r="F104" s="76">
        <f t="shared" si="85"/>
        <v>0</v>
      </c>
      <c r="G104" s="76">
        <f t="shared" si="85"/>
        <v>0</v>
      </c>
      <c r="H104" s="76">
        <f t="shared" si="85"/>
        <v>0</v>
      </c>
      <c r="I104" s="76">
        <f t="shared" si="85"/>
        <v>0</v>
      </c>
      <c r="J104" s="76">
        <f t="shared" si="85"/>
        <v>0</v>
      </c>
      <c r="K104" s="76">
        <f t="shared" si="85"/>
        <v>0</v>
      </c>
      <c r="L104" s="76">
        <f t="shared" si="85"/>
        <v>0</v>
      </c>
      <c r="M104" s="76">
        <f t="shared" si="85"/>
        <v>0</v>
      </c>
      <c r="N104" s="76">
        <f t="shared" si="85"/>
        <v>0</v>
      </c>
      <c r="O104" s="76">
        <f t="shared" si="85"/>
        <v>0</v>
      </c>
      <c r="P104" s="76">
        <f t="shared" si="85"/>
        <v>0</v>
      </c>
      <c r="Q104" s="76">
        <f t="shared" ref="Q104" si="86">IF(Q83&lt;0,Q83*-1,0)</f>
        <v>0</v>
      </c>
      <c r="R104" s="76">
        <f t="shared" si="85"/>
        <v>0</v>
      </c>
      <c r="S104" s="76">
        <f t="shared" ref="S104:T104" si="87">IF(S83&lt;0,S83*-1,0)</f>
        <v>0</v>
      </c>
      <c r="T104" s="76">
        <f t="shared" si="87"/>
        <v>0</v>
      </c>
      <c r="U104" s="76">
        <f t="shared" ref="U104:V104" si="88">IF(U83&lt;0,U83*-1,0)</f>
        <v>0</v>
      </c>
      <c r="V104" s="76">
        <f t="shared" si="88"/>
        <v>0</v>
      </c>
      <c r="W104" s="76">
        <f t="shared" ref="W104:X104" si="89">IF(W83&lt;0,W83*-1,0)</f>
        <v>0</v>
      </c>
      <c r="X104" s="76">
        <f t="shared" si="89"/>
        <v>0</v>
      </c>
      <c r="Y104" s="76">
        <f t="shared" ref="Y104:Z104" si="90">IF(Y83&lt;0,Y83*-1,0)</f>
        <v>0</v>
      </c>
      <c r="Z104" s="76">
        <f t="shared" si="90"/>
        <v>0</v>
      </c>
      <c r="AA104" s="76">
        <f t="shared" ref="AA104" si="91">IF(AA83&lt;0,AA83*-1,0)</f>
        <v>0</v>
      </c>
      <c r="AB104" s="76">
        <f t="shared" si="85"/>
        <v>0</v>
      </c>
      <c r="AC104" s="76">
        <f t="shared" si="85"/>
        <v>0</v>
      </c>
      <c r="AD104" s="76">
        <f t="shared" si="85"/>
        <v>0</v>
      </c>
      <c r="AE104" s="76">
        <f t="shared" si="85"/>
        <v>0</v>
      </c>
      <c r="AF104" s="76">
        <f t="shared" si="85"/>
        <v>0</v>
      </c>
      <c r="AG104" s="98"/>
      <c r="AH104" s="47">
        <f t="shared" si="33"/>
        <v>0</v>
      </c>
      <c r="AI104" s="48">
        <f t="shared" si="34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92">IF(C81&lt;0,C81*-1,0)</f>
        <v>0</v>
      </c>
      <c r="D105" s="76">
        <f t="shared" si="92"/>
        <v>0</v>
      </c>
      <c r="E105" s="76">
        <f t="shared" si="92"/>
        <v>0</v>
      </c>
      <c r="F105" s="76">
        <f t="shared" si="92"/>
        <v>0</v>
      </c>
      <c r="G105" s="76">
        <f t="shared" si="92"/>
        <v>0</v>
      </c>
      <c r="H105" s="76">
        <f t="shared" si="92"/>
        <v>0</v>
      </c>
      <c r="I105" s="76">
        <f t="shared" si="92"/>
        <v>0</v>
      </c>
      <c r="J105" s="76">
        <f t="shared" si="92"/>
        <v>0</v>
      </c>
      <c r="K105" s="76">
        <f t="shared" si="92"/>
        <v>0</v>
      </c>
      <c r="L105" s="76">
        <f t="shared" si="92"/>
        <v>0</v>
      </c>
      <c r="M105" s="76">
        <f t="shared" si="92"/>
        <v>0</v>
      </c>
      <c r="N105" s="76">
        <f t="shared" si="92"/>
        <v>0</v>
      </c>
      <c r="O105" s="76">
        <f t="shared" si="92"/>
        <v>0</v>
      </c>
      <c r="P105" s="76">
        <f t="shared" si="92"/>
        <v>0</v>
      </c>
      <c r="Q105" s="76">
        <f t="shared" ref="Q105" si="93">IF(Q81&lt;0,Q81*-1,0)</f>
        <v>0</v>
      </c>
      <c r="R105" s="76">
        <f t="shared" si="92"/>
        <v>0</v>
      </c>
      <c r="S105" s="76">
        <f t="shared" ref="S105:T105" si="94">IF(S81&lt;0,S81*-1,0)</f>
        <v>0</v>
      </c>
      <c r="T105" s="76">
        <f t="shared" si="94"/>
        <v>0</v>
      </c>
      <c r="U105" s="76">
        <f t="shared" ref="U105:V105" si="95">IF(U81&lt;0,U81*-1,0)</f>
        <v>0</v>
      </c>
      <c r="V105" s="76">
        <f t="shared" si="95"/>
        <v>0</v>
      </c>
      <c r="W105" s="76">
        <f t="shared" ref="W105:X105" si="96">IF(W81&lt;0,W81*-1,0)</f>
        <v>0</v>
      </c>
      <c r="X105" s="76">
        <f t="shared" si="96"/>
        <v>0</v>
      </c>
      <c r="Y105" s="76">
        <f t="shared" ref="Y105:Z105" si="97">IF(Y81&lt;0,Y81*-1,0)</f>
        <v>0</v>
      </c>
      <c r="Z105" s="76">
        <f t="shared" si="97"/>
        <v>0</v>
      </c>
      <c r="AA105" s="76">
        <f t="shared" ref="AA105" si="98">IF(AA81&lt;0,AA81*-1,0)</f>
        <v>0</v>
      </c>
      <c r="AB105" s="76">
        <f t="shared" si="92"/>
        <v>0</v>
      </c>
      <c r="AC105" s="76">
        <f t="shared" si="92"/>
        <v>0</v>
      </c>
      <c r="AD105" s="76">
        <f t="shared" si="92"/>
        <v>0</v>
      </c>
      <c r="AE105" s="76">
        <f t="shared" si="92"/>
        <v>0</v>
      </c>
      <c r="AF105" s="76">
        <f t="shared" si="92"/>
        <v>0</v>
      </c>
      <c r="AG105" s="98"/>
      <c r="AH105" s="47">
        <f t="shared" si="33"/>
        <v>0</v>
      </c>
      <c r="AI105" s="48">
        <f t="shared" si="34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3"/>
        <v>0</v>
      </c>
      <c r="AI106" s="48">
        <f t="shared" si="34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99">SUM(C101:C106)</f>
        <v>0</v>
      </c>
      <c r="D107" s="60">
        <f t="shared" si="99"/>
        <v>0</v>
      </c>
      <c r="E107" s="60">
        <f t="shared" si="99"/>
        <v>0</v>
      </c>
      <c r="F107" s="60">
        <f t="shared" si="99"/>
        <v>0</v>
      </c>
      <c r="G107" s="60">
        <f t="shared" si="99"/>
        <v>0</v>
      </c>
      <c r="H107" s="60">
        <f t="shared" si="99"/>
        <v>0</v>
      </c>
      <c r="I107" s="60">
        <f t="shared" si="99"/>
        <v>0</v>
      </c>
      <c r="J107" s="60">
        <f t="shared" si="99"/>
        <v>0</v>
      </c>
      <c r="K107" s="60">
        <f t="shared" si="99"/>
        <v>0</v>
      </c>
      <c r="L107" s="60">
        <f t="shared" si="99"/>
        <v>0</v>
      </c>
      <c r="M107" s="60">
        <f t="shared" si="99"/>
        <v>0</v>
      </c>
      <c r="N107" s="60">
        <f t="shared" si="99"/>
        <v>0</v>
      </c>
      <c r="O107" s="60">
        <f t="shared" si="99"/>
        <v>0</v>
      </c>
      <c r="P107" s="60">
        <f t="shared" si="99"/>
        <v>0</v>
      </c>
      <c r="Q107" s="60">
        <f t="shared" si="99"/>
        <v>0</v>
      </c>
      <c r="R107" s="60">
        <f t="shared" si="99"/>
        <v>0</v>
      </c>
      <c r="S107" s="60">
        <f t="shared" si="99"/>
        <v>0</v>
      </c>
      <c r="T107" s="60">
        <f t="shared" si="99"/>
        <v>0</v>
      </c>
      <c r="U107" s="60">
        <f t="shared" si="99"/>
        <v>0</v>
      </c>
      <c r="V107" s="60">
        <f t="shared" si="99"/>
        <v>0</v>
      </c>
      <c r="W107" s="60">
        <f t="shared" si="99"/>
        <v>0</v>
      </c>
      <c r="X107" s="60">
        <f t="shared" si="99"/>
        <v>0</v>
      </c>
      <c r="Y107" s="60">
        <f t="shared" si="99"/>
        <v>0</v>
      </c>
      <c r="Z107" s="60">
        <f t="shared" si="99"/>
        <v>0</v>
      </c>
      <c r="AA107" s="60">
        <f t="shared" si="99"/>
        <v>0</v>
      </c>
      <c r="AB107" s="60">
        <f t="shared" si="99"/>
        <v>0</v>
      </c>
      <c r="AC107" s="60">
        <f t="shared" si="99"/>
        <v>0</v>
      </c>
      <c r="AD107" s="60">
        <f t="shared" si="99"/>
        <v>0</v>
      </c>
      <c r="AE107" s="60">
        <f t="shared" si="99"/>
        <v>0</v>
      </c>
      <c r="AF107" s="60">
        <f t="shared" si="99"/>
        <v>0</v>
      </c>
      <c r="AG107" s="88"/>
      <c r="AH107" s="47">
        <f t="shared" si="33"/>
        <v>0</v>
      </c>
      <c r="AI107" s="48">
        <f t="shared" si="34"/>
        <v>0</v>
      </c>
      <c r="AK107" s="50"/>
    </row>
    <row r="108" spans="1:37" ht="15.75" thickBot="1" x14ac:dyDescent="0.3">
      <c r="A108" s="74" t="s">
        <v>108</v>
      </c>
      <c r="B108" s="60">
        <f t="shared" ref="B108:AF108" si="100">B92-B107</f>
        <v>242.2</v>
      </c>
      <c r="C108" s="60">
        <f t="shared" si="100"/>
        <v>268</v>
      </c>
      <c r="D108" s="60">
        <f t="shared" si="100"/>
        <v>280.10000000000002</v>
      </c>
      <c r="E108" s="60">
        <f t="shared" si="100"/>
        <v>267.34000000000003</v>
      </c>
      <c r="F108" s="60">
        <f t="shared" si="100"/>
        <v>302.89999999999998</v>
      </c>
      <c r="G108" s="60">
        <f t="shared" si="100"/>
        <v>315.8</v>
      </c>
      <c r="H108" s="60">
        <f t="shared" si="100"/>
        <v>342</v>
      </c>
      <c r="I108" s="60">
        <f t="shared" si="100"/>
        <v>376.1</v>
      </c>
      <c r="J108" s="60">
        <f t="shared" si="100"/>
        <v>425</v>
      </c>
      <c r="K108" s="60">
        <f t="shared" si="100"/>
        <v>446.7</v>
      </c>
      <c r="L108" s="60">
        <f t="shared" si="100"/>
        <v>352</v>
      </c>
      <c r="M108" s="60">
        <f t="shared" si="100"/>
        <v>200.4</v>
      </c>
      <c r="N108" s="60">
        <f t="shared" si="100"/>
        <v>92.8</v>
      </c>
      <c r="O108" s="60">
        <f t="shared" si="100"/>
        <v>158.69999999999999</v>
      </c>
      <c r="P108" s="60">
        <f t="shared" si="100"/>
        <v>283</v>
      </c>
      <c r="Q108" s="60">
        <f t="shared" ref="Q108" si="101">Q92-Q107</f>
        <v>436</v>
      </c>
      <c r="R108" s="60">
        <f t="shared" si="100"/>
        <v>416.2</v>
      </c>
      <c r="S108" s="60">
        <f t="shared" ref="S108:T108" si="102">S92-S107</f>
        <v>365.3</v>
      </c>
      <c r="T108" s="60">
        <f t="shared" si="102"/>
        <v>449.6</v>
      </c>
      <c r="U108" s="60">
        <f t="shared" ref="U108:V108" si="103">U92-U107</f>
        <v>458.90000000000003</v>
      </c>
      <c r="V108" s="60">
        <f t="shared" si="103"/>
        <v>376.29999999999995</v>
      </c>
      <c r="W108" s="60">
        <f t="shared" ref="W108:X108" si="104">W92-W107</f>
        <v>266.5</v>
      </c>
      <c r="X108" s="60">
        <f t="shared" si="104"/>
        <v>236.8</v>
      </c>
      <c r="Y108" s="60">
        <f t="shared" ref="Y108:Z108" si="105">Y92-Y107</f>
        <v>194.60000000000002</v>
      </c>
      <c r="Z108" s="60">
        <f t="shared" si="105"/>
        <v>190.7</v>
      </c>
      <c r="AA108" s="60">
        <f t="shared" ref="AA108" si="106">AA92-AA107</f>
        <v>195.3</v>
      </c>
      <c r="AB108" s="60">
        <f t="shared" si="100"/>
        <v>303</v>
      </c>
      <c r="AC108" s="60">
        <f t="shared" si="100"/>
        <v>295.60000000000002</v>
      </c>
      <c r="AD108" s="60">
        <f t="shared" si="100"/>
        <v>340</v>
      </c>
      <c r="AE108" s="60">
        <f t="shared" si="100"/>
        <v>352.7</v>
      </c>
      <c r="AF108" s="60">
        <f t="shared" si="100"/>
        <v>331.4</v>
      </c>
      <c r="AG108" s="88"/>
      <c r="AH108" s="47">
        <f t="shared" si="33"/>
        <v>458.90000000000003</v>
      </c>
      <c r="AI108" s="48">
        <f t="shared" si="34"/>
        <v>92.8</v>
      </c>
    </row>
    <row r="109" spans="1:37" x14ac:dyDescent="0.25">
      <c r="A109" s="100" t="s">
        <v>109</v>
      </c>
      <c r="B109" s="101">
        <v>50.023000000000003</v>
      </c>
      <c r="C109" s="101">
        <v>49.97</v>
      </c>
      <c r="D109" s="101">
        <v>49.975000000000001</v>
      </c>
      <c r="E109" s="101">
        <v>50.037999999999997</v>
      </c>
      <c r="F109" s="101">
        <v>49.98</v>
      </c>
      <c r="G109" s="101">
        <v>49.976999999999997</v>
      </c>
      <c r="H109" s="101">
        <v>50</v>
      </c>
      <c r="I109" s="101">
        <v>50.017000000000003</v>
      </c>
      <c r="J109" s="101">
        <v>50.037999999999997</v>
      </c>
      <c r="K109" s="101">
        <v>50.121000000000002</v>
      </c>
      <c r="L109" s="101">
        <v>50.079000000000001</v>
      </c>
      <c r="M109" s="101">
        <v>49.999000000000002</v>
      </c>
      <c r="N109" s="101">
        <v>49.917000000000002</v>
      </c>
      <c r="O109" s="101">
        <v>49.896000000000001</v>
      </c>
      <c r="P109" s="101">
        <v>49.914999999999999</v>
      </c>
      <c r="Q109" s="101">
        <v>49.81</v>
      </c>
      <c r="R109" s="101">
        <v>49.975000000000001</v>
      </c>
      <c r="S109" s="101">
        <v>49.99</v>
      </c>
      <c r="T109" s="101">
        <v>49.99</v>
      </c>
      <c r="U109" s="101">
        <v>49.92</v>
      </c>
      <c r="V109" s="101">
        <v>49.84</v>
      </c>
      <c r="W109" s="101">
        <v>49.98</v>
      </c>
      <c r="X109" s="101">
        <v>49.64</v>
      </c>
      <c r="Y109" s="101">
        <v>49.85</v>
      </c>
      <c r="Z109" s="101">
        <v>49.85</v>
      </c>
      <c r="AA109" s="101">
        <v>49.98</v>
      </c>
      <c r="AB109" s="101">
        <v>50.054000000000002</v>
      </c>
      <c r="AC109" s="101">
        <v>49.969000000000001</v>
      </c>
      <c r="AD109" s="101">
        <v>50.03</v>
      </c>
      <c r="AE109" s="101">
        <v>49.984000000000002</v>
      </c>
      <c r="AF109" s="101">
        <v>50.033999999999999</v>
      </c>
      <c r="AG109" s="102"/>
      <c r="AH109" s="47">
        <f t="shared" si="33"/>
        <v>50.121000000000002</v>
      </c>
      <c r="AI109" s="48">
        <f t="shared" si="34"/>
        <v>49.64</v>
      </c>
    </row>
    <row r="110" spans="1:37" x14ac:dyDescent="0.25">
      <c r="A110" s="103" t="s">
        <v>110</v>
      </c>
      <c r="B110" s="65">
        <v>131</v>
      </c>
      <c r="C110" s="65">
        <v>130.69999999999999</v>
      </c>
      <c r="D110" s="65">
        <v>128.69999999999999</v>
      </c>
      <c r="E110" s="65">
        <v>129.69999999999999</v>
      </c>
      <c r="F110" s="65">
        <v>129.69999999999999</v>
      </c>
      <c r="G110" s="65">
        <v>126.7</v>
      </c>
      <c r="H110" s="65">
        <v>126.7</v>
      </c>
      <c r="I110" s="65">
        <v>125.5</v>
      </c>
      <c r="J110" s="65">
        <v>125.5</v>
      </c>
      <c r="K110" s="65">
        <v>124.9</v>
      </c>
      <c r="L110" s="65">
        <v>125.9</v>
      </c>
      <c r="M110" s="65">
        <v>123.8</v>
      </c>
      <c r="N110" s="65">
        <v>125.1</v>
      </c>
      <c r="O110" s="65">
        <v>125</v>
      </c>
      <c r="P110" s="65">
        <v>127.8</v>
      </c>
      <c r="Q110" s="65">
        <v>127.8</v>
      </c>
      <c r="R110" s="65">
        <v>126.7</v>
      </c>
      <c r="S110" s="65">
        <v>128.69999999999999</v>
      </c>
      <c r="T110" s="65">
        <v>128.1</v>
      </c>
      <c r="U110" s="65">
        <v>127.7</v>
      </c>
      <c r="V110" s="65">
        <v>127.5</v>
      </c>
      <c r="W110" s="65">
        <v>127.2</v>
      </c>
      <c r="X110" s="65">
        <v>127</v>
      </c>
      <c r="Y110" s="65">
        <v>127.6</v>
      </c>
      <c r="Z110" s="65">
        <v>126.2</v>
      </c>
      <c r="AA110" s="65">
        <v>127.8</v>
      </c>
      <c r="AB110" s="65">
        <v>128.30000000000001</v>
      </c>
      <c r="AC110" s="65">
        <v>129.5</v>
      </c>
      <c r="AD110" s="65">
        <v>126.9</v>
      </c>
      <c r="AE110" s="65">
        <v>128.80000000000001</v>
      </c>
      <c r="AF110" s="65">
        <v>128.4</v>
      </c>
      <c r="AG110" s="104"/>
      <c r="AH110" s="47">
        <f t="shared" si="33"/>
        <v>131</v>
      </c>
      <c r="AI110" s="48">
        <f t="shared" si="34"/>
        <v>123.8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3"/>
        <v>0</v>
      </c>
      <c r="AI111" s="48">
        <f t="shared" si="34"/>
        <v>0</v>
      </c>
    </row>
    <row r="112" spans="1:37" x14ac:dyDescent="0.25">
      <c r="A112" s="103" t="s">
        <v>112</v>
      </c>
      <c r="B112" s="65">
        <v>132.6</v>
      </c>
      <c r="C112" s="65">
        <v>131</v>
      </c>
      <c r="D112" s="65">
        <v>131.4</v>
      </c>
      <c r="E112" s="65">
        <v>131.69999999999999</v>
      </c>
      <c r="F112" s="65">
        <v>131.69999999999999</v>
      </c>
      <c r="G112" s="65">
        <v>130.6</v>
      </c>
      <c r="H112" s="65">
        <v>130.6</v>
      </c>
      <c r="I112" s="65">
        <v>129.74</v>
      </c>
      <c r="J112" s="65">
        <v>129.74</v>
      </c>
      <c r="K112" s="65">
        <v>124.5</v>
      </c>
      <c r="L112" s="65">
        <v>128.9</v>
      </c>
      <c r="M112" s="65">
        <v>127.6</v>
      </c>
      <c r="N112" s="65">
        <v>125.3</v>
      </c>
      <c r="O112" s="65">
        <v>129.1</v>
      </c>
      <c r="P112" s="65">
        <v>128.6</v>
      </c>
      <c r="Q112" s="65">
        <v>128.6</v>
      </c>
      <c r="R112" s="65">
        <v>132</v>
      </c>
      <c r="S112" s="65">
        <v>132.30000000000001</v>
      </c>
      <c r="T112" s="65">
        <v>129.80000000000001</v>
      </c>
      <c r="U112" s="65">
        <v>123.6</v>
      </c>
      <c r="V112" s="65">
        <v>132.19999999999999</v>
      </c>
      <c r="W112" s="65">
        <v>129.1</v>
      </c>
      <c r="X112" s="65">
        <v>124.7</v>
      </c>
      <c r="Y112" s="65">
        <v>129.4</v>
      </c>
      <c r="Z112" s="65">
        <v>129.69999999999999</v>
      </c>
      <c r="AA112" s="65">
        <v>130.19999999999999</v>
      </c>
      <c r="AB112" s="65">
        <v>132.30000000000001</v>
      </c>
      <c r="AC112" s="65">
        <v>132.80000000000001</v>
      </c>
      <c r="AD112" s="65">
        <v>130.1</v>
      </c>
      <c r="AE112" s="65">
        <v>130.80000000000001</v>
      </c>
      <c r="AF112" s="65">
        <v>131.5</v>
      </c>
      <c r="AG112" s="104"/>
      <c r="AH112" s="47">
        <f t="shared" si="33"/>
        <v>132.80000000000001</v>
      </c>
      <c r="AI112" s="48">
        <f t="shared" si="34"/>
        <v>123.6</v>
      </c>
    </row>
    <row r="113" spans="1:35" x14ac:dyDescent="0.25">
      <c r="A113" s="105" t="s">
        <v>113</v>
      </c>
      <c r="B113" s="65">
        <v>132.80000000000001</v>
      </c>
      <c r="C113" s="65">
        <v>131.9</v>
      </c>
      <c r="D113" s="65">
        <v>132</v>
      </c>
      <c r="E113" s="65">
        <v>132</v>
      </c>
      <c r="F113" s="65">
        <v>132</v>
      </c>
      <c r="G113" s="65">
        <v>130.9</v>
      </c>
      <c r="H113" s="65">
        <v>130.9</v>
      </c>
      <c r="I113" s="65">
        <v>131.4</v>
      </c>
      <c r="J113" s="65">
        <v>131.4</v>
      </c>
      <c r="K113" s="65">
        <v>127.2</v>
      </c>
      <c r="L113" s="65">
        <v>131</v>
      </c>
      <c r="M113" s="65">
        <v>130.4</v>
      </c>
      <c r="N113" s="65">
        <v>127.7</v>
      </c>
      <c r="O113" s="65">
        <v>131.30000000000001</v>
      </c>
      <c r="P113" s="65">
        <v>130.80000000000001</v>
      </c>
      <c r="Q113" s="65">
        <v>130.80000000000001</v>
      </c>
      <c r="R113" s="65">
        <v>132.30000000000001</v>
      </c>
      <c r="S113" s="65">
        <v>134.30000000000001</v>
      </c>
      <c r="T113" s="65">
        <v>132.30000000000001</v>
      </c>
      <c r="U113" s="65">
        <v>132.9</v>
      </c>
      <c r="V113" s="65">
        <v>133.80000000000001</v>
      </c>
      <c r="W113" s="65">
        <v>129.80000000000001</v>
      </c>
      <c r="X113" s="65">
        <v>125.4</v>
      </c>
      <c r="Y113" s="65">
        <v>130.5</v>
      </c>
      <c r="Z113" s="65">
        <v>131.30000000000001</v>
      </c>
      <c r="AA113" s="65">
        <v>132.4</v>
      </c>
      <c r="AB113" s="65">
        <v>134.19999999999999</v>
      </c>
      <c r="AC113" s="65">
        <v>134.9</v>
      </c>
      <c r="AD113" s="65">
        <v>132.69999999999999</v>
      </c>
      <c r="AE113" s="65">
        <v>132.1</v>
      </c>
      <c r="AF113" s="65">
        <v>131.5</v>
      </c>
      <c r="AG113" s="104"/>
      <c r="AH113" s="47">
        <f t="shared" si="33"/>
        <v>134.9</v>
      </c>
      <c r="AI113" s="48">
        <f t="shared" si="34"/>
        <v>125.4</v>
      </c>
    </row>
    <row r="114" spans="1:35" x14ac:dyDescent="0.25">
      <c r="A114" s="105" t="s">
        <v>114</v>
      </c>
      <c r="B114" s="106">
        <v>136</v>
      </c>
      <c r="C114" s="106">
        <v>132.4</v>
      </c>
      <c r="D114" s="106">
        <v>132.19999999999999</v>
      </c>
      <c r="E114" s="106">
        <v>133</v>
      </c>
      <c r="F114" s="106">
        <v>133</v>
      </c>
      <c r="G114" s="106">
        <v>129.6</v>
      </c>
      <c r="H114" s="106">
        <v>129.6</v>
      </c>
      <c r="I114" s="106">
        <v>129.69999999999999</v>
      </c>
      <c r="J114" s="106">
        <v>129.69999999999999</v>
      </c>
      <c r="K114" s="106">
        <v>131.5</v>
      </c>
      <c r="L114" s="106">
        <v>134</v>
      </c>
      <c r="M114" s="106">
        <v>132.9</v>
      </c>
      <c r="N114" s="106">
        <v>133.80000000000001</v>
      </c>
      <c r="O114" s="106">
        <v>133.1</v>
      </c>
      <c r="P114" s="106">
        <v>135.30000000000001</v>
      </c>
      <c r="Q114" s="106">
        <v>135.30000000000001</v>
      </c>
      <c r="R114" s="106">
        <v>132.9</v>
      </c>
      <c r="S114" s="106">
        <v>132.80000000000001</v>
      </c>
      <c r="T114" s="106">
        <v>134.19999999999999</v>
      </c>
      <c r="U114" s="106">
        <v>134.19999999999999</v>
      </c>
      <c r="V114" s="106">
        <v>91.6</v>
      </c>
      <c r="W114" s="106">
        <v>132.80000000000001</v>
      </c>
      <c r="X114" s="106">
        <v>131.9</v>
      </c>
      <c r="Y114" s="106">
        <v>132.80000000000001</v>
      </c>
      <c r="Z114" s="106">
        <v>131.69999999999999</v>
      </c>
      <c r="AA114" s="106">
        <v>134.30000000000001</v>
      </c>
      <c r="AB114" s="106" t="s">
        <v>417</v>
      </c>
      <c r="AC114" s="106">
        <v>135.5</v>
      </c>
      <c r="AD114" s="106">
        <v>134.80000000000001</v>
      </c>
      <c r="AE114" s="106">
        <v>133.5</v>
      </c>
      <c r="AF114" s="106">
        <v>133.6</v>
      </c>
      <c r="AG114" s="107"/>
      <c r="AH114" s="47">
        <f t="shared" si="33"/>
        <v>136</v>
      </c>
      <c r="AI114" s="48">
        <f t="shared" si="34"/>
        <v>91.6</v>
      </c>
    </row>
    <row r="115" spans="1:35" x14ac:dyDescent="0.25">
      <c r="A115" s="103" t="s">
        <v>115</v>
      </c>
      <c r="B115" s="65">
        <v>131.80000000000001</v>
      </c>
      <c r="C115" s="65">
        <v>132.30000000000001</v>
      </c>
      <c r="D115" s="65">
        <v>129.69999999999999</v>
      </c>
      <c r="E115" s="65">
        <v>135</v>
      </c>
      <c r="F115" s="65">
        <v>135</v>
      </c>
      <c r="G115" s="65">
        <v>132</v>
      </c>
      <c r="H115" s="65">
        <v>132</v>
      </c>
      <c r="I115" s="65">
        <v>130.4</v>
      </c>
      <c r="J115" s="65">
        <v>130.4</v>
      </c>
      <c r="K115" s="65">
        <v>132</v>
      </c>
      <c r="L115" s="65">
        <v>133</v>
      </c>
      <c r="M115" s="65">
        <v>132.30000000000001</v>
      </c>
      <c r="N115" s="65">
        <v>129.69999999999999</v>
      </c>
      <c r="O115" s="65">
        <v>128.1</v>
      </c>
      <c r="P115" s="65">
        <v>131</v>
      </c>
      <c r="Q115" s="65">
        <v>131</v>
      </c>
      <c r="R115" s="65">
        <v>132.9</v>
      </c>
      <c r="S115" s="65">
        <v>132.9</v>
      </c>
      <c r="T115" s="65">
        <v>130.4</v>
      </c>
      <c r="U115" s="65">
        <v>130.1</v>
      </c>
      <c r="V115" s="65">
        <v>132.30000000000001</v>
      </c>
      <c r="W115" s="65">
        <v>131.5</v>
      </c>
      <c r="X115" s="65">
        <v>127.6</v>
      </c>
      <c r="Y115" s="65">
        <v>134.6</v>
      </c>
      <c r="Z115" s="65">
        <v>129.4</v>
      </c>
      <c r="AA115" s="65">
        <v>133.6</v>
      </c>
      <c r="AB115" s="65">
        <v>131.4</v>
      </c>
      <c r="AC115" s="65">
        <v>129.6</v>
      </c>
      <c r="AD115" s="65">
        <v>131.6</v>
      </c>
      <c r="AE115" s="65">
        <v>130.6</v>
      </c>
      <c r="AF115" s="65">
        <v>129.80000000000001</v>
      </c>
      <c r="AG115" s="104"/>
      <c r="AH115" s="47">
        <f t="shared" si="33"/>
        <v>135</v>
      </c>
      <c r="AI115" s="48">
        <f t="shared" si="34"/>
        <v>127.6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3"/>
        <v>0</v>
      </c>
      <c r="AI116" s="48">
        <f t="shared" si="34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3"/>
        <v>0</v>
      </c>
      <c r="AI117" s="48">
        <f t="shared" si="34"/>
        <v>0</v>
      </c>
    </row>
    <row r="118" spans="1:35" ht="15.75" thickBot="1" x14ac:dyDescent="0.3">
      <c r="A118" s="110" t="s">
        <v>118</v>
      </c>
      <c r="B118" s="111">
        <f t="shared" ref="B118:O118" si="107">SUM(B22,B28,B31:B32,B66,B68:B69,B71,B73,B119:B123,B155,B161,B167,B176,B178,B190,B197,B200:B201,B208,B210,B212,B216:B218,B220:B222,B227,B233:B234,B236:B238,B246,B251)</f>
        <v>151.261</v>
      </c>
      <c r="C118" s="111">
        <f t="shared" si="107"/>
        <v>128.39299999999997</v>
      </c>
      <c r="D118" s="111">
        <f t="shared" si="107"/>
        <v>123.83500000000001</v>
      </c>
      <c r="E118" s="111">
        <f t="shared" si="107"/>
        <v>117.53999999999998</v>
      </c>
      <c r="F118" s="111">
        <f t="shared" si="107"/>
        <v>115.73999999999998</v>
      </c>
      <c r="G118" s="111">
        <f t="shared" si="107"/>
        <v>155.54</v>
      </c>
      <c r="H118" s="111">
        <f t="shared" si="107"/>
        <v>168.44</v>
      </c>
      <c r="I118" s="111">
        <f t="shared" si="107"/>
        <v>177.54</v>
      </c>
      <c r="J118" s="111">
        <f t="shared" si="107"/>
        <v>235.64</v>
      </c>
      <c r="K118" s="111">
        <f t="shared" si="107"/>
        <v>240.04</v>
      </c>
      <c r="L118" s="111">
        <f t="shared" si="107"/>
        <v>300.44</v>
      </c>
      <c r="M118" s="111">
        <f t="shared" si="107"/>
        <v>225.94</v>
      </c>
      <c r="N118" s="111">
        <f t="shared" si="107"/>
        <v>235.04</v>
      </c>
      <c r="O118" s="111">
        <f t="shared" si="107"/>
        <v>225.74</v>
      </c>
      <c r="P118" s="111">
        <v>42</v>
      </c>
      <c r="Q118" s="111">
        <v>42</v>
      </c>
      <c r="R118" s="111">
        <f t="shared" ref="R118:AC118" si="108">SUM(R22,R28,R31:R32,R66,R68:R69,R71,R73,R119:R123,R155,R161,R167,R176,R178,R190,R197,R200:R201,R208,R210,R212,R216:R218,R220:R222,R227,R233:R234,R236:R238,R246,R251)</f>
        <v>222.94</v>
      </c>
      <c r="S118" s="111">
        <f t="shared" si="108"/>
        <v>214.09</v>
      </c>
      <c r="T118" s="111">
        <f t="shared" si="108"/>
        <v>203.29</v>
      </c>
      <c r="U118" s="111">
        <f t="shared" si="108"/>
        <v>213.14</v>
      </c>
      <c r="V118" s="111">
        <f t="shared" si="108"/>
        <v>235.24</v>
      </c>
      <c r="W118" s="111">
        <f t="shared" si="108"/>
        <v>283.36</v>
      </c>
      <c r="X118" s="111">
        <f t="shared" si="108"/>
        <v>335.82</v>
      </c>
      <c r="Y118" s="111">
        <f t="shared" si="108"/>
        <v>351.48</v>
      </c>
      <c r="Z118" s="111">
        <f t="shared" si="108"/>
        <v>342.64</v>
      </c>
      <c r="AA118" s="111">
        <f t="shared" si="108"/>
        <v>331.28000000000003</v>
      </c>
      <c r="AB118" s="111">
        <f t="shared" si="108"/>
        <v>282.83999999999997</v>
      </c>
      <c r="AC118" s="111">
        <f t="shared" si="108"/>
        <v>256.64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214.44</v>
      </c>
      <c r="AF118" s="111">
        <f>SUM(AF22,AF28,AF31:AF32,AF66,AF68:AF69,AF71,AF73,AF119:AF123,AF155,AF161,AF167,AF176,AF178,AF190,AF197,AF200:AF201,AF208,AF210,AF212,AF216:AF218,AF220:AF222,AF227,AF233:AF234,AF236:AF238,AF246,AF251)</f>
        <v>170.34</v>
      </c>
      <c r="AG118" s="112"/>
      <c r="AH118" s="47">
        <f t="shared" si="33"/>
        <v>351.48</v>
      </c>
      <c r="AI118" s="48">
        <f t="shared" si="34"/>
        <v>42</v>
      </c>
    </row>
    <row r="119" spans="1:35" x14ac:dyDescent="0.25">
      <c r="A119" s="181" t="s">
        <v>119</v>
      </c>
      <c r="B119" s="113">
        <v>37.200000000000003</v>
      </c>
      <c r="C119" s="113">
        <v>22.4</v>
      </c>
      <c r="D119" s="113">
        <v>24.8</v>
      </c>
      <c r="E119" s="113">
        <v>27.2</v>
      </c>
      <c r="F119" s="113">
        <v>18.100000000000001</v>
      </c>
      <c r="G119" s="113">
        <v>57.9</v>
      </c>
      <c r="H119" s="113">
        <v>61.5</v>
      </c>
      <c r="I119" s="113">
        <v>50.9</v>
      </c>
      <c r="J119" s="113">
        <v>69</v>
      </c>
      <c r="K119" s="113">
        <v>67.400000000000006</v>
      </c>
      <c r="L119" s="113">
        <v>87.8</v>
      </c>
      <c r="M119" s="113"/>
      <c r="N119" s="113"/>
      <c r="O119" s="113"/>
      <c r="P119" s="113"/>
      <c r="Q119" s="113">
        <v>82</v>
      </c>
      <c r="R119" s="113">
        <v>78.400000000000006</v>
      </c>
      <c r="S119" s="113">
        <v>45.7</v>
      </c>
      <c r="T119" s="113">
        <v>41.6</v>
      </c>
      <c r="U119" s="113">
        <v>48.4</v>
      </c>
      <c r="V119" s="113">
        <v>78.400000000000006</v>
      </c>
      <c r="W119" s="113">
        <v>95.4</v>
      </c>
      <c r="X119" s="113">
        <v>90.5</v>
      </c>
      <c r="Y119" s="113">
        <v>86.4</v>
      </c>
      <c r="Z119" s="113">
        <v>87.6</v>
      </c>
      <c r="AA119" s="113">
        <v>95.6</v>
      </c>
      <c r="AB119" s="113">
        <v>103.5</v>
      </c>
      <c r="AC119" s="113">
        <v>65</v>
      </c>
      <c r="AD119" s="113">
        <v>56.4</v>
      </c>
      <c r="AE119" s="113">
        <v>68.3</v>
      </c>
      <c r="AF119" s="113">
        <v>44.5</v>
      </c>
      <c r="AG119" s="114">
        <v>75</v>
      </c>
      <c r="AH119" s="47">
        <f t="shared" si="33"/>
        <v>103.5</v>
      </c>
      <c r="AI119" s="48">
        <f t="shared" si="34"/>
        <v>18.100000000000001</v>
      </c>
    </row>
    <row r="120" spans="1:35" x14ac:dyDescent="0.25">
      <c r="A120" s="182" t="s">
        <v>120</v>
      </c>
      <c r="B120" s="115">
        <v>0</v>
      </c>
      <c r="C120" s="115">
        <v>0</v>
      </c>
      <c r="D120" s="115">
        <v>0</v>
      </c>
      <c r="E120" s="115">
        <v>0</v>
      </c>
      <c r="F120" s="115">
        <v>0</v>
      </c>
      <c r="G120" s="115">
        <v>0</v>
      </c>
      <c r="H120" s="115">
        <v>0</v>
      </c>
      <c r="I120" s="115">
        <v>0</v>
      </c>
      <c r="J120" s="115">
        <v>0</v>
      </c>
      <c r="K120" s="115">
        <v>0</v>
      </c>
      <c r="L120" s="115">
        <v>0</v>
      </c>
      <c r="M120" s="115">
        <v>0</v>
      </c>
      <c r="N120" s="115">
        <v>0</v>
      </c>
      <c r="O120" s="115">
        <v>0</v>
      </c>
      <c r="P120" s="115">
        <v>0</v>
      </c>
      <c r="Q120" s="115">
        <v>0</v>
      </c>
      <c r="R120" s="115">
        <v>0</v>
      </c>
      <c r="S120" s="115">
        <v>0</v>
      </c>
      <c r="T120" s="115">
        <v>0</v>
      </c>
      <c r="U120" s="115">
        <v>0</v>
      </c>
      <c r="V120" s="115">
        <v>0</v>
      </c>
      <c r="W120" s="115">
        <v>0</v>
      </c>
      <c r="X120" s="115">
        <v>0</v>
      </c>
      <c r="Y120" s="115">
        <v>0</v>
      </c>
      <c r="Z120" s="115">
        <v>0</v>
      </c>
      <c r="AA120" s="115">
        <v>0</v>
      </c>
      <c r="AB120" s="115">
        <v>0</v>
      </c>
      <c r="AC120" s="115">
        <v>0</v>
      </c>
      <c r="AD120" s="115">
        <v>0</v>
      </c>
      <c r="AE120" s="115">
        <v>0</v>
      </c>
      <c r="AF120" s="115"/>
      <c r="AG120" s="114">
        <v>240</v>
      </c>
      <c r="AH120" s="47">
        <f t="shared" si="33"/>
        <v>0</v>
      </c>
      <c r="AI120" s="48">
        <f t="shared" si="34"/>
        <v>0</v>
      </c>
    </row>
    <row r="121" spans="1:35" x14ac:dyDescent="0.25">
      <c r="A121" s="182" t="s">
        <v>121</v>
      </c>
      <c r="B121" s="115">
        <v>-37.6</v>
      </c>
      <c r="C121" s="115">
        <v>-45</v>
      </c>
      <c r="D121" s="115">
        <v>-56</v>
      </c>
      <c r="E121" s="115">
        <v>-55.3</v>
      </c>
      <c r="F121" s="115">
        <v>-54</v>
      </c>
      <c r="G121" s="115">
        <v>-61</v>
      </c>
      <c r="H121" s="115">
        <v>-49.7</v>
      </c>
      <c r="I121" s="115">
        <v>-43</v>
      </c>
      <c r="J121" s="115">
        <v>-30</v>
      </c>
      <c r="K121" s="115">
        <v>-29</v>
      </c>
      <c r="L121" s="115">
        <v>-3</v>
      </c>
      <c r="M121" s="115">
        <f>-6-5.4</f>
        <v>-11.4</v>
      </c>
      <c r="N121" s="115">
        <v>11.5</v>
      </c>
      <c r="O121" s="115" t="s">
        <v>416</v>
      </c>
      <c r="P121" s="115">
        <v>3.6</v>
      </c>
      <c r="Q121" s="115">
        <v>-35</v>
      </c>
      <c r="R121" s="115">
        <f>-2.6-8.7</f>
        <v>-11.299999999999999</v>
      </c>
      <c r="S121" s="115">
        <v>-48</v>
      </c>
      <c r="T121" s="115">
        <v>-40</v>
      </c>
      <c r="U121" s="115">
        <v>-35</v>
      </c>
      <c r="V121" s="115">
        <v>-26</v>
      </c>
      <c r="W121" s="115">
        <v>-14</v>
      </c>
      <c r="X121" s="115">
        <v>16</v>
      </c>
      <c r="Y121" s="115">
        <v>16.399999999999999</v>
      </c>
      <c r="Z121" s="115">
        <v>15</v>
      </c>
      <c r="AA121" s="115">
        <v>11</v>
      </c>
      <c r="AB121" s="115">
        <v>-24.6</v>
      </c>
      <c r="AC121" s="115">
        <v>-16.8</v>
      </c>
      <c r="AD121" s="115">
        <f>-4-5.9</f>
        <v>-9.9</v>
      </c>
      <c r="AE121" s="115">
        <f>-17.9-21.7</f>
        <v>-39.599999999999994</v>
      </c>
      <c r="AF121" s="115">
        <f>-25-28.6</f>
        <v>-53.6</v>
      </c>
      <c r="AG121" s="114">
        <v>240</v>
      </c>
      <c r="AH121" s="47">
        <f t="shared" si="33"/>
        <v>16.399999999999999</v>
      </c>
      <c r="AI121" s="48">
        <f t="shared" si="34"/>
        <v>-61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33"/>
        <v>0</v>
      </c>
      <c r="AI122" s="48">
        <f t="shared" si="34"/>
        <v>0</v>
      </c>
    </row>
    <row r="123" spans="1:35" x14ac:dyDescent="0.25">
      <c r="A123" s="181" t="s">
        <v>267</v>
      </c>
      <c r="B123" s="117">
        <f>26.3*1.67</f>
        <v>43.920999999999999</v>
      </c>
      <c r="C123" s="117">
        <f>25.9*1.67</f>
        <v>43.252999999999993</v>
      </c>
      <c r="D123" s="117">
        <f>28.5*1.67</f>
        <v>47.594999999999999</v>
      </c>
      <c r="E123" s="117">
        <v>39</v>
      </c>
      <c r="F123" s="117">
        <v>45</v>
      </c>
      <c r="G123" s="117">
        <v>52</v>
      </c>
      <c r="H123" s="117">
        <v>50</v>
      </c>
      <c r="I123" s="117">
        <v>63</v>
      </c>
      <c r="J123" s="117">
        <v>90</v>
      </c>
      <c r="K123" s="117">
        <v>95</v>
      </c>
      <c r="L123" s="117">
        <v>109</v>
      </c>
      <c r="M123" s="117">
        <f>88*1.5</f>
        <v>132</v>
      </c>
      <c r="N123" s="117">
        <f>78*1.5</f>
        <v>117</v>
      </c>
      <c r="O123" s="117">
        <f>78*1.5</f>
        <v>117</v>
      </c>
      <c r="P123" s="117">
        <f>69*1.5</f>
        <v>103.5</v>
      </c>
      <c r="Q123" s="117">
        <v>75</v>
      </c>
      <c r="R123" s="117">
        <f>55*1.5</f>
        <v>82.5</v>
      </c>
      <c r="S123" s="117">
        <f>57.9*1.5</f>
        <v>86.85</v>
      </c>
      <c r="T123" s="117">
        <f>57.9*1.5</f>
        <v>86.85</v>
      </c>
      <c r="U123" s="117">
        <f>60.4*1.5</f>
        <v>90.6</v>
      </c>
      <c r="V123" s="117">
        <f>50.6*1.5</f>
        <v>75.900000000000006</v>
      </c>
      <c r="W123" s="117">
        <f>59.7*1.6</f>
        <v>95.52000000000001</v>
      </c>
      <c r="X123" s="117">
        <f>76.8*1.6</f>
        <v>122.88</v>
      </c>
      <c r="Y123" s="117">
        <f>88.9*1.6</f>
        <v>142.24</v>
      </c>
      <c r="Z123" s="117">
        <f>83.5*1.6</f>
        <v>133.6</v>
      </c>
      <c r="AA123" s="117">
        <f>73.9*1.6</f>
        <v>118.24000000000001</v>
      </c>
      <c r="AB123" s="117">
        <f>65*1.5</f>
        <v>97.5</v>
      </c>
      <c r="AC123" s="117">
        <f>68*1.5</f>
        <v>102</v>
      </c>
      <c r="AD123" s="117">
        <f>68*1.5</f>
        <v>102</v>
      </c>
      <c r="AE123" s="117">
        <f>50*1.5</f>
        <v>75</v>
      </c>
      <c r="AF123" s="117">
        <f>46*1.5</f>
        <v>69</v>
      </c>
      <c r="AG123" s="118">
        <v>120</v>
      </c>
      <c r="AH123" s="47">
        <f t="shared" si="33"/>
        <v>142.24</v>
      </c>
      <c r="AI123" s="48">
        <f t="shared" si="34"/>
        <v>39</v>
      </c>
    </row>
    <row r="124" spans="1:35" x14ac:dyDescent="0.25">
      <c r="A124" s="182" t="s">
        <v>266</v>
      </c>
      <c r="B124" s="117">
        <v>51.2</v>
      </c>
      <c r="C124" s="117">
        <v>51.3</v>
      </c>
      <c r="D124" s="117">
        <v>53.8</v>
      </c>
      <c r="E124" s="117">
        <v>51.9</v>
      </c>
      <c r="F124" s="117">
        <v>61.1</v>
      </c>
      <c r="G124" s="117">
        <v>57.8</v>
      </c>
      <c r="H124" s="117">
        <v>57.2</v>
      </c>
      <c r="I124" s="117">
        <v>74.5</v>
      </c>
      <c r="J124" s="117">
        <v>78.2</v>
      </c>
      <c r="K124" s="117">
        <v>83.4</v>
      </c>
      <c r="L124" s="117">
        <v>88.1</v>
      </c>
      <c r="M124" s="117">
        <v>99</v>
      </c>
      <c r="N124" s="117">
        <v>92.1</v>
      </c>
      <c r="O124" s="117">
        <v>90.6</v>
      </c>
      <c r="P124" s="117">
        <v>85.6</v>
      </c>
      <c r="Q124" s="117">
        <v>75</v>
      </c>
      <c r="R124" s="117">
        <v>73</v>
      </c>
      <c r="S124" s="117">
        <v>72.8</v>
      </c>
      <c r="T124" s="117">
        <v>75.2</v>
      </c>
      <c r="U124" s="117">
        <v>78.099999999999994</v>
      </c>
      <c r="V124" s="117">
        <v>69.099999999999994</v>
      </c>
      <c r="W124" s="117">
        <v>77.2</v>
      </c>
      <c r="X124" s="117">
        <v>92.5</v>
      </c>
      <c r="Y124" s="117">
        <v>100.6</v>
      </c>
      <c r="Z124" s="117">
        <v>95.3</v>
      </c>
      <c r="AA124" s="117">
        <v>88.25</v>
      </c>
      <c r="AB124" s="117">
        <v>82</v>
      </c>
      <c r="AC124" s="117">
        <v>85.3</v>
      </c>
      <c r="AD124" s="117">
        <v>68.099999999999994</v>
      </c>
      <c r="AE124" s="117">
        <v>71</v>
      </c>
      <c r="AF124" s="117">
        <v>68.2</v>
      </c>
      <c r="AG124" s="118"/>
      <c r="AH124" s="47"/>
      <c r="AI124" s="48"/>
    </row>
    <row r="125" spans="1:35" x14ac:dyDescent="0.25">
      <c r="A125" s="182" t="s">
        <v>263</v>
      </c>
      <c r="B125" s="117">
        <v>13.9</v>
      </c>
      <c r="C125" s="117">
        <v>27.2</v>
      </c>
      <c r="D125" s="117">
        <v>34.4</v>
      </c>
      <c r="E125" s="117">
        <v>32.700000000000003</v>
      </c>
      <c r="F125" s="117">
        <v>46.7</v>
      </c>
      <c r="G125" s="117">
        <v>26.6</v>
      </c>
      <c r="H125" s="117">
        <v>13.2</v>
      </c>
      <c r="I125" s="117">
        <v>25.5</v>
      </c>
      <c r="J125" s="117">
        <v>6.9</v>
      </c>
      <c r="K125" s="117">
        <v>-4.5999999999999996</v>
      </c>
      <c r="L125" s="117">
        <v>-25.7</v>
      </c>
      <c r="M125" s="117">
        <v>-21.7</v>
      </c>
      <c r="N125" s="117">
        <v>-31</v>
      </c>
      <c r="O125" s="117">
        <v>-17.7</v>
      </c>
      <c r="P125" s="117">
        <v>11.5</v>
      </c>
      <c r="Q125" s="117">
        <v>0</v>
      </c>
      <c r="R125" s="117">
        <v>15.1</v>
      </c>
      <c r="S125" s="117">
        <v>25.1</v>
      </c>
      <c r="T125" s="117">
        <v>28.7</v>
      </c>
      <c r="U125" s="117">
        <v>23.4</v>
      </c>
      <c r="V125" s="117">
        <v>-2.2000000000000002</v>
      </c>
      <c r="W125" s="117">
        <v>-12.1</v>
      </c>
      <c r="X125" s="117">
        <v>-21.7</v>
      </c>
      <c r="Y125" s="117">
        <v>-20.100000000000001</v>
      </c>
      <c r="Z125" s="117">
        <v>-23.9</v>
      </c>
      <c r="AA125" s="117">
        <v>-31.4</v>
      </c>
      <c r="AB125" s="117">
        <v>-36.6</v>
      </c>
      <c r="AC125" s="117">
        <v>-10.8</v>
      </c>
      <c r="AD125" s="117">
        <v>8</v>
      </c>
      <c r="AE125" s="117">
        <v>12.8</v>
      </c>
      <c r="AF125" s="117">
        <v>34.799999999999997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44.9</v>
      </c>
      <c r="C126" s="117">
        <v>46.3</v>
      </c>
      <c r="D126" s="117">
        <v>55.8</v>
      </c>
      <c r="E126" s="117">
        <v>53.7</v>
      </c>
      <c r="F126" s="117">
        <v>66.099999999999994</v>
      </c>
      <c r="G126" s="117">
        <v>69</v>
      </c>
      <c r="H126" s="117">
        <v>63</v>
      </c>
      <c r="I126" s="117">
        <v>86.5</v>
      </c>
      <c r="J126" s="117">
        <v>86</v>
      </c>
      <c r="K126" s="117">
        <v>94</v>
      </c>
      <c r="L126" s="117">
        <v>77.7</v>
      </c>
      <c r="M126" s="117">
        <v>88.7</v>
      </c>
      <c r="N126" s="117">
        <v>79.900000000000006</v>
      </c>
      <c r="O126" s="117">
        <v>83.9</v>
      </c>
      <c r="P126" s="117">
        <v>92.6</v>
      </c>
      <c r="Q126" s="117">
        <v>90</v>
      </c>
      <c r="R126" s="117">
        <v>88.6</v>
      </c>
      <c r="S126" s="117">
        <v>89.4</v>
      </c>
      <c r="T126" s="117">
        <v>91.1</v>
      </c>
      <c r="U126" s="117">
        <v>97.1</v>
      </c>
      <c r="V126" s="117">
        <v>75.8</v>
      </c>
      <c r="W126" s="117">
        <v>75</v>
      </c>
      <c r="X126" s="117">
        <v>82</v>
      </c>
      <c r="Y126" s="117">
        <v>88.8</v>
      </c>
      <c r="Z126" s="117">
        <v>80</v>
      </c>
      <c r="AA126" s="117">
        <v>71.8</v>
      </c>
      <c r="AB126" s="117">
        <v>72.400000000000006</v>
      </c>
      <c r="AC126" s="117">
        <v>81.099999999999994</v>
      </c>
      <c r="AD126" s="117">
        <v>90.5</v>
      </c>
      <c r="AE126" s="117">
        <v>85</v>
      </c>
      <c r="AF126" s="117">
        <v>87</v>
      </c>
      <c r="AG126" s="114"/>
      <c r="AH126" s="47">
        <f t="shared" si="33"/>
        <v>97.1</v>
      </c>
      <c r="AI126" s="48">
        <f t="shared" si="34"/>
        <v>44.9</v>
      </c>
    </row>
    <row r="127" spans="1:35" x14ac:dyDescent="0.25">
      <c r="A127" s="181" t="s">
        <v>264</v>
      </c>
      <c r="B127" s="117">
        <v>-4.9000000000000004</v>
      </c>
      <c r="C127" s="117">
        <v>7.5</v>
      </c>
      <c r="D127" s="117">
        <v>0</v>
      </c>
      <c r="E127" s="117">
        <v>0</v>
      </c>
      <c r="F127" s="117">
        <v>9.1999999999999993</v>
      </c>
      <c r="G127" s="117">
        <v>-6.3</v>
      </c>
      <c r="H127" s="117">
        <v>-12.3</v>
      </c>
      <c r="I127" s="117">
        <v>1</v>
      </c>
      <c r="J127" s="117">
        <v>1.6</v>
      </c>
      <c r="K127" s="117">
        <v>-3.7</v>
      </c>
      <c r="L127" s="117">
        <v>-21.2</v>
      </c>
      <c r="M127" s="117">
        <v>-17.600000000000001</v>
      </c>
      <c r="N127" s="117">
        <v>-17</v>
      </c>
      <c r="O127" s="117">
        <v>-7.4</v>
      </c>
      <c r="P127" s="117">
        <v>-17.5</v>
      </c>
      <c r="Q127" s="117">
        <v>-20</v>
      </c>
      <c r="R127" s="117">
        <v>-18.399999999999999</v>
      </c>
      <c r="S127" s="117">
        <v>-1.9</v>
      </c>
      <c r="T127" s="117">
        <v>-2.9</v>
      </c>
      <c r="U127" s="117">
        <v>-2.4</v>
      </c>
      <c r="V127" s="117">
        <v>-21.3</v>
      </c>
      <c r="W127" s="117">
        <v>-33.6</v>
      </c>
      <c r="X127" s="117">
        <v>-21.2</v>
      </c>
      <c r="Y127" s="117">
        <v>-17.899999999999999</v>
      </c>
      <c r="Z127" s="117">
        <v>-14.6</v>
      </c>
      <c r="AA127" s="117">
        <v>-20.399999999999999</v>
      </c>
      <c r="AB127" s="117">
        <v>-31.2</v>
      </c>
      <c r="AC127" s="117">
        <v>-3.3</v>
      </c>
      <c r="AD127" s="117">
        <v>-4.5999999999999996</v>
      </c>
      <c r="AE127" s="117">
        <v>-14.8</v>
      </c>
      <c r="AF127" s="106">
        <v>-2</v>
      </c>
      <c r="AG127" s="114"/>
      <c r="AH127" s="47">
        <f t="shared" si="33"/>
        <v>9.1999999999999993</v>
      </c>
      <c r="AI127" s="48">
        <f t="shared" si="34"/>
        <v>-33.6</v>
      </c>
    </row>
    <row r="128" spans="1:35" x14ac:dyDescent="0.25">
      <c r="A128" s="182" t="s">
        <v>126</v>
      </c>
      <c r="B128" s="106">
        <v>-1.1000000000000001</v>
      </c>
      <c r="C128" s="106">
        <v>-0.7</v>
      </c>
      <c r="D128" s="106">
        <v>-0.6</v>
      </c>
      <c r="E128" s="106">
        <v>-1.9</v>
      </c>
      <c r="F128" s="106">
        <v>0</v>
      </c>
      <c r="G128" s="106">
        <v>-2</v>
      </c>
      <c r="H128" s="106">
        <v>-6.9</v>
      </c>
      <c r="I128" s="106">
        <v>-10.9</v>
      </c>
      <c r="J128" s="106">
        <v>-19.96</v>
      </c>
      <c r="K128" s="106">
        <v>-21.8</v>
      </c>
      <c r="L128" s="106">
        <v>-29.2</v>
      </c>
      <c r="M128" s="106">
        <v>-25.3</v>
      </c>
      <c r="N128" s="106">
        <v>-26</v>
      </c>
      <c r="O128" s="106">
        <v>-20.5</v>
      </c>
      <c r="P128" s="106">
        <v>-11.5</v>
      </c>
      <c r="Q128" s="106">
        <v>-9</v>
      </c>
      <c r="R128" s="106">
        <v>-5.4</v>
      </c>
      <c r="S128" s="106">
        <v>-7.6</v>
      </c>
      <c r="T128" s="106">
        <v>-6.9</v>
      </c>
      <c r="U128" s="106">
        <v>-8.6999999999999993</v>
      </c>
      <c r="V128" s="106">
        <v>-20.5</v>
      </c>
      <c r="W128" s="106">
        <v>-36.4</v>
      </c>
      <c r="X128" s="106">
        <v>-47.5</v>
      </c>
      <c r="Y128" s="106">
        <v>-43.4</v>
      </c>
      <c r="Z128" s="106">
        <v>-39.1</v>
      </c>
      <c r="AA128" s="106">
        <v>-35.700000000000003</v>
      </c>
      <c r="AB128" s="106">
        <v>-28.9</v>
      </c>
      <c r="AC128" s="106">
        <v>-21</v>
      </c>
      <c r="AD128" s="106">
        <v>-16.8</v>
      </c>
      <c r="AE128" s="106">
        <v>-10.7</v>
      </c>
      <c r="AF128" s="106">
        <v>-5</v>
      </c>
      <c r="AG128" s="114"/>
      <c r="AH128" s="47">
        <f t="shared" si="33"/>
        <v>0</v>
      </c>
      <c r="AI128" s="48">
        <f t="shared" si="34"/>
        <v>-47.5</v>
      </c>
    </row>
    <row r="129" spans="1:37" x14ac:dyDescent="0.25">
      <c r="A129" s="182" t="s">
        <v>268</v>
      </c>
      <c r="B129" s="106">
        <v>28.1</v>
      </c>
      <c r="C129" s="106">
        <v>23.5</v>
      </c>
      <c r="D129" s="106">
        <v>29.2</v>
      </c>
      <c r="E129" s="106">
        <v>31.8</v>
      </c>
      <c r="F129" s="106">
        <v>20</v>
      </c>
      <c r="G129" s="106">
        <v>33.200000000000003</v>
      </c>
      <c r="H129" s="106">
        <v>34.700000000000003</v>
      </c>
      <c r="I129" s="106">
        <v>15.4</v>
      </c>
      <c r="J129" s="106">
        <v>14.3</v>
      </c>
      <c r="K129" s="106">
        <v>17.100000000000001</v>
      </c>
      <c r="L129" s="106">
        <v>7.3</v>
      </c>
      <c r="M129" s="106">
        <v>0</v>
      </c>
      <c r="N129" s="106">
        <v>22.4</v>
      </c>
      <c r="O129" s="106">
        <v>24.3</v>
      </c>
      <c r="P129" s="106">
        <v>31.3</v>
      </c>
      <c r="Q129" s="106">
        <v>33</v>
      </c>
      <c r="R129" s="106">
        <v>28.7</v>
      </c>
      <c r="S129" s="106">
        <v>24.7</v>
      </c>
      <c r="T129" s="106">
        <v>18.7</v>
      </c>
      <c r="U129" s="106">
        <v>12.9</v>
      </c>
      <c r="V129" s="106">
        <v>21</v>
      </c>
      <c r="W129" s="106">
        <v>19.5</v>
      </c>
      <c r="X129" s="106">
        <v>-8.1</v>
      </c>
      <c r="Y129" s="106">
        <v>-3.8</v>
      </c>
      <c r="Z129" s="106">
        <v>-3.1</v>
      </c>
      <c r="AA129" s="106">
        <v>2.7</v>
      </c>
      <c r="AB129" s="106">
        <v>3.1</v>
      </c>
      <c r="AC129" s="106">
        <v>-7.5</v>
      </c>
      <c r="AD129" s="106">
        <v>8.5</v>
      </c>
      <c r="AE129" s="106">
        <v>28.6</v>
      </c>
      <c r="AF129" s="106">
        <v>19.5</v>
      </c>
      <c r="AG129" s="114"/>
      <c r="AH129" s="47">
        <f t="shared" si="33"/>
        <v>34.700000000000003</v>
      </c>
      <c r="AI129" s="48">
        <f t="shared" si="34"/>
        <v>-8.1</v>
      </c>
    </row>
    <row r="130" spans="1:37" ht="15.75" thickBot="1" x14ac:dyDescent="0.3">
      <c r="A130" s="182" t="s">
        <v>265</v>
      </c>
      <c r="B130" s="106">
        <v>68.8</v>
      </c>
      <c r="C130" s="106">
        <v>73.7</v>
      </c>
      <c r="D130" s="106">
        <v>74.099999999999994</v>
      </c>
      <c r="E130" s="106">
        <v>73.400000000000006</v>
      </c>
      <c r="F130" s="106">
        <v>71</v>
      </c>
      <c r="G130" s="106">
        <v>76.8</v>
      </c>
      <c r="H130" s="106">
        <v>84.8</v>
      </c>
      <c r="I130" s="106">
        <v>83.2</v>
      </c>
      <c r="J130" s="106">
        <v>94.2</v>
      </c>
      <c r="K130" s="106">
        <v>100.8</v>
      </c>
      <c r="L130" s="106">
        <v>107.2</v>
      </c>
      <c r="M130" s="106">
        <v>95.5</v>
      </c>
      <c r="N130" s="106">
        <v>103.2</v>
      </c>
      <c r="O130" s="106">
        <v>102.7</v>
      </c>
      <c r="P130" s="106">
        <v>100.5</v>
      </c>
      <c r="Q130" s="106">
        <v>93</v>
      </c>
      <c r="R130" s="106">
        <v>83.5</v>
      </c>
      <c r="S130" s="106">
        <v>83.1</v>
      </c>
      <c r="T130" s="106">
        <v>85.5</v>
      </c>
      <c r="U130" s="106">
        <v>85.8</v>
      </c>
      <c r="V130" s="106">
        <v>86</v>
      </c>
      <c r="W130" s="106">
        <v>99.2</v>
      </c>
      <c r="X130" s="106">
        <v>112</v>
      </c>
      <c r="Y130" s="106">
        <v>115.7</v>
      </c>
      <c r="Z130" s="106">
        <v>108.8</v>
      </c>
      <c r="AA130" s="106">
        <v>105.7</v>
      </c>
      <c r="AB130" s="106">
        <v>108</v>
      </c>
      <c r="AC130" s="106">
        <v>108</v>
      </c>
      <c r="AD130" s="106">
        <v>108</v>
      </c>
      <c r="AE130" s="106">
        <v>95.2</v>
      </c>
      <c r="AF130" s="106">
        <v>108</v>
      </c>
      <c r="AG130" s="114"/>
      <c r="AH130" s="47">
        <f t="shared" si="33"/>
        <v>115.7</v>
      </c>
      <c r="AI130" s="48">
        <f t="shared" si="34"/>
        <v>68.8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376</v>
      </c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>
        <v>1985.5</v>
      </c>
      <c r="N132" s="214">
        <v>1984.73</v>
      </c>
      <c r="O132" s="214">
        <v>1983.79</v>
      </c>
      <c r="P132" s="214">
        <v>1983.02</v>
      </c>
      <c r="Q132" s="214"/>
      <c r="R132" s="214">
        <v>1983.26</v>
      </c>
      <c r="S132" s="214"/>
      <c r="T132" s="214">
        <v>1983.89</v>
      </c>
      <c r="U132" s="214">
        <v>1984.18</v>
      </c>
      <c r="V132" s="214">
        <v>1984.18</v>
      </c>
      <c r="W132" s="214">
        <v>1984.18</v>
      </c>
      <c r="X132" s="214"/>
      <c r="Y132" s="214"/>
      <c r="Z132" s="214"/>
      <c r="AA132" s="214"/>
      <c r="AB132" s="214">
        <v>1982.95</v>
      </c>
      <c r="AC132" s="214"/>
      <c r="AD132" s="214">
        <v>1982.9</v>
      </c>
      <c r="AE132" s="214">
        <v>1982.95</v>
      </c>
      <c r="AF132" s="228"/>
      <c r="AG132" s="153"/>
      <c r="AH132" s="47"/>
      <c r="AI132" s="48"/>
    </row>
    <row r="133" spans="1:37" x14ac:dyDescent="0.25">
      <c r="A133" s="199" t="s">
        <v>243</v>
      </c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>
        <v>522.6</v>
      </c>
      <c r="N133" s="215">
        <v>522.15</v>
      </c>
      <c r="O133" s="215">
        <v>521.82000000000005</v>
      </c>
      <c r="P133" s="215">
        <v>521.30999999999995</v>
      </c>
      <c r="Q133" s="215"/>
      <c r="R133" s="215">
        <v>520.97</v>
      </c>
      <c r="S133" s="215">
        <v>520.85</v>
      </c>
      <c r="T133" s="215">
        <v>521.08000000000004</v>
      </c>
      <c r="U133" s="215">
        <v>521.29999999999995</v>
      </c>
      <c r="V133" s="215">
        <v>521.29999999999995</v>
      </c>
      <c r="W133" s="215">
        <v>521.29999999999995</v>
      </c>
      <c r="X133" s="215"/>
      <c r="Y133" s="215"/>
      <c r="Z133" s="215"/>
      <c r="AA133" s="215"/>
      <c r="AB133" s="215">
        <v>519.94000000000005</v>
      </c>
      <c r="AC133" s="215"/>
      <c r="AD133" s="215">
        <v>519.69000000000005</v>
      </c>
      <c r="AE133" s="215">
        <v>519.75</v>
      </c>
      <c r="AF133" s="229">
        <v>519.75</v>
      </c>
      <c r="AG133" s="153"/>
      <c r="AH133" s="47"/>
      <c r="AI133" s="48"/>
    </row>
    <row r="134" spans="1:37" x14ac:dyDescent="0.25">
      <c r="A134" s="199" t="s">
        <v>244</v>
      </c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>
        <v>625.25</v>
      </c>
      <c r="N134" s="215">
        <v>625</v>
      </c>
      <c r="O134" s="215">
        <v>624.71</v>
      </c>
      <c r="P134" s="215">
        <v>624.35</v>
      </c>
      <c r="Q134" s="215"/>
      <c r="R134" s="215">
        <v>623.94000000000005</v>
      </c>
      <c r="S134" s="215">
        <v>623.76</v>
      </c>
      <c r="T134" s="215">
        <v>623.74</v>
      </c>
      <c r="U134" s="215">
        <v>623.79999999999995</v>
      </c>
      <c r="V134" s="215">
        <v>623.79999999999995</v>
      </c>
      <c r="W134" s="215">
        <v>623.79999999999995</v>
      </c>
      <c r="X134" s="215"/>
      <c r="Y134" s="215"/>
      <c r="Z134" s="215"/>
      <c r="AA134" s="215"/>
      <c r="AB134" s="215">
        <v>622.04</v>
      </c>
      <c r="AC134" s="215"/>
      <c r="AD134" s="215">
        <v>621.94000000000005</v>
      </c>
      <c r="AE134" s="215">
        <v>622.11</v>
      </c>
      <c r="AF134" s="229">
        <v>622.29999999999995</v>
      </c>
      <c r="AG134" s="153"/>
      <c r="AH134" s="47"/>
      <c r="AI134" s="48"/>
    </row>
    <row r="135" spans="1:37" x14ac:dyDescent="0.25">
      <c r="A135" s="199" t="s">
        <v>245</v>
      </c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>
        <v>336.38</v>
      </c>
      <c r="N135" s="215">
        <v>335.86</v>
      </c>
      <c r="O135" s="215"/>
      <c r="P135" s="215">
        <v>334.93</v>
      </c>
      <c r="Q135" s="215"/>
      <c r="R135" s="215">
        <v>334.54</v>
      </c>
      <c r="S135" s="215">
        <v>334.78</v>
      </c>
      <c r="T135" s="215">
        <v>335.22</v>
      </c>
      <c r="U135" s="215">
        <v>335.65</v>
      </c>
      <c r="V135" s="215">
        <v>335.65</v>
      </c>
      <c r="W135" s="215">
        <v>335.65</v>
      </c>
      <c r="X135" s="215"/>
      <c r="Y135" s="215"/>
      <c r="Z135" s="215"/>
      <c r="AA135" s="215"/>
      <c r="AB135" s="215">
        <v>335.6</v>
      </c>
      <c r="AC135" s="215"/>
      <c r="AD135" s="215">
        <v>335.26</v>
      </c>
      <c r="AE135" s="215"/>
      <c r="AF135" s="229">
        <v>335.32</v>
      </c>
      <c r="AG135" s="153"/>
      <c r="AH135" s="47"/>
      <c r="AI135" s="48"/>
    </row>
    <row r="136" spans="1:37" x14ac:dyDescent="0.25">
      <c r="A136" s="199" t="s">
        <v>415</v>
      </c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>
        <v>886.4</v>
      </c>
      <c r="N136" s="215">
        <v>886.2</v>
      </c>
      <c r="O136" s="215">
        <v>885.9</v>
      </c>
      <c r="P136" s="215">
        <v>885.9</v>
      </c>
      <c r="Q136" s="215"/>
      <c r="R136" s="215"/>
      <c r="S136" s="215">
        <v>887.2</v>
      </c>
      <c r="T136" s="215">
        <v>887.3</v>
      </c>
      <c r="U136" s="215">
        <v>887.2</v>
      </c>
      <c r="V136" s="215">
        <v>887.2</v>
      </c>
      <c r="W136" s="215">
        <v>887.2</v>
      </c>
      <c r="X136" s="215"/>
      <c r="Y136" s="215"/>
      <c r="Z136" s="215"/>
      <c r="AA136" s="215"/>
      <c r="AB136" s="215">
        <v>886.7</v>
      </c>
      <c r="AC136" s="215"/>
      <c r="AD136" s="215">
        <v>886.4</v>
      </c>
      <c r="AE136" s="215"/>
      <c r="AF136" s="229">
        <v>885</v>
      </c>
      <c r="AG136" s="153"/>
      <c r="AH136" s="47"/>
      <c r="AI136" s="48"/>
    </row>
    <row r="137" spans="1:37" ht="15.75" thickBot="1" x14ac:dyDescent="0.3">
      <c r="A137" s="199" t="s">
        <v>246</v>
      </c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  <c r="AE137" s="216"/>
      <c r="AF137" s="230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109">SUM(B139:B243)</f>
        <v>0</v>
      </c>
      <c r="C244" s="137">
        <f t="shared" si="109"/>
        <v>0</v>
      </c>
      <c r="D244" s="137">
        <f t="shared" si="109"/>
        <v>0</v>
      </c>
      <c r="E244" s="137">
        <f t="shared" si="109"/>
        <v>0</v>
      </c>
      <c r="F244" s="137">
        <f t="shared" si="109"/>
        <v>0</v>
      </c>
      <c r="G244" s="137">
        <f t="shared" si="109"/>
        <v>0</v>
      </c>
      <c r="H244" s="137">
        <f t="shared" si="109"/>
        <v>0</v>
      </c>
      <c r="I244" s="137">
        <f t="shared" si="109"/>
        <v>0</v>
      </c>
      <c r="J244" s="137">
        <f t="shared" si="109"/>
        <v>0</v>
      </c>
      <c r="K244" s="137">
        <f t="shared" si="109"/>
        <v>0</v>
      </c>
      <c r="L244" s="137">
        <f t="shared" si="109"/>
        <v>0</v>
      </c>
      <c r="M244" s="137">
        <f t="shared" si="109"/>
        <v>0</v>
      </c>
      <c r="N244" s="137">
        <f t="shared" si="109"/>
        <v>0</v>
      </c>
      <c r="O244" s="137">
        <f t="shared" si="109"/>
        <v>0</v>
      </c>
      <c r="P244" s="137">
        <f t="shared" si="109"/>
        <v>0</v>
      </c>
      <c r="Q244" s="137">
        <f t="shared" si="109"/>
        <v>0</v>
      </c>
      <c r="R244" s="137">
        <f t="shared" si="109"/>
        <v>0</v>
      </c>
      <c r="S244" s="137">
        <f t="shared" si="109"/>
        <v>0</v>
      </c>
      <c r="T244" s="137">
        <f t="shared" si="109"/>
        <v>0</v>
      </c>
      <c r="U244" s="137">
        <f t="shared" si="109"/>
        <v>0</v>
      </c>
      <c r="V244" s="137">
        <f t="shared" si="109"/>
        <v>0</v>
      </c>
      <c r="W244" s="137">
        <f t="shared" si="109"/>
        <v>0</v>
      </c>
      <c r="X244" s="137">
        <f t="shared" si="109"/>
        <v>0</v>
      </c>
      <c r="Y244" s="137">
        <f t="shared" si="109"/>
        <v>0</v>
      </c>
      <c r="Z244" s="137">
        <f t="shared" si="109"/>
        <v>0</v>
      </c>
      <c r="AA244" s="137">
        <f t="shared" si="109"/>
        <v>0</v>
      </c>
      <c r="AB244" s="137">
        <f t="shared" si="109"/>
        <v>0</v>
      </c>
      <c r="AC244" s="137">
        <f t="shared" si="109"/>
        <v>0</v>
      </c>
      <c r="AD244" s="137">
        <f t="shared" si="109"/>
        <v>0</v>
      </c>
      <c r="AE244" s="137">
        <f t="shared" si="109"/>
        <v>0</v>
      </c>
      <c r="AF244" s="138">
        <f t="shared" si="109"/>
        <v>0</v>
      </c>
      <c r="AG244" s="139">
        <f t="shared" si="10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110">AF246</f>
        <v>0.3</v>
      </c>
      <c r="C246" s="141">
        <v>0.3</v>
      </c>
      <c r="D246" s="141">
        <f t="shared" ref="D246:S251" si="111">C246</f>
        <v>0.3</v>
      </c>
      <c r="E246" s="141">
        <f t="shared" si="111"/>
        <v>0.3</v>
      </c>
      <c r="F246" s="141">
        <f t="shared" si="111"/>
        <v>0.3</v>
      </c>
      <c r="G246" s="141">
        <f t="shared" si="111"/>
        <v>0.3</v>
      </c>
      <c r="H246" s="141">
        <f t="shared" si="111"/>
        <v>0.3</v>
      </c>
      <c r="I246" s="141">
        <f t="shared" si="111"/>
        <v>0.3</v>
      </c>
      <c r="J246" s="141">
        <f t="shared" si="111"/>
        <v>0.3</v>
      </c>
      <c r="K246" s="141">
        <f t="shared" si="111"/>
        <v>0.3</v>
      </c>
      <c r="L246" s="141">
        <f t="shared" si="111"/>
        <v>0.3</v>
      </c>
      <c r="M246" s="141">
        <f t="shared" si="111"/>
        <v>0.3</v>
      </c>
      <c r="N246" s="141">
        <f t="shared" si="111"/>
        <v>0.3</v>
      </c>
      <c r="O246" s="141">
        <f t="shared" si="111"/>
        <v>0.3</v>
      </c>
      <c r="P246" s="141">
        <f t="shared" si="111"/>
        <v>0.3</v>
      </c>
      <c r="Q246" s="141">
        <f t="shared" si="111"/>
        <v>0.3</v>
      </c>
      <c r="R246" s="141">
        <f t="shared" si="111"/>
        <v>0.3</v>
      </c>
      <c r="S246" s="141">
        <f t="shared" si="111"/>
        <v>0.3</v>
      </c>
      <c r="T246" s="141">
        <f t="shared" ref="T246:AF251" si="112">S246</f>
        <v>0.3</v>
      </c>
      <c r="U246" s="141">
        <f t="shared" si="112"/>
        <v>0.3</v>
      </c>
      <c r="V246" s="141">
        <f t="shared" si="112"/>
        <v>0.3</v>
      </c>
      <c r="W246" s="141">
        <f t="shared" si="112"/>
        <v>0.3</v>
      </c>
      <c r="X246" s="141">
        <f t="shared" si="112"/>
        <v>0.3</v>
      </c>
      <c r="Y246" s="141">
        <f t="shared" si="112"/>
        <v>0.3</v>
      </c>
      <c r="Z246" s="141">
        <f t="shared" si="112"/>
        <v>0.3</v>
      </c>
      <c r="AA246" s="141">
        <f t="shared" si="112"/>
        <v>0.3</v>
      </c>
      <c r="AB246" s="141">
        <f t="shared" si="112"/>
        <v>0.3</v>
      </c>
      <c r="AC246" s="141">
        <f t="shared" si="112"/>
        <v>0.3</v>
      </c>
      <c r="AD246" s="141">
        <f t="shared" si="112"/>
        <v>0.3</v>
      </c>
      <c r="AE246" s="141">
        <f t="shared" si="112"/>
        <v>0.3</v>
      </c>
      <c r="AF246" s="141">
        <f t="shared" si="112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110"/>
        <v>0.4</v>
      </c>
      <c r="C247" s="129">
        <v>0.4</v>
      </c>
      <c r="D247" s="129">
        <f t="shared" si="111"/>
        <v>0.4</v>
      </c>
      <c r="E247" s="129">
        <f t="shared" si="111"/>
        <v>0.4</v>
      </c>
      <c r="F247" s="129">
        <f t="shared" si="111"/>
        <v>0.4</v>
      </c>
      <c r="G247" s="129">
        <f t="shared" si="111"/>
        <v>0.4</v>
      </c>
      <c r="H247" s="129">
        <f t="shared" si="111"/>
        <v>0.4</v>
      </c>
      <c r="I247" s="129">
        <f t="shared" si="111"/>
        <v>0.4</v>
      </c>
      <c r="J247" s="129">
        <f t="shared" si="111"/>
        <v>0.4</v>
      </c>
      <c r="K247" s="129">
        <f t="shared" si="111"/>
        <v>0.4</v>
      </c>
      <c r="L247" s="129">
        <f t="shared" si="111"/>
        <v>0.4</v>
      </c>
      <c r="M247" s="129">
        <f t="shared" si="111"/>
        <v>0.4</v>
      </c>
      <c r="N247" s="129">
        <f t="shared" si="111"/>
        <v>0.4</v>
      </c>
      <c r="O247" s="129">
        <f t="shared" si="111"/>
        <v>0.4</v>
      </c>
      <c r="P247" s="129">
        <f t="shared" si="111"/>
        <v>0.4</v>
      </c>
      <c r="Q247" s="129">
        <f t="shared" si="111"/>
        <v>0.4</v>
      </c>
      <c r="R247" s="129">
        <f t="shared" si="111"/>
        <v>0.4</v>
      </c>
      <c r="S247" s="129">
        <f t="shared" si="111"/>
        <v>0.4</v>
      </c>
      <c r="T247" s="129">
        <f t="shared" si="112"/>
        <v>0.4</v>
      </c>
      <c r="U247" s="129">
        <f t="shared" si="112"/>
        <v>0.4</v>
      </c>
      <c r="V247" s="129">
        <f t="shared" si="112"/>
        <v>0.4</v>
      </c>
      <c r="W247" s="129">
        <f t="shared" si="112"/>
        <v>0.4</v>
      </c>
      <c r="X247" s="129">
        <f t="shared" si="112"/>
        <v>0.4</v>
      </c>
      <c r="Y247" s="129">
        <f t="shared" si="112"/>
        <v>0.4</v>
      </c>
      <c r="Z247" s="129">
        <f t="shared" si="112"/>
        <v>0.4</v>
      </c>
      <c r="AA247" s="129">
        <f t="shared" si="112"/>
        <v>0.4</v>
      </c>
      <c r="AB247" s="129">
        <f t="shared" si="112"/>
        <v>0.4</v>
      </c>
      <c r="AC247" s="129">
        <f t="shared" si="112"/>
        <v>0.4</v>
      </c>
      <c r="AD247" s="129">
        <f t="shared" si="112"/>
        <v>0.4</v>
      </c>
      <c r="AE247" s="129">
        <f t="shared" si="112"/>
        <v>0.4</v>
      </c>
      <c r="AF247" s="129">
        <f t="shared" si="112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110"/>
        <v>1.5</v>
      </c>
      <c r="C248" s="129">
        <v>1.5</v>
      </c>
      <c r="D248" s="129">
        <f t="shared" si="111"/>
        <v>1.5</v>
      </c>
      <c r="E248" s="129">
        <f t="shared" si="111"/>
        <v>1.5</v>
      </c>
      <c r="F248" s="129">
        <f t="shared" si="111"/>
        <v>1.5</v>
      </c>
      <c r="G248" s="129">
        <f t="shared" si="111"/>
        <v>1.5</v>
      </c>
      <c r="H248" s="129">
        <f t="shared" si="111"/>
        <v>1.5</v>
      </c>
      <c r="I248" s="129">
        <f t="shared" si="111"/>
        <v>1.5</v>
      </c>
      <c r="J248" s="129">
        <f t="shared" si="111"/>
        <v>1.5</v>
      </c>
      <c r="K248" s="129">
        <f t="shared" si="111"/>
        <v>1.5</v>
      </c>
      <c r="L248" s="129">
        <f t="shared" si="111"/>
        <v>1.5</v>
      </c>
      <c r="M248" s="129">
        <f t="shared" si="111"/>
        <v>1.5</v>
      </c>
      <c r="N248" s="129">
        <f t="shared" si="111"/>
        <v>1.5</v>
      </c>
      <c r="O248" s="129">
        <f t="shared" si="111"/>
        <v>1.5</v>
      </c>
      <c r="P248" s="129">
        <f t="shared" si="111"/>
        <v>1.5</v>
      </c>
      <c r="Q248" s="129">
        <f t="shared" si="111"/>
        <v>1.5</v>
      </c>
      <c r="R248" s="129">
        <f t="shared" si="111"/>
        <v>1.5</v>
      </c>
      <c r="S248" s="129">
        <f t="shared" si="111"/>
        <v>1.5</v>
      </c>
      <c r="T248" s="129">
        <f t="shared" si="112"/>
        <v>1.5</v>
      </c>
      <c r="U248" s="129">
        <f t="shared" si="112"/>
        <v>1.5</v>
      </c>
      <c r="V248" s="129">
        <f t="shared" si="112"/>
        <v>1.5</v>
      </c>
      <c r="W248" s="129">
        <f t="shared" si="112"/>
        <v>1.5</v>
      </c>
      <c r="X248" s="129">
        <f t="shared" si="112"/>
        <v>1.5</v>
      </c>
      <c r="Y248" s="129">
        <f t="shared" si="112"/>
        <v>1.5</v>
      </c>
      <c r="Z248" s="129">
        <f t="shared" si="112"/>
        <v>1.5</v>
      </c>
      <c r="AA248" s="129">
        <f t="shared" si="112"/>
        <v>1.5</v>
      </c>
      <c r="AB248" s="129">
        <f t="shared" si="112"/>
        <v>1.5</v>
      </c>
      <c r="AC248" s="129">
        <f t="shared" si="112"/>
        <v>1.5</v>
      </c>
      <c r="AD248" s="129">
        <f t="shared" si="112"/>
        <v>1.5</v>
      </c>
      <c r="AE248" s="129">
        <f t="shared" si="112"/>
        <v>1.5</v>
      </c>
      <c r="AF248" s="129">
        <f t="shared" si="112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110"/>
        <v>0.3</v>
      </c>
      <c r="C249" s="129">
        <v>0.3</v>
      </c>
      <c r="D249" s="129">
        <f t="shared" si="111"/>
        <v>0.3</v>
      </c>
      <c r="E249" s="129">
        <f t="shared" si="111"/>
        <v>0.3</v>
      </c>
      <c r="F249" s="129">
        <f t="shared" si="111"/>
        <v>0.3</v>
      </c>
      <c r="G249" s="129">
        <f t="shared" si="111"/>
        <v>0.3</v>
      </c>
      <c r="H249" s="129">
        <f t="shared" si="111"/>
        <v>0.3</v>
      </c>
      <c r="I249" s="129">
        <f t="shared" si="111"/>
        <v>0.3</v>
      </c>
      <c r="J249" s="129">
        <f t="shared" si="111"/>
        <v>0.3</v>
      </c>
      <c r="K249" s="129">
        <f t="shared" si="111"/>
        <v>0.3</v>
      </c>
      <c r="L249" s="129">
        <f t="shared" si="111"/>
        <v>0.3</v>
      </c>
      <c r="M249" s="129">
        <f t="shared" si="111"/>
        <v>0.3</v>
      </c>
      <c r="N249" s="129">
        <f t="shared" si="111"/>
        <v>0.3</v>
      </c>
      <c r="O249" s="129">
        <f t="shared" si="111"/>
        <v>0.3</v>
      </c>
      <c r="P249" s="129">
        <f t="shared" si="111"/>
        <v>0.3</v>
      </c>
      <c r="Q249" s="129">
        <f t="shared" si="111"/>
        <v>0.3</v>
      </c>
      <c r="R249" s="129">
        <f t="shared" si="111"/>
        <v>0.3</v>
      </c>
      <c r="S249" s="129">
        <f t="shared" si="111"/>
        <v>0.3</v>
      </c>
      <c r="T249" s="129">
        <f t="shared" si="112"/>
        <v>0.3</v>
      </c>
      <c r="U249" s="129">
        <f t="shared" si="112"/>
        <v>0.3</v>
      </c>
      <c r="V249" s="129">
        <f t="shared" si="112"/>
        <v>0.3</v>
      </c>
      <c r="W249" s="129">
        <f t="shared" si="112"/>
        <v>0.3</v>
      </c>
      <c r="X249" s="129">
        <f t="shared" si="112"/>
        <v>0.3</v>
      </c>
      <c r="Y249" s="129">
        <f t="shared" si="112"/>
        <v>0.3</v>
      </c>
      <c r="Z249" s="129">
        <f t="shared" si="112"/>
        <v>0.3</v>
      </c>
      <c r="AA249" s="129">
        <f t="shared" si="112"/>
        <v>0.3</v>
      </c>
      <c r="AB249" s="129">
        <f t="shared" si="112"/>
        <v>0.3</v>
      </c>
      <c r="AC249" s="129">
        <f t="shared" si="112"/>
        <v>0.3</v>
      </c>
      <c r="AD249" s="129">
        <f t="shared" si="112"/>
        <v>0.3</v>
      </c>
      <c r="AE249" s="129">
        <f t="shared" si="112"/>
        <v>0.3</v>
      </c>
      <c r="AF249" s="129">
        <f t="shared" si="112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110"/>
        <v>0.4</v>
      </c>
      <c r="C250" s="129">
        <v>0.4</v>
      </c>
      <c r="D250" s="129">
        <f t="shared" si="111"/>
        <v>0.4</v>
      </c>
      <c r="E250" s="129">
        <f t="shared" si="111"/>
        <v>0.4</v>
      </c>
      <c r="F250" s="129">
        <f t="shared" si="111"/>
        <v>0.4</v>
      </c>
      <c r="G250" s="129">
        <f t="shared" si="111"/>
        <v>0.4</v>
      </c>
      <c r="H250" s="129">
        <f t="shared" si="111"/>
        <v>0.4</v>
      </c>
      <c r="I250" s="129">
        <f t="shared" si="111"/>
        <v>0.4</v>
      </c>
      <c r="J250" s="129">
        <f t="shared" si="111"/>
        <v>0.4</v>
      </c>
      <c r="K250" s="129">
        <f t="shared" si="111"/>
        <v>0.4</v>
      </c>
      <c r="L250" s="129">
        <f t="shared" si="111"/>
        <v>0.4</v>
      </c>
      <c r="M250" s="129">
        <f t="shared" si="111"/>
        <v>0.4</v>
      </c>
      <c r="N250" s="129">
        <f t="shared" si="111"/>
        <v>0.4</v>
      </c>
      <c r="O250" s="129">
        <f t="shared" si="111"/>
        <v>0.4</v>
      </c>
      <c r="P250" s="129">
        <f t="shared" si="111"/>
        <v>0.4</v>
      </c>
      <c r="Q250" s="129">
        <f t="shared" si="111"/>
        <v>0.4</v>
      </c>
      <c r="R250" s="129">
        <f t="shared" si="111"/>
        <v>0.4</v>
      </c>
      <c r="S250" s="129">
        <f t="shared" si="111"/>
        <v>0.4</v>
      </c>
      <c r="T250" s="129">
        <f t="shared" si="112"/>
        <v>0.4</v>
      </c>
      <c r="U250" s="129">
        <f t="shared" si="112"/>
        <v>0.4</v>
      </c>
      <c r="V250" s="129">
        <f t="shared" si="112"/>
        <v>0.4</v>
      </c>
      <c r="W250" s="129">
        <f t="shared" si="112"/>
        <v>0.4</v>
      </c>
      <c r="X250" s="129">
        <f t="shared" si="112"/>
        <v>0.4</v>
      </c>
      <c r="Y250" s="129">
        <f t="shared" si="112"/>
        <v>0.4</v>
      </c>
      <c r="Z250" s="129">
        <f t="shared" si="112"/>
        <v>0.4</v>
      </c>
      <c r="AA250" s="129">
        <f t="shared" si="112"/>
        <v>0.4</v>
      </c>
      <c r="AB250" s="129">
        <f t="shared" si="112"/>
        <v>0.4</v>
      </c>
      <c r="AC250" s="129">
        <f t="shared" si="112"/>
        <v>0.4</v>
      </c>
      <c r="AD250" s="129">
        <f t="shared" si="112"/>
        <v>0.4</v>
      </c>
      <c r="AE250" s="129">
        <f t="shared" si="112"/>
        <v>0.4</v>
      </c>
      <c r="AF250" s="129">
        <f t="shared" si="112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110"/>
        <v>0.64</v>
      </c>
      <c r="C251" s="133">
        <v>0.64</v>
      </c>
      <c r="D251" s="133">
        <f t="shared" si="111"/>
        <v>0.64</v>
      </c>
      <c r="E251" s="133">
        <f t="shared" si="111"/>
        <v>0.64</v>
      </c>
      <c r="F251" s="133">
        <f t="shared" si="111"/>
        <v>0.64</v>
      </c>
      <c r="G251" s="133">
        <f t="shared" si="111"/>
        <v>0.64</v>
      </c>
      <c r="H251" s="133">
        <f t="shared" si="111"/>
        <v>0.64</v>
      </c>
      <c r="I251" s="133">
        <f t="shared" si="111"/>
        <v>0.64</v>
      </c>
      <c r="J251" s="133">
        <f t="shared" si="111"/>
        <v>0.64</v>
      </c>
      <c r="K251" s="133">
        <f t="shared" si="111"/>
        <v>0.64</v>
      </c>
      <c r="L251" s="133">
        <f t="shared" si="111"/>
        <v>0.64</v>
      </c>
      <c r="M251" s="133">
        <f t="shared" si="111"/>
        <v>0.64</v>
      </c>
      <c r="N251" s="133">
        <f t="shared" si="111"/>
        <v>0.64</v>
      </c>
      <c r="O251" s="133">
        <f t="shared" si="111"/>
        <v>0.64</v>
      </c>
      <c r="P251" s="133">
        <f t="shared" si="111"/>
        <v>0.64</v>
      </c>
      <c r="Q251" s="133">
        <f t="shared" si="111"/>
        <v>0.64</v>
      </c>
      <c r="R251" s="133">
        <f t="shared" si="111"/>
        <v>0.64</v>
      </c>
      <c r="S251" s="133">
        <f t="shared" si="111"/>
        <v>0.64</v>
      </c>
      <c r="T251" s="133">
        <f t="shared" si="112"/>
        <v>0.64</v>
      </c>
      <c r="U251" s="133">
        <f t="shared" si="112"/>
        <v>0.64</v>
      </c>
      <c r="V251" s="133">
        <f t="shared" si="112"/>
        <v>0.64</v>
      </c>
      <c r="W251" s="133">
        <f t="shared" si="112"/>
        <v>0.64</v>
      </c>
      <c r="X251" s="133">
        <f t="shared" si="112"/>
        <v>0.64</v>
      </c>
      <c r="Y251" s="133">
        <f t="shared" si="112"/>
        <v>0.64</v>
      </c>
      <c r="Z251" s="133">
        <f t="shared" si="112"/>
        <v>0.64</v>
      </c>
      <c r="AA251" s="133">
        <f t="shared" si="112"/>
        <v>0.64</v>
      </c>
      <c r="AB251" s="133">
        <f t="shared" si="112"/>
        <v>0.64</v>
      </c>
      <c r="AC251" s="133">
        <f t="shared" si="112"/>
        <v>0.64</v>
      </c>
      <c r="AD251" s="133">
        <f t="shared" si="112"/>
        <v>0.64</v>
      </c>
      <c r="AE251" s="133">
        <f t="shared" si="112"/>
        <v>0.64</v>
      </c>
      <c r="AF251" s="133">
        <f t="shared" si="112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113">SUM(B246:B251)</f>
        <v>3.54</v>
      </c>
      <c r="C252" s="137">
        <f t="shared" si="113"/>
        <v>3.54</v>
      </c>
      <c r="D252" s="137">
        <f t="shared" si="113"/>
        <v>3.54</v>
      </c>
      <c r="E252" s="137">
        <f t="shared" si="113"/>
        <v>3.54</v>
      </c>
      <c r="F252" s="137">
        <f t="shared" si="113"/>
        <v>3.54</v>
      </c>
      <c r="G252" s="137">
        <f t="shared" si="113"/>
        <v>3.54</v>
      </c>
      <c r="H252" s="137">
        <f t="shared" si="113"/>
        <v>3.54</v>
      </c>
      <c r="I252" s="137">
        <f t="shared" si="113"/>
        <v>3.54</v>
      </c>
      <c r="J252" s="137">
        <f t="shared" si="113"/>
        <v>3.54</v>
      </c>
      <c r="K252" s="137">
        <f t="shared" si="113"/>
        <v>3.54</v>
      </c>
      <c r="L252" s="137">
        <f t="shared" si="113"/>
        <v>3.54</v>
      </c>
      <c r="M252" s="137">
        <f t="shared" si="113"/>
        <v>3.54</v>
      </c>
      <c r="N252" s="137">
        <f t="shared" si="113"/>
        <v>3.54</v>
      </c>
      <c r="O252" s="137">
        <f t="shared" si="113"/>
        <v>3.54</v>
      </c>
      <c r="P252" s="137">
        <f t="shared" si="113"/>
        <v>3.54</v>
      </c>
      <c r="Q252" s="137">
        <f t="shared" si="113"/>
        <v>3.54</v>
      </c>
      <c r="R252" s="137">
        <f t="shared" si="113"/>
        <v>3.54</v>
      </c>
      <c r="S252" s="137">
        <f t="shared" si="113"/>
        <v>3.54</v>
      </c>
      <c r="T252" s="137">
        <f t="shared" si="113"/>
        <v>3.54</v>
      </c>
      <c r="U252" s="137">
        <f t="shared" si="113"/>
        <v>3.54</v>
      </c>
      <c r="V252" s="137">
        <f t="shared" si="113"/>
        <v>3.54</v>
      </c>
      <c r="W252" s="137">
        <f t="shared" si="113"/>
        <v>3.54</v>
      </c>
      <c r="X252" s="137">
        <f t="shared" si="113"/>
        <v>3.54</v>
      </c>
      <c r="Y252" s="137">
        <f t="shared" si="113"/>
        <v>3.54</v>
      </c>
      <c r="Z252" s="137">
        <f t="shared" si="113"/>
        <v>3.54</v>
      </c>
      <c r="AA252" s="137">
        <f t="shared" si="113"/>
        <v>3.54</v>
      </c>
      <c r="AB252" s="137">
        <f t="shared" si="113"/>
        <v>3.54</v>
      </c>
      <c r="AC252" s="137">
        <f t="shared" si="113"/>
        <v>3.54</v>
      </c>
      <c r="AD252" s="137">
        <f t="shared" si="113"/>
        <v>3.54</v>
      </c>
      <c r="AE252" s="137">
        <f t="shared" si="113"/>
        <v>3.54</v>
      </c>
      <c r="AF252" s="137">
        <f t="shared" si="113"/>
        <v>3.54</v>
      </c>
      <c r="AG252" s="146">
        <f t="shared" si="113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1663.9399999999998</v>
      </c>
      <c r="C256" s="162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28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str">
        <f ca="1">"Pie Chart of Daily Peak Demand(Inclusive of Export) of Nepal ("&amp;A4&amp;" "&amp;B4&amp;")"</f>
        <v>Pie Chart of Daily Peak Demand(Inclusive of Export) of Nepal (Nepali Date: 2080/09/28)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str">
        <f ca="1">"Daily Load Curve(Excluding of Export) of Nepal ("&amp;A4&amp;" "&amp;B4&amp;")"</f>
        <v>Daily Load Curve(Excluding of Export) of Nepal (Nepali Date: 2080/09/28)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114">B99</f>
        <v>984.94</v>
      </c>
      <c r="U261" s="171">
        <f t="shared" si="114"/>
        <v>1000.7400000000001</v>
      </c>
      <c r="V261" s="171">
        <f t="shared" si="114"/>
        <v>1012.8400000000001</v>
      </c>
      <c r="W261" s="171">
        <f t="shared" si="114"/>
        <v>1009.38</v>
      </c>
      <c r="X261" s="171">
        <f t="shared" si="114"/>
        <v>1044.94</v>
      </c>
      <c r="Y261" s="171">
        <f t="shared" si="114"/>
        <v>1133.8399999999999</v>
      </c>
      <c r="Z261" s="171">
        <f t="shared" si="114"/>
        <v>1184.8400000000001</v>
      </c>
      <c r="AA261" s="171">
        <f t="shared" si="114"/>
        <v>1251.6399999999999</v>
      </c>
      <c r="AB261" s="171">
        <f t="shared" si="114"/>
        <v>1349.8400000000001</v>
      </c>
      <c r="AC261" s="171">
        <f t="shared" si="114"/>
        <v>1464.04</v>
      </c>
      <c r="AD261" s="171">
        <f t="shared" si="114"/>
        <v>1516.5400000000002</v>
      </c>
      <c r="AE261" s="171">
        <f t="shared" si="114"/>
        <v>1616.54</v>
      </c>
      <c r="AF261" s="171">
        <f t="shared" si="114"/>
        <v>1663.9399999999998</v>
      </c>
      <c r="AG261" s="171">
        <f t="shared" si="114"/>
        <v>1672.14</v>
      </c>
      <c r="AH261" s="171">
        <f t="shared" si="114"/>
        <v>1562.8400000000001</v>
      </c>
      <c r="AI261" s="171">
        <f t="shared" si="114"/>
        <v>1704.64</v>
      </c>
      <c r="AJ261" s="171">
        <f t="shared" si="114"/>
        <v>1351.1399999999999</v>
      </c>
      <c r="AK261" s="171">
        <f t="shared" si="114"/>
        <v>1277.9399999999998</v>
      </c>
      <c r="AL261" s="171">
        <f t="shared" si="114"/>
        <v>1294.6399999999999</v>
      </c>
      <c r="AM261" s="171">
        <f t="shared" si="114"/>
        <v>1314.34</v>
      </c>
      <c r="AN261" s="171">
        <f t="shared" si="114"/>
        <v>1293.54</v>
      </c>
      <c r="AO261" s="171">
        <f t="shared" si="114"/>
        <v>1536.04</v>
      </c>
      <c r="AP261" s="171">
        <f t="shared" si="114"/>
        <v>1744.14</v>
      </c>
      <c r="AQ261" s="171">
        <f t="shared" si="114"/>
        <v>1746.94</v>
      </c>
      <c r="AR261" s="171">
        <f t="shared" si="114"/>
        <v>1693.0400000000002</v>
      </c>
      <c r="AS261" s="171">
        <f t="shared" si="114"/>
        <v>1647.64</v>
      </c>
      <c r="AT261" s="171">
        <f t="shared" si="114"/>
        <v>1550.2400000000002</v>
      </c>
      <c r="AU261" s="171">
        <f t="shared" si="114"/>
        <v>1451.94</v>
      </c>
      <c r="AV261" s="171">
        <f t="shared" si="114"/>
        <v>1349.2400000000002</v>
      </c>
      <c r="AW261" s="171">
        <f t="shared" si="114"/>
        <v>1260.5400000000002</v>
      </c>
      <c r="AX261" s="171">
        <f t="shared" si="114"/>
        <v>1137.2399999999998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115">C251</f>
        <v>0.64</v>
      </c>
      <c r="C282" s="174">
        <f t="shared" si="115"/>
        <v>0.64</v>
      </c>
      <c r="D282" s="174">
        <f t="shared" si="115"/>
        <v>0.64</v>
      </c>
      <c r="E282" s="174">
        <f t="shared" si="115"/>
        <v>0.64</v>
      </c>
      <c r="F282" s="174">
        <f t="shared" si="115"/>
        <v>0.64</v>
      </c>
      <c r="G282" s="174">
        <f t="shared" si="115"/>
        <v>0.64</v>
      </c>
      <c r="H282" s="174">
        <f t="shared" si="115"/>
        <v>0.64</v>
      </c>
      <c r="I282" s="174">
        <f t="shared" si="115"/>
        <v>0.64</v>
      </c>
      <c r="J282" s="174">
        <f t="shared" si="115"/>
        <v>0.64</v>
      </c>
      <c r="K282" s="174">
        <f t="shared" si="115"/>
        <v>0.64</v>
      </c>
      <c r="L282" s="174">
        <f t="shared" si="115"/>
        <v>0.64</v>
      </c>
      <c r="M282" s="174">
        <f t="shared" si="115"/>
        <v>0.64</v>
      </c>
      <c r="N282" s="174">
        <f t="shared" si="115"/>
        <v>0.64</v>
      </c>
      <c r="O282" s="174">
        <f t="shared" si="115"/>
        <v>0.64</v>
      </c>
      <c r="P282" s="174">
        <f t="shared" si="115"/>
        <v>0.64</v>
      </c>
      <c r="Q282" s="174">
        <f t="shared" si="115"/>
        <v>0.64</v>
      </c>
      <c r="R282" s="174">
        <f t="shared" si="115"/>
        <v>0.64</v>
      </c>
      <c r="S282" s="174">
        <f t="shared" si="115"/>
        <v>0.64</v>
      </c>
      <c r="T282" s="174">
        <f t="shared" si="115"/>
        <v>0.64</v>
      </c>
      <c r="U282" s="174">
        <f t="shared" si="115"/>
        <v>0.64</v>
      </c>
      <c r="V282" s="174">
        <f t="shared" si="115"/>
        <v>0.64</v>
      </c>
      <c r="W282" s="174">
        <f t="shared" si="115"/>
        <v>0.64</v>
      </c>
      <c r="X282" s="174">
        <f t="shared" si="115"/>
        <v>0.64</v>
      </c>
      <c r="Y282" s="174">
        <f t="shared" si="115"/>
        <v>0.64</v>
      </c>
      <c r="Z282" s="174">
        <f t="shared" si="115"/>
        <v>0.64</v>
      </c>
      <c r="AA282" s="174">
        <f t="shared" si="115"/>
        <v>0.64</v>
      </c>
      <c r="AB282" s="174">
        <f t="shared" si="115"/>
        <v>0.64</v>
      </c>
      <c r="AC282" s="174">
        <f t="shared" si="115"/>
        <v>0.64</v>
      </c>
      <c r="AD282" s="174">
        <f t="shared" si="115"/>
        <v>0.64</v>
      </c>
      <c r="AE282" s="174">
        <f t="shared" si="115"/>
        <v>0.64</v>
      </c>
      <c r="AF282" s="174">
        <f>B251</f>
        <v>0.64</v>
      </c>
      <c r="AG282" s="43"/>
      <c r="AH282" s="43"/>
    </row>
    <row r="283" spans="1:34" x14ac:dyDescent="0.25">
      <c r="A283" s="175" t="e">
        <f>#REF!</f>
        <v>#REF!</v>
      </c>
      <c r="B283" s="175" t="e">
        <f>IF(#REF!&lt;100,"",#REF!-520)</f>
        <v>#REF!</v>
      </c>
      <c r="C283" s="175" t="e">
        <f>IF(#REF!&lt;100,"",#REF!-520)</f>
        <v>#REF!</v>
      </c>
      <c r="D283" s="175" t="e">
        <f>IF(#REF!&lt;100,"",#REF!-520)</f>
        <v>#REF!</v>
      </c>
      <c r="E283" s="175" t="e">
        <f>IF(#REF!&lt;100,"",#REF!-520)</f>
        <v>#REF!</v>
      </c>
      <c r="F283" s="175" t="e">
        <f>IF(#REF!&lt;100,"",#REF!-520)</f>
        <v>#REF!</v>
      </c>
      <c r="G283" s="175" t="e">
        <f>IF(#REF!&lt;100,"",#REF!-520)</f>
        <v>#REF!</v>
      </c>
      <c r="H283" s="175" t="e">
        <f>IF(#REF!&lt;100,"",#REF!-520)</f>
        <v>#REF!</v>
      </c>
      <c r="I283" s="175" t="e">
        <f>IF(#REF!&lt;100,"",#REF!-520)</f>
        <v>#REF!</v>
      </c>
      <c r="J283" s="175" t="e">
        <f>IF(#REF!&lt;100,"",#REF!-520)</f>
        <v>#REF!</v>
      </c>
      <c r="K283" s="175" t="e">
        <f>IF(#REF!&lt;100,"",#REF!-520)</f>
        <v>#REF!</v>
      </c>
      <c r="L283" s="175" t="e">
        <f>IF(#REF!&lt;100,"",#REF!-520)</f>
        <v>#REF!</v>
      </c>
      <c r="M283" s="175" t="e">
        <f>IF(#REF!&lt;100,"",#REF!-520)</f>
        <v>#REF!</v>
      </c>
      <c r="N283" s="175" t="e">
        <f>IF(#REF!&lt;100,"",#REF!-520)</f>
        <v>#REF!</v>
      </c>
      <c r="O283" s="175" t="e">
        <f>IF(#REF!&lt;100,"",#REF!-520)</f>
        <v>#REF!</v>
      </c>
      <c r="P283" s="175" t="e">
        <f>IF(#REF!&lt;100,"",#REF!-520)</f>
        <v>#REF!</v>
      </c>
      <c r="Q283" s="175" t="e">
        <f>IF(#REF!&lt;100,"",#REF!-520)</f>
        <v>#REF!</v>
      </c>
      <c r="R283" s="175" t="e">
        <f>IF(#REF!&lt;100,"",#REF!-520)</f>
        <v>#REF!</v>
      </c>
      <c r="S283" s="175" t="e">
        <f>IF(#REF!&lt;100,"",#REF!-520)</f>
        <v>#REF!</v>
      </c>
      <c r="T283" s="175" t="e">
        <f>IF(#REF!&lt;100,"",#REF!-520)</f>
        <v>#REF!</v>
      </c>
      <c r="U283" s="175" t="e">
        <f>IF(#REF!&lt;100,"",#REF!-520)</f>
        <v>#REF!</v>
      </c>
      <c r="V283" s="175" t="e">
        <f>IF(#REF!&lt;100,"",#REF!-520)</f>
        <v>#REF!</v>
      </c>
      <c r="W283" s="175" t="e">
        <f>IF(#REF!&lt;100,"",#REF!-520)</f>
        <v>#REF!</v>
      </c>
      <c r="X283" s="175" t="e">
        <f>IF(#REF!&lt;100,"",#REF!-520)</f>
        <v>#REF!</v>
      </c>
      <c r="Y283" s="175" t="e">
        <f>IF(#REF!&lt;100,"",#REF!-520)</f>
        <v>#REF!</v>
      </c>
      <c r="Z283" s="175" t="e">
        <f>IF(#REF!&lt;100,"",#REF!-520)</f>
        <v>#REF!</v>
      </c>
      <c r="AA283" s="175" t="e">
        <f>IF(#REF!&lt;100,"",#REF!-520)</f>
        <v>#REF!</v>
      </c>
      <c r="AB283" s="175" t="e">
        <f>IF(#REF!&lt;100,"",#REF!-520)</f>
        <v>#REF!</v>
      </c>
      <c r="AC283" s="175" t="e">
        <f>IF(#REF!&lt;100,"",#REF!-520)</f>
        <v>#REF!</v>
      </c>
      <c r="AD283" s="175" t="e">
        <f>IF(#REF!&lt;100,"",#REF!-520)</f>
        <v>#REF!</v>
      </c>
      <c r="AE283" s="175" t="e">
        <f>IF(#REF!&lt;100,"",#REF!-520)</f>
        <v>#REF!</v>
      </c>
      <c r="AF283" s="175" t="e">
        <f>IF(#REF!&lt;100,"",#REF!-520)</f>
        <v>#REF!</v>
      </c>
      <c r="AG283" s="43"/>
      <c r="AH283" s="43"/>
    </row>
    <row r="284" spans="1:34" x14ac:dyDescent="0.25">
      <c r="A284" s="175" t="e">
        <f>#REF!</f>
        <v>#REF!</v>
      </c>
      <c r="B284" s="175" t="e">
        <f>IF(#REF!&lt;100,"",#REF!-620)</f>
        <v>#REF!</v>
      </c>
      <c r="C284" s="175" t="e">
        <f>IF(#REF!&lt;100,"",#REF!-620)</f>
        <v>#REF!</v>
      </c>
      <c r="D284" s="175" t="e">
        <f>IF(#REF!&lt;100,"",#REF!-620)</f>
        <v>#REF!</v>
      </c>
      <c r="E284" s="175" t="e">
        <f>IF(#REF!&lt;100,"",#REF!-620)</f>
        <v>#REF!</v>
      </c>
      <c r="F284" s="175" t="e">
        <f>IF(#REF!&lt;100,"",#REF!-620)</f>
        <v>#REF!</v>
      </c>
      <c r="G284" s="175" t="e">
        <f>IF(#REF!&lt;100,"",#REF!-620)</f>
        <v>#REF!</v>
      </c>
      <c r="H284" s="175" t="e">
        <f>IF(#REF!&lt;100,"",#REF!-620)</f>
        <v>#REF!</v>
      </c>
      <c r="I284" s="175" t="e">
        <f>IF(#REF!&lt;100,"",#REF!-620)</f>
        <v>#REF!</v>
      </c>
      <c r="J284" s="175" t="e">
        <f>IF(#REF!&lt;100,"",#REF!-620)</f>
        <v>#REF!</v>
      </c>
      <c r="K284" s="175" t="e">
        <f>IF(#REF!&lt;100,"",#REF!-620)</f>
        <v>#REF!</v>
      </c>
      <c r="L284" s="175" t="e">
        <f>IF(#REF!&lt;100,"",#REF!-620)</f>
        <v>#REF!</v>
      </c>
      <c r="M284" s="175" t="e">
        <f>IF(#REF!&lt;100,"",#REF!-620)</f>
        <v>#REF!</v>
      </c>
      <c r="N284" s="175" t="e">
        <f>IF(#REF!&lt;100,"",#REF!-620)</f>
        <v>#REF!</v>
      </c>
      <c r="O284" s="175" t="e">
        <f>IF(#REF!&lt;100,"",#REF!-620)</f>
        <v>#REF!</v>
      </c>
      <c r="P284" s="175" t="e">
        <f>IF(#REF!&lt;100,"",#REF!-620)</f>
        <v>#REF!</v>
      </c>
      <c r="Q284" s="175" t="e">
        <f>IF(#REF!&lt;100,"",#REF!-620)</f>
        <v>#REF!</v>
      </c>
      <c r="R284" s="175" t="e">
        <f>IF(#REF!&lt;100,"",#REF!-620)</f>
        <v>#REF!</v>
      </c>
      <c r="S284" s="175" t="e">
        <f>IF(#REF!&lt;100,"",#REF!-620)</f>
        <v>#REF!</v>
      </c>
      <c r="T284" s="175" t="e">
        <f>IF(#REF!&lt;100,"",#REF!-620)</f>
        <v>#REF!</v>
      </c>
      <c r="U284" s="175" t="e">
        <f>IF(#REF!&lt;100,"",#REF!-620)</f>
        <v>#REF!</v>
      </c>
      <c r="V284" s="175" t="e">
        <f>IF(#REF!&lt;100,"",#REF!-620)</f>
        <v>#REF!</v>
      </c>
      <c r="W284" s="175" t="e">
        <f>IF(#REF!&lt;100,"",#REF!-620)</f>
        <v>#REF!</v>
      </c>
      <c r="X284" s="175" t="e">
        <f>IF(#REF!&lt;100,"",#REF!-620)</f>
        <v>#REF!</v>
      </c>
      <c r="Y284" s="175" t="e">
        <f>IF(#REF!&lt;100,"",#REF!-620)</f>
        <v>#REF!</v>
      </c>
      <c r="Z284" s="175" t="e">
        <f>IF(#REF!&lt;100,"",#REF!-620)</f>
        <v>#REF!</v>
      </c>
      <c r="AA284" s="175" t="e">
        <f>IF(#REF!&lt;100,"",#REF!-620)</f>
        <v>#REF!</v>
      </c>
      <c r="AB284" s="175" t="e">
        <f>IF(#REF!&lt;100,"",#REF!-620)</f>
        <v>#REF!</v>
      </c>
      <c r="AC284" s="175" t="e">
        <f>IF(#REF!&lt;100,"",#REF!-620)</f>
        <v>#REF!</v>
      </c>
      <c r="AD284" s="175" t="e">
        <f>IF(#REF!&lt;100,"",#REF!-620)</f>
        <v>#REF!</v>
      </c>
      <c r="AE284" s="175" t="e">
        <f>IF(#REF!&lt;100,"",#REF!-620)</f>
        <v>#REF!</v>
      </c>
      <c r="AF284" s="175" t="e">
        <f>IF(#REF!&lt;100,"",#REF!-620)</f>
        <v>#REF!</v>
      </c>
      <c r="AG284" s="43"/>
      <c r="AH284" s="43"/>
    </row>
    <row r="285" spans="1:34" x14ac:dyDescent="0.25">
      <c r="A285" s="175" t="e">
        <f>#REF!</f>
        <v>#REF!</v>
      </c>
      <c r="B285" s="175" t="e">
        <f>IF(#REF!&lt;100,"",#REF!-330)</f>
        <v>#REF!</v>
      </c>
      <c r="C285" s="175" t="e">
        <f>IF(#REF!&lt;100,"",#REF!-330)</f>
        <v>#REF!</v>
      </c>
      <c r="D285" s="175" t="e">
        <f>IF(#REF!&lt;100,"",#REF!-330)</f>
        <v>#REF!</v>
      </c>
      <c r="E285" s="175" t="e">
        <f>IF(#REF!&lt;100,"",#REF!-330)</f>
        <v>#REF!</v>
      </c>
      <c r="F285" s="175" t="e">
        <f>IF(#REF!&lt;100,"",#REF!-330)</f>
        <v>#REF!</v>
      </c>
      <c r="G285" s="175" t="e">
        <f>IF(#REF!&lt;100,"",#REF!-330)</f>
        <v>#REF!</v>
      </c>
      <c r="H285" s="175" t="e">
        <f>IF(#REF!&lt;100,"",#REF!-330)</f>
        <v>#REF!</v>
      </c>
      <c r="I285" s="175" t="e">
        <f>IF(#REF!&lt;100,"",#REF!-330)</f>
        <v>#REF!</v>
      </c>
      <c r="J285" s="175" t="e">
        <f>IF(#REF!&lt;100,"",#REF!-330)</f>
        <v>#REF!</v>
      </c>
      <c r="K285" s="175" t="e">
        <f>IF(#REF!&lt;100,"",#REF!-330)</f>
        <v>#REF!</v>
      </c>
      <c r="L285" s="175" t="e">
        <f>IF(#REF!&lt;100,"",#REF!-330)</f>
        <v>#REF!</v>
      </c>
      <c r="M285" s="175" t="e">
        <f>IF(#REF!&lt;100,"",#REF!-330)</f>
        <v>#REF!</v>
      </c>
      <c r="N285" s="175" t="e">
        <f>IF(#REF!&lt;100,"",#REF!-330)</f>
        <v>#REF!</v>
      </c>
      <c r="O285" s="175" t="e">
        <f>IF(#REF!&lt;100,"",#REF!-330)</f>
        <v>#REF!</v>
      </c>
      <c r="P285" s="175" t="e">
        <f>IF(#REF!&lt;100,"",#REF!-330)</f>
        <v>#REF!</v>
      </c>
      <c r="Q285" s="175" t="e">
        <f>IF(#REF!&lt;100,"",#REF!-330)</f>
        <v>#REF!</v>
      </c>
      <c r="R285" s="175" t="e">
        <f>IF(#REF!&lt;100,"",#REF!-330)</f>
        <v>#REF!</v>
      </c>
      <c r="S285" s="175" t="e">
        <f>IF(#REF!&lt;100,"",#REF!-330)</f>
        <v>#REF!</v>
      </c>
      <c r="T285" s="175" t="e">
        <f>IF(#REF!&lt;100,"",#REF!-330)</f>
        <v>#REF!</v>
      </c>
      <c r="U285" s="175" t="e">
        <f>IF(#REF!&lt;100,"",#REF!-330)</f>
        <v>#REF!</v>
      </c>
      <c r="V285" s="175" t="e">
        <f>IF(#REF!&lt;100,"",#REF!-330)</f>
        <v>#REF!</v>
      </c>
      <c r="W285" s="175" t="e">
        <f>IF(#REF!&lt;100,"",#REF!-330)</f>
        <v>#REF!</v>
      </c>
      <c r="X285" s="175" t="e">
        <f>IF(#REF!&lt;100,"",#REF!-330)</f>
        <v>#REF!</v>
      </c>
      <c r="Y285" s="175" t="e">
        <f>IF(#REF!&lt;100,"",#REF!-330)</f>
        <v>#REF!</v>
      </c>
      <c r="Z285" s="175" t="e">
        <f>IF(#REF!&lt;100,"",#REF!-330)</f>
        <v>#REF!</v>
      </c>
      <c r="AA285" s="175" t="e">
        <f>IF(#REF!&lt;100,"",#REF!-330)</f>
        <v>#REF!</v>
      </c>
      <c r="AB285" s="175" t="e">
        <f>IF(#REF!&lt;100,"",#REF!-330)</f>
        <v>#REF!</v>
      </c>
      <c r="AC285" s="175" t="e">
        <f>IF(#REF!&lt;100,"",#REF!-330)</f>
        <v>#REF!</v>
      </c>
      <c r="AD285" s="175" t="e">
        <f>IF(#REF!&lt;100,"",#REF!-330)</f>
        <v>#REF!</v>
      </c>
      <c r="AE285" s="175" t="e">
        <f>IF(#REF!&lt;100,"",#REF!-330)</f>
        <v>#REF!</v>
      </c>
      <c r="AF285" s="175" t="e">
        <f>IF(#REF!&lt;100,"",#REF!-330)</f>
        <v>#REF!</v>
      </c>
      <c r="AG285" s="43"/>
      <c r="AH285" s="43"/>
    </row>
    <row r="286" spans="1:34" x14ac:dyDescent="0.25">
      <c r="A286" s="175" t="e">
        <f>#REF!</f>
        <v>#REF!</v>
      </c>
      <c r="B286" s="175" t="e">
        <f>IF(#REF!&lt;100,"",#REF!-1500)</f>
        <v>#REF!</v>
      </c>
      <c r="C286" s="175" t="e">
        <f>IF(#REF!&lt;100,"",#REF!-1500)</f>
        <v>#REF!</v>
      </c>
      <c r="D286" s="175" t="e">
        <f>IF(#REF!&lt;100,"",#REF!-1500)</f>
        <v>#REF!</v>
      </c>
      <c r="E286" s="175" t="e">
        <f>IF(#REF!&lt;100,"",#REF!-1500)</f>
        <v>#REF!</v>
      </c>
      <c r="F286" s="175" t="e">
        <f>IF(#REF!&lt;100,"",#REF!-1500)</f>
        <v>#REF!</v>
      </c>
      <c r="G286" s="175" t="e">
        <f>IF(#REF!&lt;100,"",#REF!-1500)</f>
        <v>#REF!</v>
      </c>
      <c r="H286" s="175" t="e">
        <f>IF(#REF!&lt;100,"",#REF!-1500)</f>
        <v>#REF!</v>
      </c>
      <c r="I286" s="175" t="e">
        <f>IF(#REF!&lt;100,"",#REF!-1500)</f>
        <v>#REF!</v>
      </c>
      <c r="J286" s="175" t="e">
        <f>IF(#REF!&lt;100,"",#REF!-1500)</f>
        <v>#REF!</v>
      </c>
      <c r="K286" s="175" t="e">
        <f>IF(#REF!&lt;100,"",#REF!-1500)</f>
        <v>#REF!</v>
      </c>
      <c r="L286" s="175" t="e">
        <f>IF(#REF!&lt;100,"",#REF!-1500)</f>
        <v>#REF!</v>
      </c>
      <c r="M286" s="175" t="e">
        <f>IF(#REF!&lt;100,"",#REF!-1500)</f>
        <v>#REF!</v>
      </c>
      <c r="N286" s="175" t="e">
        <f>IF(#REF!&lt;100,"",#REF!-1500)</f>
        <v>#REF!</v>
      </c>
      <c r="O286" s="175" t="e">
        <f>IF(#REF!&lt;100,"",#REF!-1500)</f>
        <v>#REF!</v>
      </c>
      <c r="P286" s="175" t="e">
        <f>IF(#REF!&lt;100,"",#REF!-1500)</f>
        <v>#REF!</v>
      </c>
      <c r="Q286" s="175" t="e">
        <f>IF(#REF!&lt;100,"",#REF!-1500)</f>
        <v>#REF!</v>
      </c>
      <c r="R286" s="175" t="e">
        <f>IF(#REF!&lt;100,"",#REF!-1500)</f>
        <v>#REF!</v>
      </c>
      <c r="S286" s="175" t="e">
        <f>IF(#REF!&lt;100,"",#REF!-1500)</f>
        <v>#REF!</v>
      </c>
      <c r="T286" s="175" t="e">
        <f>IF(#REF!&lt;100,"",#REF!-1500)</f>
        <v>#REF!</v>
      </c>
      <c r="U286" s="175" t="e">
        <f>IF(#REF!&lt;100,"",#REF!-1500)</f>
        <v>#REF!</v>
      </c>
      <c r="V286" s="175" t="e">
        <f>IF(#REF!&lt;100,"",#REF!-1500)</f>
        <v>#REF!</v>
      </c>
      <c r="W286" s="175" t="e">
        <f>IF(#REF!&lt;100,"",#REF!-1500)</f>
        <v>#REF!</v>
      </c>
      <c r="X286" s="175" t="e">
        <f>IF(#REF!&lt;100,"",#REF!-1500)</f>
        <v>#REF!</v>
      </c>
      <c r="Y286" s="175" t="e">
        <f>IF(#REF!&lt;100,"",#REF!-1500)</f>
        <v>#REF!</v>
      </c>
      <c r="Z286" s="175" t="e">
        <f>IF(#REF!&lt;100,"",#REF!-1500)</f>
        <v>#REF!</v>
      </c>
      <c r="AA286" s="175" t="e">
        <f>IF(#REF!&lt;100,"",#REF!-1500)</f>
        <v>#REF!</v>
      </c>
      <c r="AB286" s="175" t="e">
        <f>IF(#REF!&lt;100,"",#REF!-1500)</f>
        <v>#REF!</v>
      </c>
      <c r="AC286" s="175" t="e">
        <f>IF(#REF!&lt;100,"",#REF!-1500)</f>
        <v>#REF!</v>
      </c>
      <c r="AD286" s="175" t="e">
        <f>IF(#REF!&lt;100,"",#REF!-1500)</f>
        <v>#REF!</v>
      </c>
      <c r="AE286" s="175" t="e">
        <f>IF(#REF!&lt;100,"",#REF!-1500)</f>
        <v>#REF!</v>
      </c>
      <c r="AF286" s="175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84" priority="54">
      <formula>$AH11=0</formula>
    </cfRule>
  </conditionalFormatting>
  <conditionalFormatting sqref="A132:A253">
    <cfRule type="expression" dxfId="483" priority="5">
      <formula>$AH132=0</formula>
    </cfRule>
  </conditionalFormatting>
  <conditionalFormatting sqref="B8 M8 S8 AB8">
    <cfRule type="expression" dxfId="482" priority="115">
      <formula>AND(C$9&gt;=8/24,C$9&lt;14/24)</formula>
    </cfRule>
    <cfRule type="expression" dxfId="481" priority="114">
      <formula>AND(C$9&gt;=14/24,C$9&lt;20/24)</formula>
    </cfRule>
    <cfRule type="expression" dxfId="480" priority="116">
      <formula>C$9&lt;8/24</formula>
    </cfRule>
  </conditionalFormatting>
  <conditionalFormatting sqref="B63:I74 J64:J74 H66:L74 M69:W74">
    <cfRule type="expression" dxfId="479" priority="20">
      <formula>B$9&gt;=20/24</formula>
    </cfRule>
    <cfRule type="expression" dxfId="478" priority="21">
      <formula>AND(B$9&gt;=14/24,B$9&lt;20/24)</formula>
    </cfRule>
    <cfRule type="expression" dxfId="477" priority="22">
      <formula>AND(B$9&gt;=8/24,B$9&lt;14/24)</formula>
    </cfRule>
    <cfRule type="expression" dxfId="476" priority="23">
      <formula>B$9&lt;8/24</formula>
    </cfRule>
  </conditionalFormatting>
  <conditionalFormatting sqref="B11:W54">
    <cfRule type="expression" dxfId="475" priority="14">
      <formula>B11&gt;$AG11</formula>
    </cfRule>
  </conditionalFormatting>
  <conditionalFormatting sqref="B53:W54">
    <cfRule type="expression" dxfId="474" priority="13">
      <formula>B$9&lt;8/24</formula>
    </cfRule>
  </conditionalFormatting>
  <conditionalFormatting sqref="B55:W55">
    <cfRule type="expression" dxfId="473" priority="34">
      <formula>B55&gt;$AG55</formula>
    </cfRule>
  </conditionalFormatting>
  <conditionalFormatting sqref="B55:W57">
    <cfRule type="expression" dxfId="472" priority="33">
      <formula>B$9&lt;8/24</formula>
    </cfRule>
  </conditionalFormatting>
  <conditionalFormatting sqref="B9:AF52">
    <cfRule type="expression" dxfId="471" priority="25">
      <formula>B$9&gt;=20/24</formula>
    </cfRule>
    <cfRule type="expression" dxfId="470" priority="26">
      <formula>AND(B$9&gt;=14/24,B$9&lt;20/24)</formula>
    </cfRule>
    <cfRule type="expression" dxfId="469" priority="27">
      <formula>AND(B$9&gt;=8/24,B$9&lt;14/24)</formula>
    </cfRule>
    <cfRule type="expression" dxfId="468" priority="28">
      <formula>B$9&lt;8/24</formula>
    </cfRule>
  </conditionalFormatting>
  <conditionalFormatting sqref="B53:AF54">
    <cfRule type="expression" dxfId="467" priority="10">
      <formula>B$9&gt;=20/24</formula>
    </cfRule>
    <cfRule type="expression" dxfId="466" priority="11">
      <formula>AND(B$9&gt;=14/24,B$9&lt;20/24)</formula>
    </cfRule>
    <cfRule type="expression" dxfId="465" priority="12">
      <formula>AND(B$9&gt;=8/24,B$9&lt;14/24)</formula>
    </cfRule>
  </conditionalFormatting>
  <conditionalFormatting sqref="B55:AF57">
    <cfRule type="expression" dxfId="464" priority="30">
      <formula>B$9&gt;=20/24</formula>
    </cfRule>
    <cfRule type="expression" dxfId="463" priority="31">
      <formula>AND(B$9&gt;=14/24,B$9&lt;20/24)</formula>
    </cfRule>
    <cfRule type="expression" dxfId="462" priority="32">
      <formula>AND(B$9&gt;=8/24,B$9&lt;14/24)</formula>
    </cfRule>
  </conditionalFormatting>
  <conditionalFormatting sqref="B56:AF61">
    <cfRule type="expression" dxfId="461" priority="29">
      <formula>B56&gt;$AG56</formula>
    </cfRule>
  </conditionalFormatting>
  <conditionalFormatting sqref="B59:AF61">
    <cfRule type="expression" dxfId="460" priority="41">
      <formula>AND(B$9&gt;=14/24,B$9&lt;20/24)</formula>
    </cfRule>
    <cfRule type="expression" dxfId="459" priority="43">
      <formula>B$9&lt;8/24</formula>
    </cfRule>
    <cfRule type="expression" dxfId="458" priority="42">
      <formula>AND(B$9&gt;=8/24,B$9&lt;14/24)</formula>
    </cfRule>
    <cfRule type="expression" dxfId="457" priority="40">
      <formula>B$9&gt;=20/24</formula>
    </cfRule>
  </conditionalFormatting>
  <conditionalFormatting sqref="B63:AF74">
    <cfRule type="expression" dxfId="456" priority="19">
      <formula>B63&gt;$AG63</formula>
    </cfRule>
  </conditionalFormatting>
  <conditionalFormatting sqref="B77:AF79">
    <cfRule type="expression" dxfId="455" priority="45">
      <formula>B$9&gt;=20/24</formula>
    </cfRule>
    <cfRule type="expression" dxfId="454" priority="46">
      <formula>AND(B$9&gt;=14/24,B$9&lt;20/24)</formula>
    </cfRule>
    <cfRule type="expression" dxfId="453" priority="47">
      <formula>AND(B$9&gt;=8/24,B$9&lt;14/24)</formula>
    </cfRule>
    <cfRule type="expression" dxfId="452" priority="48">
      <formula>B$9&lt;8/24</formula>
    </cfRule>
    <cfRule type="expression" dxfId="451" priority="44">
      <formula>B77&gt;$AG77</formula>
    </cfRule>
  </conditionalFormatting>
  <conditionalFormatting sqref="B81:AF99">
    <cfRule type="expression" dxfId="450" priority="16">
      <formula>AND(B$9&gt;=14/24,B$9&lt;20/24)</formula>
    </cfRule>
    <cfRule type="expression" dxfId="449" priority="15">
      <formula>B$9&gt;=20/24</formula>
    </cfRule>
    <cfRule type="expression" dxfId="448" priority="18">
      <formula>B$9&lt;8/24</formula>
    </cfRule>
    <cfRule type="expression" dxfId="447" priority="17">
      <formula>AND(B$9&gt;=8/24,B$9&lt;14/24)</formula>
    </cfRule>
  </conditionalFormatting>
  <conditionalFormatting sqref="B101:AF117">
    <cfRule type="expression" dxfId="446" priority="9">
      <formula>B$9&lt;8/24</formula>
    </cfRule>
    <cfRule type="expression" dxfId="445" priority="8">
      <formula>AND(B$9&gt;=8/24,B$9&lt;14/24)</formula>
    </cfRule>
    <cfRule type="expression" dxfId="444" priority="7">
      <formula>AND(B$9&gt;=14/24,B$9&lt;20/24)</formula>
    </cfRule>
    <cfRule type="expression" dxfId="443" priority="6">
      <formula>B$9&gt;=20/24</formula>
    </cfRule>
  </conditionalFormatting>
  <conditionalFormatting sqref="B119:AF137">
    <cfRule type="expression" dxfId="442" priority="2">
      <formula>AND(B$9&gt;=14/24,B$9&lt;20/24)</formula>
    </cfRule>
    <cfRule type="expression" dxfId="441" priority="3">
      <formula>AND(B$9&gt;=8/24,B$9&lt;14/24)</formula>
    </cfRule>
    <cfRule type="expression" dxfId="440" priority="4">
      <formula>B$9&lt;8/24</formula>
    </cfRule>
    <cfRule type="expression" dxfId="439" priority="1">
      <formula>B$9&gt;=20/24</formula>
    </cfRule>
  </conditionalFormatting>
  <conditionalFormatting sqref="B244:AF244 B246:B252 D246:AF252 U260:AF260">
    <cfRule type="expression" dxfId="438" priority="110">
      <formula>B$9&lt;8/24</formula>
    </cfRule>
    <cfRule type="expression" dxfId="437" priority="109">
      <formula>AND(B$9&gt;=8/24,B$9&lt;14/24)</formula>
    </cfRule>
    <cfRule type="expression" dxfId="436" priority="108">
      <formula>AND(B$9&gt;=14/24,B$9&lt;20/24)</formula>
    </cfRule>
    <cfRule type="expression" dxfId="435" priority="107">
      <formula>B$9&gt;=20/24</formula>
    </cfRule>
  </conditionalFormatting>
  <conditionalFormatting sqref="B62:AG62">
    <cfRule type="expression" dxfId="434" priority="49">
      <formula>B62&gt;$AG62</formula>
    </cfRule>
    <cfRule type="expression" dxfId="433" priority="50">
      <formula>B$9&gt;=20/24</formula>
    </cfRule>
    <cfRule type="expression" dxfId="432" priority="51">
      <formula>AND(B$9&gt;=14/24,B$9&lt;20/24)</formula>
    </cfRule>
    <cfRule type="expression" dxfId="431" priority="52">
      <formula>AND(B$9&gt;=8/24,B$9&lt;14/24)</formula>
    </cfRule>
    <cfRule type="expression" dxfId="430" priority="53">
      <formula>B$9&lt;8/24</formula>
    </cfRule>
  </conditionalFormatting>
  <conditionalFormatting sqref="B75:AG76 B80:AG80">
    <cfRule type="expression" dxfId="429" priority="35">
      <formula>B75&gt;$AG75</formula>
    </cfRule>
  </conditionalFormatting>
  <conditionalFormatting sqref="B80:AG80">
    <cfRule type="expression" dxfId="428" priority="38">
      <formula>AND(B$9&gt;=8/24,B$9&lt;14/24)</formula>
    </cfRule>
    <cfRule type="expression" dxfId="427" priority="39">
      <formula>B$9&lt;8/24</formula>
    </cfRule>
    <cfRule type="expression" dxfId="426" priority="36">
      <formula>B$9&gt;=20/24</formula>
    </cfRule>
    <cfRule type="expression" dxfId="425" priority="37">
      <formula>AND(B$9&gt;=14/24,B$9&lt;20/24)</formula>
    </cfRule>
  </conditionalFormatting>
  <conditionalFormatting sqref="F63:L65">
    <cfRule type="expression" dxfId="424" priority="91">
      <formula>F$9&lt;8/24</formula>
    </cfRule>
    <cfRule type="expression" dxfId="423" priority="90">
      <formula>AND(F$9&gt;=8/24,F$9&lt;14/24)</formula>
    </cfRule>
    <cfRule type="expression" dxfId="422" priority="89">
      <formula>AND(F$9&gt;=14/24,F$9&lt;20/24)</formula>
    </cfRule>
    <cfRule type="expression" dxfId="421" priority="88">
      <formula>F$9&gt;=20/24</formula>
    </cfRule>
  </conditionalFormatting>
  <conditionalFormatting sqref="F68:W68">
    <cfRule type="expression" dxfId="420" priority="65">
      <formula>F$9&gt;=20/24</formula>
    </cfRule>
    <cfRule type="expression" dxfId="419" priority="66">
      <formula>AND(F$9&gt;=14/24,F$9&lt;20/24)</formula>
    </cfRule>
    <cfRule type="expression" dxfId="418" priority="67">
      <formula>AND(F$9&gt;=8/24,F$9&lt;14/24)</formula>
    </cfRule>
    <cfRule type="expression" dxfId="417" priority="68">
      <formula>F$9&lt;8/24</formula>
    </cfRule>
  </conditionalFormatting>
  <conditionalFormatting sqref="F69:AF74">
    <cfRule type="expression" dxfId="416" priority="55">
      <formula>F$9&gt;=20/24</formula>
    </cfRule>
    <cfRule type="expression" dxfId="415" priority="56">
      <formula>AND(F$9&gt;=14/24,F$9&lt;20/24)</formula>
    </cfRule>
    <cfRule type="expression" dxfId="414" priority="57">
      <formula>AND(F$9&gt;=8/24,F$9&lt;14/24)</formula>
    </cfRule>
    <cfRule type="expression" dxfId="413" priority="58">
      <formula>F$9&lt;8/24</formula>
    </cfRule>
  </conditionalFormatting>
  <conditionalFormatting sqref="M63:W67">
    <cfRule type="expression" dxfId="412" priority="93">
      <formula>AND(M$9&gt;=14/24,M$9&lt;20/24)</formula>
    </cfRule>
    <cfRule type="expression" dxfId="411" priority="92">
      <formula>M$9&gt;=20/24</formula>
    </cfRule>
    <cfRule type="expression" dxfId="410" priority="94">
      <formula>AND(M$9&gt;=8/24,M$9&lt;14/24)</formula>
    </cfRule>
    <cfRule type="expression" dxfId="409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08" priority="113">
      <formula>C$9&gt;=20/24</formula>
    </cfRule>
  </conditionalFormatting>
  <conditionalFormatting sqref="S8">
    <cfRule type="expression" dxfId="407" priority="101">
      <formula>AND(U$9&gt;=14/24,U$9&lt;20/24)</formula>
    </cfRule>
    <cfRule type="expression" dxfId="406" priority="103">
      <formula>U$9&lt;8/24</formula>
    </cfRule>
    <cfRule type="expression" dxfId="405" priority="102">
      <formula>AND(U$9&gt;=8/24,U$9&lt;14/24)</formula>
    </cfRule>
    <cfRule type="expression" dxfId="404" priority="100">
      <formula>U$9&gt;=20/24</formula>
    </cfRule>
  </conditionalFormatting>
  <conditionalFormatting sqref="T260">
    <cfRule type="expression" dxfId="403" priority="128">
      <formula>AX$9&lt;8/24</formula>
    </cfRule>
    <cfRule type="expression" dxfId="402" priority="125">
      <formula>AX$9&gt;=20/24</formula>
    </cfRule>
    <cfRule type="expression" dxfId="401" priority="126">
      <formula>AND(AX$9&gt;=14/24,AX$9&lt;20/24)</formula>
    </cfRule>
    <cfRule type="expression" dxfId="400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X11:AF52">
    <cfRule type="expression" dxfId="399" priority="24">
      <formula>X11&gt;$AG11</formula>
    </cfRule>
  </conditionalFormatting>
  <conditionalFormatting sqref="X53:AF55">
    <cfRule type="expression" dxfId="398" priority="64">
      <formula>X53&gt;$AG53</formula>
    </cfRule>
  </conditionalFormatting>
  <conditionalFormatting sqref="X53:AF57">
    <cfRule type="expression" dxfId="397" priority="63">
      <formula>X$9&lt;8/24</formula>
    </cfRule>
  </conditionalFormatting>
  <conditionalFormatting sqref="X63:AF68">
    <cfRule type="expression" dxfId="396" priority="59">
      <formula>X$9&gt;=20/24</formula>
    </cfRule>
    <cfRule type="expression" dxfId="395" priority="60">
      <formula>AND(X$9&gt;=14/24,X$9&lt;20/24)</formula>
    </cfRule>
    <cfRule type="expression" dxfId="394" priority="62">
      <formula>X$9&lt;8/24</formula>
    </cfRule>
    <cfRule type="expression" dxfId="393" priority="61">
      <formula>AND(X$9&gt;=8/24,X$9&lt;14/24)</formula>
    </cfRule>
  </conditionalFormatting>
  <conditionalFormatting sqref="AB8">
    <cfRule type="expression" dxfId="392" priority="96">
      <formula>AD$9&gt;=20/24</formula>
    </cfRule>
    <cfRule type="expression" dxfId="391" priority="97">
      <formula>AND(AD$9&gt;=14/24,AD$9&lt;20/24)</formula>
    </cfRule>
    <cfRule type="expression" dxfId="390" priority="98">
      <formula>AND(AD$9&gt;=8/24,AD$9&lt;14/24)</formula>
    </cfRule>
    <cfRule type="expression" dxfId="389" priority="99">
      <formula>AD$9&lt;8/24</formula>
    </cfRule>
  </conditionalFormatting>
  <conditionalFormatting sqref="AG58">
    <cfRule type="expression" dxfId="388" priority="83">
      <formula>AG58&gt;$AG58</formula>
    </cfRule>
  </conditionalFormatting>
  <conditionalFormatting sqref="AG97">
    <cfRule type="expression" dxfId="387" priority="84">
      <formula>AG$9&gt;=20/24</formula>
    </cfRule>
    <cfRule type="expression" dxfId="386" priority="85">
      <formula>AND(AG$9&gt;=14/24,AG$9&lt;20/24)</formula>
    </cfRule>
    <cfRule type="expression" dxfId="385" priority="87">
      <formula>AG$9&lt;8/24</formula>
    </cfRule>
    <cfRule type="expression" dxfId="384" priority="86">
      <formula>AND(AG$9&gt;=8/24,AG$9&lt;14/24)</formula>
    </cfRule>
  </conditionalFormatting>
  <conditionalFormatting sqref="AG260">
    <cfRule type="expression" dxfId="383" priority="120">
      <formula>B$9&lt;8/24</formula>
    </cfRule>
    <cfRule type="expression" dxfId="382" priority="117">
      <formula>B$9&gt;=20/24</formula>
    </cfRule>
    <cfRule type="expression" dxfId="381" priority="118">
      <formula>AND(B$9&gt;=14/24,B$9&lt;20/24)</formula>
    </cfRule>
    <cfRule type="expression" dxfId="380" priority="119">
      <formula>AND(B$9&gt;=8/24,B$9&lt;14/24)</formula>
    </cfRule>
  </conditionalFormatting>
  <conditionalFormatting sqref="AH260:AX260">
    <cfRule type="expression" dxfId="379" priority="121">
      <formula>AG$9&gt;=20/24</formula>
    </cfRule>
    <cfRule type="expression" dxfId="378" priority="122">
      <formula>AND(AG$9&gt;=14/24,AG$9&lt;20/24)</formula>
    </cfRule>
    <cfRule type="expression" dxfId="377" priority="123">
      <formula>AND(AG$9&gt;=8/24,AG$9&lt;14/24)</formula>
    </cfRule>
    <cfRule type="expression" dxfId="376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75" priority="130">
      <formula>AJ$9&gt;=20/24</formula>
    </cfRule>
    <cfRule type="expression" dxfId="374" priority="131">
      <formula>AND(AJ$9&gt;=14/24,AJ$9&lt;20/24)</formula>
    </cfRule>
    <cfRule type="expression" dxfId="373" priority="132">
      <formula>AND(AJ$9&gt;=8/24,AJ$9&lt;14/24)</formula>
    </cfRule>
    <cfRule type="expression" dxfId="372" priority="133">
      <formula>AJ$9&lt;8/24</formula>
    </cfRule>
  </conditionalFormatting>
  <conditionalFormatting sqref="AL88:AN88 AL94:AN94">
    <cfRule type="expression" dxfId="371" priority="79">
      <formula>AL$9&lt;8/24</formula>
    </cfRule>
    <cfRule type="expression" dxfId="370" priority="78">
      <formula>AND(AL$9&gt;=8/24,AL$9&lt;14/24)</formula>
    </cfRule>
    <cfRule type="expression" dxfId="369" priority="76">
      <formula>AL$9&gt;=20/24</formula>
    </cfRule>
    <cfRule type="expression" dxfId="368" priority="77">
      <formula>AND(AL$9&gt;=14/24,AL$9&lt;20/24)</formula>
    </cfRule>
  </conditionalFormatting>
  <conditionalFormatting sqref="AN89:AN92">
    <cfRule type="expression" dxfId="367" priority="75">
      <formula>AN$9&lt;8/24</formula>
    </cfRule>
    <cfRule type="expression" dxfId="366" priority="74">
      <formula>AND(AN$9&gt;=8/24,AN$9&lt;14/24)</formula>
    </cfRule>
    <cfRule type="expression" dxfId="365" priority="73">
      <formula>AND(AN$9&gt;=14/24,AN$9&lt;20/24)</formula>
    </cfRule>
    <cfRule type="expression" dxfId="364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1DBD-D533-45B3-A17E-04227984167F}">
  <sheetPr codeName="Sheet34"/>
  <dimension ref="A1:CJ293"/>
  <sheetViews>
    <sheetView zoomScale="106" workbookViewId="0">
      <pane xSplit="1" ySplit="10" topLeftCell="N11" activePane="bottomRight" state="frozen"/>
      <selection activeCell="P118" sqref="P118"/>
      <selection pane="topRight" activeCell="P118" sqref="P118"/>
      <selection pane="bottomLeft" activeCell="P118" sqref="P118"/>
      <selection pane="bottomRight" activeCell="AJ16" sqref="AJ1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str">
        <f ca="1">"2080/"&amp;"09/"&amp;INT(MID(CELL("filename",D6),FIND("]",CELL("filename",D6))+1,200))</f>
        <v>2080/09/29</v>
      </c>
      <c r="C4" s="246"/>
      <c r="D4" s="246"/>
      <c r="E4" s="247" t="str">
        <f ca="1">"2080/"&amp;"09/"&amp;INT(MID(CELL("filename",G6),FIND("]",CELL("filename",G6))+1,200))</f>
        <v>2080/09/29</v>
      </c>
      <c r="F4" s="247"/>
      <c r="G4" s="247"/>
      <c r="H4" s="247" t="str">
        <f ca="1">TEXT(E4,"dddd")</f>
        <v>Sunday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370.2</v>
      </c>
      <c r="C5" s="30">
        <f t="shared" si="0"/>
        <v>345.6</v>
      </c>
      <c r="D5" s="30">
        <f t="shared" si="0"/>
        <v>323.60000000000002</v>
      </c>
      <c r="E5" s="30">
        <f t="shared" si="0"/>
        <v>345.5</v>
      </c>
      <c r="F5" s="30">
        <f t="shared" si="0"/>
        <v>383.2</v>
      </c>
      <c r="G5" s="30">
        <f t="shared" si="0"/>
        <v>408.2</v>
      </c>
      <c r="H5" s="30">
        <f t="shared" si="0"/>
        <v>441</v>
      </c>
      <c r="I5" s="30">
        <f t="shared" si="0"/>
        <v>443.2</v>
      </c>
      <c r="J5" s="30">
        <f t="shared" si="0"/>
        <v>417</v>
      </c>
      <c r="K5" s="30">
        <f t="shared" si="0"/>
        <v>384</v>
      </c>
      <c r="L5" s="30">
        <f t="shared" si="0"/>
        <v>214.4</v>
      </c>
      <c r="M5" s="30">
        <f t="shared" si="0"/>
        <v>175.8</v>
      </c>
      <c r="N5" s="30">
        <f t="shared" si="0"/>
        <v>236.2</v>
      </c>
      <c r="O5" s="30">
        <f t="shared" si="0"/>
        <v>311.3</v>
      </c>
      <c r="P5" s="30">
        <f t="shared" si="0"/>
        <v>416.5</v>
      </c>
      <c r="Q5" s="30">
        <f t="shared" si="0"/>
        <v>472</v>
      </c>
      <c r="R5" s="30">
        <f t="shared" si="0"/>
        <v>489.4</v>
      </c>
      <c r="S5" s="30">
        <f t="shared" si="0"/>
        <v>479.59999999999997</v>
      </c>
      <c r="T5" s="30">
        <f t="shared" si="0"/>
        <v>442.5</v>
      </c>
      <c r="U5" s="30">
        <f t="shared" si="0"/>
        <v>344.9</v>
      </c>
      <c r="V5" s="30">
        <f t="shared" si="0"/>
        <v>271.5</v>
      </c>
      <c r="W5" s="30">
        <f t="shared" si="0"/>
        <v>272.3</v>
      </c>
      <c r="X5" s="30">
        <f t="shared" si="0"/>
        <v>265.89999999999998</v>
      </c>
      <c r="Y5" s="30">
        <f t="shared" si="0"/>
        <v>266</v>
      </c>
      <c r="Z5" s="30">
        <f t="shared" si="0"/>
        <v>265.2</v>
      </c>
      <c r="AA5" s="30">
        <f t="shared" si="0"/>
        <v>334</v>
      </c>
      <c r="AB5" s="30">
        <f t="shared" si="0"/>
        <v>340.5</v>
      </c>
      <c r="AC5" s="30">
        <f t="shared" si="0"/>
        <v>418</v>
      </c>
      <c r="AD5" s="30">
        <f t="shared" si="0"/>
        <v>413</v>
      </c>
      <c r="AE5" s="30">
        <f t="shared" si="0"/>
        <v>371</v>
      </c>
      <c r="AF5" s="30">
        <f>B92</f>
        <v>331.4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1503MW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Load=1047</v>
      </c>
      <c r="B7" s="35">
        <f>B100</f>
        <v>1137.2399999999998</v>
      </c>
      <c r="C7" s="35">
        <f t="shared" ref="C7:AF7" si="1">C100</f>
        <v>1092.94</v>
      </c>
      <c r="D7" s="35">
        <f t="shared" si="1"/>
        <v>1069.54</v>
      </c>
      <c r="E7" s="35">
        <f t="shared" si="1"/>
        <v>1047.3400000000001</v>
      </c>
      <c r="F7" s="35">
        <f t="shared" si="1"/>
        <v>1069.24</v>
      </c>
      <c r="G7" s="35">
        <f t="shared" si="1"/>
        <v>1144.9399999999998</v>
      </c>
      <c r="H7" s="35">
        <f t="shared" si="1"/>
        <v>1224.5400000000002</v>
      </c>
      <c r="I7" s="35">
        <f t="shared" si="1"/>
        <v>1366.3400000000001</v>
      </c>
      <c r="J7" s="35">
        <f t="shared" si="1"/>
        <v>1413.3400000000001</v>
      </c>
      <c r="K7" s="35">
        <f t="shared" si="1"/>
        <v>1409.14</v>
      </c>
      <c r="L7" s="35">
        <f t="shared" si="1"/>
        <v>1502.7400000000002</v>
      </c>
      <c r="M7" s="35">
        <f t="shared" si="1"/>
        <v>1452.8400000000001</v>
      </c>
      <c r="N7" s="35">
        <f t="shared" si="1"/>
        <v>1449.8400000000001</v>
      </c>
      <c r="O7" s="35">
        <f t="shared" si="1"/>
        <v>1418.5400000000002</v>
      </c>
      <c r="P7" s="35">
        <f t="shared" si="1"/>
        <v>1412.74</v>
      </c>
      <c r="Q7" s="35">
        <f t="shared" si="1"/>
        <v>1486.7400000000002</v>
      </c>
      <c r="R7" s="35">
        <f t="shared" si="1"/>
        <v>1490.9</v>
      </c>
      <c r="S7" s="35">
        <f t="shared" si="1"/>
        <v>1499.8400000000001</v>
      </c>
      <c r="T7" s="35">
        <f t="shared" si="1"/>
        <v>1492.84</v>
      </c>
      <c r="U7" s="35">
        <f t="shared" si="1"/>
        <v>1471.8400000000001</v>
      </c>
      <c r="V7" s="35">
        <f t="shared" si="1"/>
        <v>1446.54</v>
      </c>
      <c r="W7" s="35">
        <f t="shared" si="1"/>
        <v>1544.94</v>
      </c>
      <c r="X7" s="35">
        <f t="shared" si="1"/>
        <v>1545.74</v>
      </c>
      <c r="Y7" s="35">
        <f t="shared" si="1"/>
        <v>1580.8400000000001</v>
      </c>
      <c r="Z7" s="35">
        <f t="shared" si="1"/>
        <v>1716.34</v>
      </c>
      <c r="AA7" s="35">
        <f t="shared" si="1"/>
        <v>1668.3400000000001</v>
      </c>
      <c r="AB7" s="35">
        <f t="shared" si="1"/>
        <v>1597.94</v>
      </c>
      <c r="AC7" s="35">
        <f t="shared" si="1"/>
        <v>1584.44</v>
      </c>
      <c r="AD7" s="35">
        <f t="shared" si="1"/>
        <v>1390.64</v>
      </c>
      <c r="AE7" s="35">
        <f t="shared" si="1"/>
        <v>1355.64</v>
      </c>
      <c r="AF7" s="35">
        <f t="shared" si="1"/>
        <v>1226.6399999999999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35.1</v>
      </c>
      <c r="C11" s="45">
        <v>33.6</v>
      </c>
      <c r="D11" s="45">
        <v>34.799999999999997</v>
      </c>
      <c r="E11" s="45">
        <v>34.6</v>
      </c>
      <c r="F11" s="45">
        <v>34.6</v>
      </c>
      <c r="G11" s="45">
        <v>34.6</v>
      </c>
      <c r="H11" s="45">
        <v>34.6</v>
      </c>
      <c r="I11" s="45">
        <v>34.6</v>
      </c>
      <c r="J11" s="45">
        <v>34.6</v>
      </c>
      <c r="K11" s="45">
        <v>34.6</v>
      </c>
      <c r="L11" s="45">
        <v>34.6</v>
      </c>
      <c r="M11" s="45">
        <v>34.6</v>
      </c>
      <c r="N11" s="45">
        <v>34.6</v>
      </c>
      <c r="O11" s="45">
        <v>34.6</v>
      </c>
      <c r="P11" s="45">
        <v>34.6</v>
      </c>
      <c r="Q11" s="45">
        <v>34.6</v>
      </c>
      <c r="R11" s="45">
        <v>34.6</v>
      </c>
      <c r="S11" s="45">
        <v>32</v>
      </c>
      <c r="T11" s="45">
        <v>33.1</v>
      </c>
      <c r="U11" s="45">
        <v>33.200000000000003</v>
      </c>
      <c r="V11" s="45">
        <v>31.7</v>
      </c>
      <c r="W11" s="45">
        <v>31.7</v>
      </c>
      <c r="X11" s="45">
        <v>31.7</v>
      </c>
      <c r="Y11" s="45">
        <v>32.200000000000003</v>
      </c>
      <c r="Z11" s="45">
        <v>32.5</v>
      </c>
      <c r="AA11" s="45">
        <v>32.5</v>
      </c>
      <c r="AB11" s="45">
        <v>32.5</v>
      </c>
      <c r="AC11" s="45">
        <v>32.5</v>
      </c>
      <c r="AD11" s="45">
        <v>32.5</v>
      </c>
      <c r="AE11" s="45">
        <v>32.5</v>
      </c>
      <c r="AF11" s="45">
        <v>32.5</v>
      </c>
      <c r="AG11" s="46">
        <v>86</v>
      </c>
      <c r="AH11" s="47">
        <f t="shared" ref="AH11:AH84" si="2">MAX(B11:AF11)</f>
        <v>35.1</v>
      </c>
      <c r="AI11" s="48">
        <f t="shared" ref="AI11:AI84" si="3">MIN(B11:AF11)</f>
        <v>31.7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11.5</v>
      </c>
      <c r="C12" s="45">
        <v>11.5</v>
      </c>
      <c r="D12" s="45">
        <v>11.5</v>
      </c>
      <c r="E12" s="45">
        <v>11.5</v>
      </c>
      <c r="F12" s="45">
        <v>11.5</v>
      </c>
      <c r="G12" s="45">
        <v>11.5</v>
      </c>
      <c r="H12" s="45">
        <v>11.5</v>
      </c>
      <c r="I12" s="45">
        <v>11.5</v>
      </c>
      <c r="J12" s="45">
        <v>11.5</v>
      </c>
      <c r="K12" s="45">
        <v>11.5</v>
      </c>
      <c r="L12" s="45">
        <v>11.5</v>
      </c>
      <c r="M12" s="45">
        <v>11.5</v>
      </c>
      <c r="N12" s="45">
        <v>11.5</v>
      </c>
      <c r="O12" s="45">
        <v>11.5</v>
      </c>
      <c r="P12" s="45">
        <v>11.5</v>
      </c>
      <c r="Q12" s="45">
        <v>11.5</v>
      </c>
      <c r="R12" s="45">
        <v>11.5</v>
      </c>
      <c r="S12" s="45">
        <v>11.5</v>
      </c>
      <c r="T12" s="45">
        <v>11.5</v>
      </c>
      <c r="U12" s="45">
        <v>11.5</v>
      </c>
      <c r="V12" s="45">
        <v>11.5</v>
      </c>
      <c r="W12" s="45">
        <v>11.5</v>
      </c>
      <c r="X12" s="45">
        <v>11.5</v>
      </c>
      <c r="Y12" s="45">
        <v>11.5</v>
      </c>
      <c r="Z12" s="45">
        <v>11.5</v>
      </c>
      <c r="AA12" s="45">
        <v>11.5</v>
      </c>
      <c r="AB12" s="45">
        <v>11.5</v>
      </c>
      <c r="AC12" s="45">
        <v>11.5</v>
      </c>
      <c r="AD12" s="45">
        <v>11.5</v>
      </c>
      <c r="AE12" s="45">
        <v>11.5</v>
      </c>
      <c r="AF12" s="45">
        <v>11.5</v>
      </c>
      <c r="AG12" s="49">
        <v>54</v>
      </c>
      <c r="AH12" s="47">
        <f t="shared" si="2"/>
        <v>11.5</v>
      </c>
      <c r="AI12" s="48">
        <f t="shared" si="3"/>
        <v>11.5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17.5</v>
      </c>
      <c r="C14" s="45">
        <v>17.5</v>
      </c>
      <c r="D14" s="45">
        <v>17.5</v>
      </c>
      <c r="E14" s="45">
        <v>17.5</v>
      </c>
      <c r="F14" s="45">
        <v>17.5</v>
      </c>
      <c r="G14" s="45">
        <v>17.5</v>
      </c>
      <c r="H14" s="45">
        <v>17.100000000000001</v>
      </c>
      <c r="I14" s="45">
        <v>17.100000000000001</v>
      </c>
      <c r="J14" s="45">
        <v>17.100000000000001</v>
      </c>
      <c r="K14" s="45">
        <v>17.100000000000001</v>
      </c>
      <c r="L14" s="45">
        <v>17.100000000000001</v>
      </c>
      <c r="M14" s="45">
        <v>17.100000000000001</v>
      </c>
      <c r="N14" s="45">
        <v>17.100000000000001</v>
      </c>
      <c r="O14" s="45">
        <v>17.100000000000001</v>
      </c>
      <c r="P14" s="45">
        <v>17.100000000000001</v>
      </c>
      <c r="Q14" s="45">
        <v>17.100000000000001</v>
      </c>
      <c r="R14" s="45">
        <v>17.100000000000001</v>
      </c>
      <c r="S14" s="45">
        <v>16.100000000000001</v>
      </c>
      <c r="T14" s="45">
        <v>16.100000000000001</v>
      </c>
      <c r="U14" s="45">
        <v>16.100000000000001</v>
      </c>
      <c r="V14" s="45">
        <v>16.100000000000001</v>
      </c>
      <c r="W14" s="45">
        <v>16.100000000000001</v>
      </c>
      <c r="X14" s="45">
        <v>16.100000000000001</v>
      </c>
      <c r="Y14" s="45">
        <v>16.100000000000001</v>
      </c>
      <c r="Z14" s="45">
        <v>16.100000000000001</v>
      </c>
      <c r="AA14" s="45">
        <v>16.100000000000001</v>
      </c>
      <c r="AB14" s="45">
        <v>16.100000000000001</v>
      </c>
      <c r="AC14" s="45">
        <v>16.100000000000001</v>
      </c>
      <c r="AD14" s="45">
        <v>16.100000000000001</v>
      </c>
      <c r="AE14" s="45">
        <v>16.100000000000001</v>
      </c>
      <c r="AF14" s="45">
        <v>16.100000000000001</v>
      </c>
      <c r="AG14" s="46">
        <v>52.4</v>
      </c>
      <c r="AH14" s="47">
        <f t="shared" si="2"/>
        <v>17.5</v>
      </c>
      <c r="AI14" s="48">
        <f t="shared" si="3"/>
        <v>16.100000000000001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36.200000000000003</v>
      </c>
      <c r="C15" s="45">
        <v>36.200000000000003</v>
      </c>
      <c r="D15" s="45">
        <v>36.200000000000003</v>
      </c>
      <c r="E15" s="45">
        <v>36.200000000000003</v>
      </c>
      <c r="F15" s="45">
        <v>36.200000000000003</v>
      </c>
      <c r="G15" s="45">
        <v>36.200000000000003</v>
      </c>
      <c r="H15" s="45">
        <v>36.200000000000003</v>
      </c>
      <c r="I15" s="45">
        <v>36.200000000000003</v>
      </c>
      <c r="J15" s="45">
        <v>36.200000000000003</v>
      </c>
      <c r="K15" s="45">
        <v>36.200000000000003</v>
      </c>
      <c r="L15" s="45">
        <v>36.200000000000003</v>
      </c>
      <c r="M15" s="45">
        <v>36.200000000000003</v>
      </c>
      <c r="N15" s="45">
        <v>36.200000000000003</v>
      </c>
      <c r="O15" s="45">
        <v>36.200000000000003</v>
      </c>
      <c r="P15" s="45">
        <v>36.200000000000003</v>
      </c>
      <c r="Q15" s="45">
        <v>36.200000000000003</v>
      </c>
      <c r="R15" s="45">
        <v>36.200000000000003</v>
      </c>
      <c r="S15" s="45">
        <v>36.9</v>
      </c>
      <c r="T15" s="45">
        <v>36.9</v>
      </c>
      <c r="U15" s="45">
        <v>36.9</v>
      </c>
      <c r="V15" s="45">
        <v>36.9</v>
      </c>
      <c r="W15" s="45">
        <v>36.9</v>
      </c>
      <c r="X15" s="51">
        <v>36.9</v>
      </c>
      <c r="Y15" s="51">
        <v>36.9</v>
      </c>
      <c r="Z15" s="51">
        <v>36.9</v>
      </c>
      <c r="AA15" s="51">
        <v>36.9</v>
      </c>
      <c r="AB15" s="51">
        <v>36.9</v>
      </c>
      <c r="AC15" s="51">
        <v>36.9</v>
      </c>
      <c r="AD15" s="51">
        <v>36.9</v>
      </c>
      <c r="AE15" s="51">
        <v>36.9</v>
      </c>
      <c r="AF15" s="51">
        <v>36.9</v>
      </c>
      <c r="AG15" s="49">
        <v>50</v>
      </c>
      <c r="AH15" s="47">
        <f t="shared" si="2"/>
        <v>36.9</v>
      </c>
      <c r="AI15" s="48">
        <f t="shared" si="3"/>
        <v>36.200000000000003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18.600000000000001</v>
      </c>
      <c r="C16" s="45">
        <v>18.600000000000001</v>
      </c>
      <c r="D16" s="45">
        <v>18.600000000000001</v>
      </c>
      <c r="E16" s="45">
        <v>18.600000000000001</v>
      </c>
      <c r="F16" s="45">
        <v>18.600000000000001</v>
      </c>
      <c r="G16" s="45">
        <v>18.600000000000001</v>
      </c>
      <c r="H16" s="45">
        <v>18.600000000000001</v>
      </c>
      <c r="I16" s="45">
        <v>18.600000000000001</v>
      </c>
      <c r="J16" s="45">
        <v>18.600000000000001</v>
      </c>
      <c r="K16" s="45">
        <v>18.600000000000001</v>
      </c>
      <c r="L16" s="45">
        <v>18.600000000000001</v>
      </c>
      <c r="M16" s="45">
        <v>18.600000000000001</v>
      </c>
      <c r="N16" s="45">
        <v>18.600000000000001</v>
      </c>
      <c r="O16" s="45">
        <v>18.600000000000001</v>
      </c>
      <c r="P16" s="45">
        <v>18.600000000000001</v>
      </c>
      <c r="Q16" s="45">
        <v>18.600000000000001</v>
      </c>
      <c r="R16" s="45">
        <v>18.600000000000001</v>
      </c>
      <c r="S16" s="45">
        <v>17.8</v>
      </c>
      <c r="T16" s="45">
        <v>17.8</v>
      </c>
      <c r="U16" s="45">
        <v>17.8</v>
      </c>
      <c r="V16" s="45">
        <v>17.8</v>
      </c>
      <c r="W16" s="45">
        <v>17.8</v>
      </c>
      <c r="X16" s="45">
        <v>17.8</v>
      </c>
      <c r="Y16" s="45">
        <v>17.8</v>
      </c>
      <c r="Z16" s="45">
        <v>17.8</v>
      </c>
      <c r="AA16" s="45">
        <v>17.8</v>
      </c>
      <c r="AB16" s="45">
        <v>17.8</v>
      </c>
      <c r="AC16" s="45">
        <v>17.8</v>
      </c>
      <c r="AD16" s="45">
        <v>17.8</v>
      </c>
      <c r="AE16" s="45">
        <v>17.8</v>
      </c>
      <c r="AF16" s="45">
        <v>17.8</v>
      </c>
      <c r="AG16" s="49">
        <v>45</v>
      </c>
      <c r="AH16" s="47">
        <f t="shared" si="2"/>
        <v>18.600000000000001</v>
      </c>
      <c r="AI16" s="48">
        <f t="shared" si="3"/>
        <v>17.8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11</v>
      </c>
      <c r="C18" s="45">
        <v>11</v>
      </c>
      <c r="D18" s="45">
        <v>11</v>
      </c>
      <c r="E18" s="45">
        <v>11</v>
      </c>
      <c r="F18" s="45">
        <v>11</v>
      </c>
      <c r="G18" s="45">
        <v>11</v>
      </c>
      <c r="H18" s="45">
        <v>11</v>
      </c>
      <c r="I18" s="45">
        <v>11</v>
      </c>
      <c r="J18" s="45">
        <v>11</v>
      </c>
      <c r="K18" s="45">
        <v>11</v>
      </c>
      <c r="L18" s="45">
        <v>11</v>
      </c>
      <c r="M18" s="45">
        <v>11</v>
      </c>
      <c r="N18" s="45">
        <v>11</v>
      </c>
      <c r="O18" s="45">
        <v>11</v>
      </c>
      <c r="P18" s="45">
        <v>11</v>
      </c>
      <c r="Q18" s="45">
        <v>11</v>
      </c>
      <c r="R18" s="45">
        <v>11</v>
      </c>
      <c r="S18" s="45">
        <v>9</v>
      </c>
      <c r="T18" s="45">
        <v>9</v>
      </c>
      <c r="U18" s="45">
        <v>9</v>
      </c>
      <c r="V18" s="45">
        <v>9</v>
      </c>
      <c r="W18" s="45">
        <v>9</v>
      </c>
      <c r="X18" s="45">
        <v>9</v>
      </c>
      <c r="Y18" s="45">
        <v>9</v>
      </c>
      <c r="Z18" s="45">
        <v>9</v>
      </c>
      <c r="AA18" s="45">
        <v>9</v>
      </c>
      <c r="AB18" s="45">
        <v>9</v>
      </c>
      <c r="AC18" s="45">
        <v>9</v>
      </c>
      <c r="AD18" s="45">
        <v>9</v>
      </c>
      <c r="AE18" s="45">
        <v>9</v>
      </c>
      <c r="AF18" s="45">
        <v>9</v>
      </c>
      <c r="AG18" s="49">
        <v>42</v>
      </c>
      <c r="AH18" s="47">
        <f t="shared" si="2"/>
        <v>11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9.9</v>
      </c>
      <c r="C22" s="45">
        <v>9.9</v>
      </c>
      <c r="D22" s="45">
        <v>9.9</v>
      </c>
      <c r="E22" s="45">
        <v>9.9</v>
      </c>
      <c r="F22" s="45">
        <v>9.9</v>
      </c>
      <c r="G22" s="45">
        <v>9.9</v>
      </c>
      <c r="H22" s="45">
        <v>9.9</v>
      </c>
      <c r="I22" s="45">
        <v>9.9</v>
      </c>
      <c r="J22" s="45">
        <v>9.9</v>
      </c>
      <c r="K22" s="45">
        <v>9.9</v>
      </c>
      <c r="L22" s="45">
        <v>9.9</v>
      </c>
      <c r="M22" s="45">
        <v>9.9</v>
      </c>
      <c r="N22" s="45">
        <v>9.9</v>
      </c>
      <c r="O22" s="45">
        <v>9.9</v>
      </c>
      <c r="P22" s="45">
        <v>9.9</v>
      </c>
      <c r="Q22" s="45">
        <v>9.9</v>
      </c>
      <c r="R22" s="45">
        <v>9.9</v>
      </c>
      <c r="S22" s="45">
        <v>9.9</v>
      </c>
      <c r="T22" s="45">
        <v>9.9</v>
      </c>
      <c r="U22" s="45">
        <v>9.9</v>
      </c>
      <c r="V22" s="45">
        <v>9.9</v>
      </c>
      <c r="W22" s="45">
        <v>9.9</v>
      </c>
      <c r="X22" s="45">
        <v>9.9</v>
      </c>
      <c r="Y22" s="45">
        <v>9.9</v>
      </c>
      <c r="Z22" s="45">
        <v>9.9</v>
      </c>
      <c r="AA22" s="45">
        <v>9.9</v>
      </c>
      <c r="AB22" s="45">
        <v>9.9</v>
      </c>
      <c r="AC22" s="45">
        <v>9.9</v>
      </c>
      <c r="AD22" s="45">
        <v>9.9</v>
      </c>
      <c r="AE22" s="45">
        <v>9.9</v>
      </c>
      <c r="AF22" s="45">
        <v>9.9</v>
      </c>
      <c r="AG22" s="52">
        <v>30</v>
      </c>
      <c r="AH22" s="47">
        <f t="shared" si="2"/>
        <v>9.9</v>
      </c>
      <c r="AI22" s="48">
        <f t="shared" si="3"/>
        <v>9.9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11.6</v>
      </c>
      <c r="C24" s="45">
        <v>11.6</v>
      </c>
      <c r="D24" s="45">
        <v>11.6</v>
      </c>
      <c r="E24" s="45">
        <v>11.6</v>
      </c>
      <c r="F24" s="45">
        <v>11.6</v>
      </c>
      <c r="G24" s="45">
        <v>11.6</v>
      </c>
      <c r="H24" s="45">
        <v>11.6</v>
      </c>
      <c r="I24" s="45">
        <v>11.6</v>
      </c>
      <c r="J24" s="45">
        <v>11.6</v>
      </c>
      <c r="K24" s="45">
        <v>11.6</v>
      </c>
      <c r="L24" s="45">
        <v>11.6</v>
      </c>
      <c r="M24" s="45">
        <v>11.6</v>
      </c>
      <c r="N24" s="45">
        <v>11.6</v>
      </c>
      <c r="O24" s="45">
        <v>11.6</v>
      </c>
      <c r="P24" s="45">
        <v>11.6</v>
      </c>
      <c r="Q24" s="45">
        <v>11.6</v>
      </c>
      <c r="R24" s="45">
        <v>11.6</v>
      </c>
      <c r="S24" s="45">
        <v>11.6</v>
      </c>
      <c r="T24" s="45">
        <v>11.6</v>
      </c>
      <c r="U24" s="45">
        <v>11.6</v>
      </c>
      <c r="V24" s="45">
        <v>11.6</v>
      </c>
      <c r="W24" s="45">
        <v>11.6</v>
      </c>
      <c r="X24" s="45">
        <v>11.6</v>
      </c>
      <c r="Y24" s="45">
        <v>11.6</v>
      </c>
      <c r="Z24" s="45">
        <v>11.6</v>
      </c>
      <c r="AA24" s="45">
        <v>11.6</v>
      </c>
      <c r="AB24" s="45">
        <v>11.6</v>
      </c>
      <c r="AC24" s="45">
        <v>11.6</v>
      </c>
      <c r="AD24" s="45">
        <v>11.6</v>
      </c>
      <c r="AE24" s="45">
        <v>11.6</v>
      </c>
      <c r="AF24" s="45">
        <v>11.6</v>
      </c>
      <c r="AG24" s="49">
        <v>28</v>
      </c>
      <c r="AH24" s="47">
        <f t="shared" si="2"/>
        <v>11.6</v>
      </c>
      <c r="AI24" s="48">
        <f t="shared" si="3"/>
        <v>11.6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8.8000000000000007</v>
      </c>
      <c r="C25" s="45">
        <v>8.8000000000000007</v>
      </c>
      <c r="D25" s="45">
        <v>8.8000000000000007</v>
      </c>
      <c r="E25" s="45">
        <v>8.8000000000000007</v>
      </c>
      <c r="F25" s="45">
        <v>8.8000000000000007</v>
      </c>
      <c r="G25" s="45">
        <v>8.8000000000000007</v>
      </c>
      <c r="H25" s="45">
        <v>8.8000000000000007</v>
      </c>
      <c r="I25" s="45">
        <v>8.8000000000000007</v>
      </c>
      <c r="J25" s="45">
        <v>8.8000000000000007</v>
      </c>
      <c r="K25" s="45">
        <v>8.8000000000000007</v>
      </c>
      <c r="L25" s="45">
        <v>8.8000000000000007</v>
      </c>
      <c r="M25" s="45">
        <v>8.8000000000000007</v>
      </c>
      <c r="N25" s="45">
        <v>8.8000000000000007</v>
      </c>
      <c r="O25" s="45">
        <v>8.8000000000000007</v>
      </c>
      <c r="P25" s="45">
        <v>8.8000000000000007</v>
      </c>
      <c r="Q25" s="45">
        <v>8.8000000000000007</v>
      </c>
      <c r="R25" s="45">
        <v>8.8000000000000007</v>
      </c>
      <c r="S25" s="45">
        <v>8.8000000000000007</v>
      </c>
      <c r="T25" s="45">
        <v>8.8000000000000007</v>
      </c>
      <c r="U25" s="45">
        <v>8.8000000000000007</v>
      </c>
      <c r="V25" s="45">
        <v>8.8000000000000007</v>
      </c>
      <c r="W25" s="45">
        <v>8.8000000000000007</v>
      </c>
      <c r="X25" s="45">
        <v>8.8000000000000007</v>
      </c>
      <c r="Y25" s="45">
        <v>8.8000000000000007</v>
      </c>
      <c r="Z25" s="45">
        <v>8.8000000000000007</v>
      </c>
      <c r="AA25" s="45">
        <v>8.8000000000000007</v>
      </c>
      <c r="AB25" s="45">
        <v>8.8000000000000007</v>
      </c>
      <c r="AC25" s="45">
        <v>8.8000000000000007</v>
      </c>
      <c r="AD25" s="45">
        <v>8.8000000000000007</v>
      </c>
      <c r="AE25" s="45">
        <v>8.8000000000000007</v>
      </c>
      <c r="AF25" s="45">
        <v>8.8000000000000007</v>
      </c>
      <c r="AG25" s="52">
        <v>30</v>
      </c>
      <c r="AH25" s="47">
        <f t="shared" si="2"/>
        <v>8.8000000000000007</v>
      </c>
      <c r="AI25" s="48">
        <f t="shared" si="3"/>
        <v>8.8000000000000007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10.5</v>
      </c>
      <c r="C26" s="45">
        <v>10.5</v>
      </c>
      <c r="D26" s="45">
        <v>10.5</v>
      </c>
      <c r="E26" s="45">
        <v>10.5</v>
      </c>
      <c r="F26" s="45">
        <v>10.5</v>
      </c>
      <c r="G26" s="45">
        <v>10.5</v>
      </c>
      <c r="H26" s="45">
        <v>10.5</v>
      </c>
      <c r="I26" s="45">
        <v>10.5</v>
      </c>
      <c r="J26" s="45">
        <v>10.5</v>
      </c>
      <c r="K26" s="45">
        <v>10.5</v>
      </c>
      <c r="L26" s="45">
        <v>10.5</v>
      </c>
      <c r="M26" s="45">
        <v>10.5</v>
      </c>
      <c r="N26" s="45">
        <v>10.5</v>
      </c>
      <c r="O26" s="45">
        <v>10.5</v>
      </c>
      <c r="P26" s="45">
        <v>10.5</v>
      </c>
      <c r="Q26" s="45">
        <v>10.5</v>
      </c>
      <c r="R26" s="45">
        <v>10.5</v>
      </c>
      <c r="S26" s="45">
        <v>10.5</v>
      </c>
      <c r="T26" s="45">
        <v>10.5</v>
      </c>
      <c r="U26" s="45">
        <v>10.5</v>
      </c>
      <c r="V26" s="45">
        <v>10.5</v>
      </c>
      <c r="W26" s="45">
        <v>10.5</v>
      </c>
      <c r="X26" s="45">
        <v>10.5</v>
      </c>
      <c r="Y26" s="45">
        <v>10.5</v>
      </c>
      <c r="Z26" s="45">
        <v>10.5</v>
      </c>
      <c r="AA26" s="45">
        <v>10.5</v>
      </c>
      <c r="AB26" s="45">
        <v>10.5</v>
      </c>
      <c r="AC26" s="45">
        <v>10.5</v>
      </c>
      <c r="AD26" s="45">
        <v>10.5</v>
      </c>
      <c r="AE26" s="45">
        <v>10.5</v>
      </c>
      <c r="AF26" s="45">
        <v>10.5</v>
      </c>
      <c r="AG26" s="49">
        <v>25</v>
      </c>
      <c r="AH26" s="47">
        <f t="shared" si="2"/>
        <v>10.5</v>
      </c>
      <c r="AI26" s="48">
        <f t="shared" si="3"/>
        <v>10.5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9.5</v>
      </c>
      <c r="C29" s="45">
        <v>9.5</v>
      </c>
      <c r="D29" s="45">
        <v>9.5</v>
      </c>
      <c r="E29" s="45">
        <v>9.5</v>
      </c>
      <c r="F29" s="45">
        <v>9.5</v>
      </c>
      <c r="G29" s="45">
        <v>9.5</v>
      </c>
      <c r="H29" s="45">
        <v>9.5</v>
      </c>
      <c r="I29" s="45">
        <v>9.5</v>
      </c>
      <c r="J29" s="45">
        <v>9.5</v>
      </c>
      <c r="K29" s="45">
        <v>9.5</v>
      </c>
      <c r="L29" s="45">
        <v>9.5</v>
      </c>
      <c r="M29" s="45">
        <v>9.5</v>
      </c>
      <c r="N29" s="45">
        <v>9.5</v>
      </c>
      <c r="O29" s="45">
        <v>9.5</v>
      </c>
      <c r="P29" s="45">
        <v>9.5</v>
      </c>
      <c r="Q29" s="45">
        <v>9.5</v>
      </c>
      <c r="R29" s="45">
        <v>9.5</v>
      </c>
      <c r="S29" s="45">
        <v>9.5</v>
      </c>
      <c r="T29" s="45">
        <v>9.5</v>
      </c>
      <c r="U29" s="45">
        <v>9.5</v>
      </c>
      <c r="V29" s="45">
        <v>9.5</v>
      </c>
      <c r="W29" s="45">
        <v>9.5</v>
      </c>
      <c r="X29" s="45">
        <v>9.5</v>
      </c>
      <c r="Y29" s="45">
        <v>9.5</v>
      </c>
      <c r="Z29" s="45">
        <v>9.5</v>
      </c>
      <c r="AA29" s="45">
        <v>9.5</v>
      </c>
      <c r="AB29" s="45">
        <v>9.5</v>
      </c>
      <c r="AC29" s="45">
        <v>9.5</v>
      </c>
      <c r="AD29" s="45">
        <v>9.5</v>
      </c>
      <c r="AE29" s="45">
        <v>9.5</v>
      </c>
      <c r="AF29" s="45">
        <v>9.5</v>
      </c>
      <c r="AG29" s="49">
        <v>25</v>
      </c>
      <c r="AH29" s="47">
        <f t="shared" si="2"/>
        <v>9.5</v>
      </c>
      <c r="AI29" s="48">
        <f t="shared" si="3"/>
        <v>9.5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9.1999999999999993</v>
      </c>
      <c r="C30" s="45">
        <v>9.1999999999999993</v>
      </c>
      <c r="D30" s="45">
        <v>9.1999999999999993</v>
      </c>
      <c r="E30" s="45">
        <v>9.1999999999999993</v>
      </c>
      <c r="F30" s="45">
        <v>9.1999999999999993</v>
      </c>
      <c r="G30" s="45">
        <v>9.1999999999999993</v>
      </c>
      <c r="H30" s="45">
        <v>9.1999999999999993</v>
      </c>
      <c r="I30" s="45">
        <v>9.1999999999999993</v>
      </c>
      <c r="J30" s="45">
        <v>9.1999999999999993</v>
      </c>
      <c r="K30" s="45">
        <v>9.1999999999999993</v>
      </c>
      <c r="L30" s="45">
        <v>9.1999999999999993</v>
      </c>
      <c r="M30" s="45">
        <v>9.1999999999999993</v>
      </c>
      <c r="N30" s="45">
        <v>9.1999999999999993</v>
      </c>
      <c r="O30" s="45">
        <v>9.1999999999999993</v>
      </c>
      <c r="P30" s="45">
        <v>9.1999999999999993</v>
      </c>
      <c r="Q30" s="45">
        <v>9.1999999999999993</v>
      </c>
      <c r="R30" s="45">
        <v>9.1999999999999993</v>
      </c>
      <c r="S30" s="45">
        <v>9.1999999999999993</v>
      </c>
      <c r="T30" s="45">
        <v>9.1999999999999993</v>
      </c>
      <c r="U30" s="45">
        <v>9.1999999999999993</v>
      </c>
      <c r="V30" s="45">
        <v>9.1999999999999993</v>
      </c>
      <c r="W30" s="45">
        <v>9.1999999999999993</v>
      </c>
      <c r="X30" s="45">
        <v>9.1999999999999993</v>
      </c>
      <c r="Y30" s="45">
        <v>9.1999999999999993</v>
      </c>
      <c r="Z30" s="45">
        <v>9.1999999999999993</v>
      </c>
      <c r="AA30" s="45">
        <v>9.1999999999999993</v>
      </c>
      <c r="AB30" s="45">
        <v>9.1999999999999993</v>
      </c>
      <c r="AC30" s="45">
        <v>9.1999999999999993</v>
      </c>
      <c r="AD30" s="45">
        <v>9.1999999999999993</v>
      </c>
      <c r="AE30" s="45">
        <v>9.1999999999999993</v>
      </c>
      <c r="AF30" s="45">
        <v>9.1999999999999993</v>
      </c>
      <c r="AG30" s="49">
        <v>23.5</v>
      </c>
      <c r="AH30" s="47">
        <f t="shared" si="2"/>
        <v>9.1999999999999993</v>
      </c>
      <c r="AI30" s="48">
        <f t="shared" si="3"/>
        <v>9.1999999999999993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9.9</v>
      </c>
      <c r="C34" s="45">
        <v>9.9</v>
      </c>
      <c r="D34" s="45">
        <v>9.9</v>
      </c>
      <c r="E34" s="45">
        <v>9.9</v>
      </c>
      <c r="F34" s="45">
        <v>9.9</v>
      </c>
      <c r="G34" s="45">
        <v>9.9</v>
      </c>
      <c r="H34" s="45">
        <v>9.9</v>
      </c>
      <c r="I34" s="45">
        <v>9.9</v>
      </c>
      <c r="J34" s="45">
        <v>9.9</v>
      </c>
      <c r="K34" s="45">
        <v>9.9</v>
      </c>
      <c r="L34" s="45">
        <v>9.9</v>
      </c>
      <c r="M34" s="45">
        <v>9.9</v>
      </c>
      <c r="N34" s="45">
        <v>9.9</v>
      </c>
      <c r="O34" s="45">
        <v>9.9</v>
      </c>
      <c r="P34" s="45">
        <v>9.9</v>
      </c>
      <c r="Q34" s="45">
        <v>9.9</v>
      </c>
      <c r="R34" s="45">
        <v>9.9</v>
      </c>
      <c r="S34" s="45">
        <v>9.9</v>
      </c>
      <c r="T34" s="45">
        <v>9.9</v>
      </c>
      <c r="U34" s="45">
        <v>9.9</v>
      </c>
      <c r="V34" s="45">
        <v>9.9</v>
      </c>
      <c r="W34" s="45">
        <v>9.9</v>
      </c>
      <c r="X34" s="45">
        <v>9.9</v>
      </c>
      <c r="Y34" s="45">
        <v>9.9</v>
      </c>
      <c r="Z34" s="45">
        <v>9.9</v>
      </c>
      <c r="AA34" s="45">
        <v>9.9</v>
      </c>
      <c r="AB34" s="45">
        <v>9.9</v>
      </c>
      <c r="AC34" s="45">
        <v>9.9</v>
      </c>
      <c r="AD34" s="45">
        <v>9.9</v>
      </c>
      <c r="AE34" s="45">
        <v>9.9</v>
      </c>
      <c r="AF34" s="45">
        <v>9.9</v>
      </c>
      <c r="AG34" s="49">
        <v>22</v>
      </c>
      <c r="AH34" s="47">
        <f t="shared" si="2"/>
        <v>9.9</v>
      </c>
      <c r="AI34" s="48">
        <f t="shared" si="3"/>
        <v>9.9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200</v>
      </c>
      <c r="C56" s="57">
        <v>200</v>
      </c>
      <c r="D56" s="57">
        <v>200</v>
      </c>
      <c r="E56" s="57">
        <v>200</v>
      </c>
      <c r="F56" s="57">
        <v>200</v>
      </c>
      <c r="G56" s="57">
        <v>200</v>
      </c>
      <c r="H56" s="57">
        <v>200</v>
      </c>
      <c r="I56" s="57">
        <v>200</v>
      </c>
      <c r="J56" s="57">
        <v>200</v>
      </c>
      <c r="K56" s="57">
        <v>200</v>
      </c>
      <c r="L56" s="57">
        <v>200</v>
      </c>
      <c r="M56" s="57">
        <v>200</v>
      </c>
      <c r="N56" s="57">
        <v>200</v>
      </c>
      <c r="O56" s="57">
        <v>200</v>
      </c>
      <c r="P56" s="57">
        <v>200</v>
      </c>
      <c r="Q56" s="57">
        <v>200</v>
      </c>
      <c r="R56" s="57">
        <v>200</v>
      </c>
      <c r="S56" s="57">
        <v>200</v>
      </c>
      <c r="T56" s="57">
        <v>200</v>
      </c>
      <c r="U56" s="57">
        <v>200</v>
      </c>
      <c r="V56" s="57">
        <v>200</v>
      </c>
      <c r="W56" s="57">
        <v>200</v>
      </c>
      <c r="X56" s="57">
        <v>200</v>
      </c>
      <c r="Y56" s="57">
        <v>200</v>
      </c>
      <c r="Z56" s="57">
        <v>200</v>
      </c>
      <c r="AA56" s="57">
        <v>200</v>
      </c>
      <c r="AB56" s="57">
        <v>200</v>
      </c>
      <c r="AC56" s="57">
        <v>200</v>
      </c>
      <c r="AD56" s="57">
        <v>200</v>
      </c>
      <c r="AE56" s="57">
        <v>200</v>
      </c>
      <c r="AF56" s="57">
        <v>200</v>
      </c>
      <c r="AG56" s="55">
        <v>85</v>
      </c>
      <c r="AH56" s="47">
        <f t="shared" si="2"/>
        <v>200</v>
      </c>
      <c r="AI56" s="48">
        <f t="shared" si="3"/>
        <v>200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v>580.59999999999991</v>
      </c>
      <c r="C58" s="60">
        <f t="shared" ref="C58:AA58" si="4">SUM(C11:C56)</f>
        <v>581.59999999999991</v>
      </c>
      <c r="D58" s="60">
        <f t="shared" si="4"/>
        <v>582.79999999999995</v>
      </c>
      <c r="E58" s="60">
        <f t="shared" ref="E58" si="5">SUM(E11:E56)</f>
        <v>582.59999999999991</v>
      </c>
      <c r="F58" s="60">
        <f>SUM(F11:F56)</f>
        <v>582.59999999999991</v>
      </c>
      <c r="G58" s="60">
        <f>SUM(G11:G56)</f>
        <v>582.59999999999991</v>
      </c>
      <c r="H58" s="60">
        <f>SUM(H11:H56)</f>
        <v>582.20000000000005</v>
      </c>
      <c r="I58" s="60">
        <f t="shared" si="4"/>
        <v>582.20000000000005</v>
      </c>
      <c r="J58" s="60">
        <f t="shared" si="4"/>
        <v>582.20000000000005</v>
      </c>
      <c r="K58" s="60">
        <f t="shared" si="4"/>
        <v>582.20000000000005</v>
      </c>
      <c r="L58" s="60">
        <f t="shared" si="4"/>
        <v>582.20000000000005</v>
      </c>
      <c r="M58" s="60">
        <f t="shared" ref="M58:N58" si="6">SUM(M11:M56)</f>
        <v>582.20000000000005</v>
      </c>
      <c r="N58" s="60">
        <f t="shared" si="6"/>
        <v>582.20000000000005</v>
      </c>
      <c r="O58" s="60">
        <f t="shared" ref="O58:P58" si="7">SUM(O11:O56)</f>
        <v>582.20000000000005</v>
      </c>
      <c r="P58" s="60">
        <f t="shared" si="7"/>
        <v>582.20000000000005</v>
      </c>
      <c r="Q58" s="60">
        <f t="shared" ref="Q58" si="8">SUM(Q11:Q56)</f>
        <v>582.20000000000005</v>
      </c>
      <c r="R58" s="60">
        <f t="shared" si="4"/>
        <v>582.20000000000005</v>
      </c>
      <c r="S58" s="60">
        <f t="shared" si="4"/>
        <v>576.5</v>
      </c>
      <c r="T58" s="60">
        <f t="shared" si="4"/>
        <v>577.59999999999991</v>
      </c>
      <c r="U58" s="60">
        <f t="shared" si="4"/>
        <v>577.70000000000005</v>
      </c>
      <c r="V58" s="60">
        <f t="shared" si="4"/>
        <v>576.20000000000005</v>
      </c>
      <c r="W58" s="60">
        <f t="shared" si="4"/>
        <v>576.20000000000005</v>
      </c>
      <c r="X58" s="60">
        <v>576.20000000000005</v>
      </c>
      <c r="Y58" s="60">
        <v>576.20000000000005</v>
      </c>
      <c r="Z58" s="60">
        <f t="shared" si="4"/>
        <v>577</v>
      </c>
      <c r="AA58" s="60">
        <f t="shared" si="4"/>
        <v>577</v>
      </c>
      <c r="AB58" s="60">
        <f t="shared" ref="AB58:AC58" si="9">SUM(AB11:AB56)</f>
        <v>577</v>
      </c>
      <c r="AC58" s="60">
        <f t="shared" si="9"/>
        <v>577</v>
      </c>
      <c r="AD58" s="60">
        <f t="shared" ref="AD58:AE58" si="10">SUM(AD11:AD56)</f>
        <v>577</v>
      </c>
      <c r="AE58" s="60">
        <f t="shared" si="10"/>
        <v>577</v>
      </c>
      <c r="AF58" s="60">
        <f t="shared" ref="AF58" si="11">SUM(AF11:AF56)</f>
        <v>577</v>
      </c>
      <c r="AG58" s="61">
        <f>SUM(AG14:AG56)</f>
        <v>1042.4000000000001</v>
      </c>
      <c r="AH58" s="47">
        <f t="shared" si="2"/>
        <v>582.79999999999995</v>
      </c>
      <c r="AI58" s="48">
        <f t="shared" si="3"/>
        <v>576.20000000000005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15</v>
      </c>
      <c r="K59" s="45">
        <v>30</v>
      </c>
      <c r="L59" s="45">
        <v>150</v>
      </c>
      <c r="M59" s="45">
        <v>265</v>
      </c>
      <c r="N59" s="45">
        <v>300</v>
      </c>
      <c r="O59" s="45">
        <v>230</v>
      </c>
      <c r="P59" s="45">
        <v>125</v>
      </c>
      <c r="Q59" s="45">
        <v>30</v>
      </c>
      <c r="R59" s="63">
        <v>0</v>
      </c>
      <c r="S59" s="45">
        <v>0</v>
      </c>
      <c r="T59" s="45">
        <v>15</v>
      </c>
      <c r="U59" s="45">
        <v>15</v>
      </c>
      <c r="V59" s="45">
        <v>60</v>
      </c>
      <c r="W59" s="45">
        <v>240</v>
      </c>
      <c r="X59" s="45">
        <v>310</v>
      </c>
      <c r="Y59" s="45">
        <v>310</v>
      </c>
      <c r="Z59" s="45">
        <v>290</v>
      </c>
      <c r="AA59" s="45">
        <v>290</v>
      </c>
      <c r="AB59" s="45">
        <v>180</v>
      </c>
      <c r="AC59" s="45">
        <v>180</v>
      </c>
      <c r="AD59" s="45">
        <v>60</v>
      </c>
      <c r="AE59" s="45">
        <v>20</v>
      </c>
      <c r="AF59" s="45">
        <v>0</v>
      </c>
      <c r="AG59" s="52">
        <v>456</v>
      </c>
      <c r="AH59" s="47">
        <f t="shared" si="2"/>
        <v>310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</v>
      </c>
      <c r="C60" s="65">
        <v>34</v>
      </c>
      <c r="D60" s="65">
        <v>34</v>
      </c>
      <c r="E60" s="65">
        <v>34</v>
      </c>
      <c r="F60" s="65">
        <v>34</v>
      </c>
      <c r="G60" s="65">
        <v>34</v>
      </c>
      <c r="H60" s="65">
        <v>34</v>
      </c>
      <c r="I60" s="65">
        <v>34</v>
      </c>
      <c r="J60" s="65">
        <v>34</v>
      </c>
      <c r="K60" s="65">
        <v>34</v>
      </c>
      <c r="L60" s="65">
        <v>34</v>
      </c>
      <c r="M60" s="65">
        <v>34</v>
      </c>
      <c r="N60" s="65">
        <v>34</v>
      </c>
      <c r="O60" s="65">
        <v>34</v>
      </c>
      <c r="P60" s="65">
        <v>34</v>
      </c>
      <c r="Q60" s="65">
        <v>34</v>
      </c>
      <c r="R60" s="65">
        <v>34</v>
      </c>
      <c r="S60" s="65">
        <v>34</v>
      </c>
      <c r="T60" s="65">
        <v>34</v>
      </c>
      <c r="U60" s="65">
        <v>34</v>
      </c>
      <c r="V60" s="65">
        <v>34</v>
      </c>
      <c r="W60" s="65">
        <v>34</v>
      </c>
      <c r="X60" s="65">
        <v>34</v>
      </c>
      <c r="Y60" s="65">
        <v>34</v>
      </c>
      <c r="Z60" s="65">
        <v>34</v>
      </c>
      <c r="AA60" s="65">
        <v>34</v>
      </c>
      <c r="AB60" s="65">
        <v>34</v>
      </c>
      <c r="AC60" s="65">
        <v>34</v>
      </c>
      <c r="AD60" s="65">
        <v>34</v>
      </c>
      <c r="AE60" s="65">
        <v>34</v>
      </c>
      <c r="AF60" s="65">
        <v>34</v>
      </c>
      <c r="AG60" s="55">
        <v>60</v>
      </c>
      <c r="AH60" s="47">
        <f t="shared" si="2"/>
        <v>34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12.7</v>
      </c>
      <c r="C61" s="67">
        <v>12.7</v>
      </c>
      <c r="D61" s="67">
        <v>12.7</v>
      </c>
      <c r="E61" s="67">
        <v>12.7</v>
      </c>
      <c r="F61" s="67">
        <v>12.7</v>
      </c>
      <c r="G61" s="67">
        <v>12.7</v>
      </c>
      <c r="H61" s="67">
        <v>12.7</v>
      </c>
      <c r="I61" s="67">
        <v>12.7</v>
      </c>
      <c r="J61" s="67">
        <v>12.7</v>
      </c>
      <c r="K61" s="67">
        <v>12.7</v>
      </c>
      <c r="L61" s="67">
        <v>12.7</v>
      </c>
      <c r="M61" s="67">
        <v>12.7</v>
      </c>
      <c r="N61" s="67">
        <v>12.7</v>
      </c>
      <c r="O61" s="67">
        <v>12.7</v>
      </c>
      <c r="P61" s="67">
        <v>12.7</v>
      </c>
      <c r="Q61" s="67">
        <v>12.7</v>
      </c>
      <c r="R61" s="67">
        <v>12.7</v>
      </c>
      <c r="S61" s="67">
        <v>12.7</v>
      </c>
      <c r="T61" s="67">
        <v>12.7</v>
      </c>
      <c r="U61" s="67">
        <v>12.7</v>
      </c>
      <c r="V61" s="67">
        <v>12.7</v>
      </c>
      <c r="W61" s="67">
        <v>12.7</v>
      </c>
      <c r="X61" s="67">
        <v>12.7</v>
      </c>
      <c r="Y61" s="67">
        <v>12.7</v>
      </c>
      <c r="Z61" s="67">
        <v>18.100000000000001</v>
      </c>
      <c r="AA61" s="67">
        <v>18.100000000000001</v>
      </c>
      <c r="AB61" s="67">
        <v>18.100000000000001</v>
      </c>
      <c r="AC61" s="67">
        <v>18.100000000000001</v>
      </c>
      <c r="AD61" s="67">
        <v>18.100000000000001</v>
      </c>
      <c r="AE61" s="67">
        <v>18.100000000000001</v>
      </c>
      <c r="AF61" s="67">
        <v>18.100000000000001</v>
      </c>
      <c r="AG61" s="68">
        <v>22.1</v>
      </c>
      <c r="AH61" s="47">
        <f t="shared" si="2"/>
        <v>18.100000000000001</v>
      </c>
      <c r="AI61" s="48">
        <f t="shared" si="3"/>
        <v>12.7</v>
      </c>
      <c r="AK61" s="50"/>
    </row>
    <row r="62" spans="1:88" ht="15.75" thickBot="1" x14ac:dyDescent="0.3">
      <c r="A62" s="69" t="s">
        <v>62</v>
      </c>
      <c r="B62" s="60">
        <v>46.7</v>
      </c>
      <c r="C62" s="60">
        <f t="shared" ref="C62:AG62" si="12">SUM(C59:C61)</f>
        <v>46.7</v>
      </c>
      <c r="D62" s="60">
        <f t="shared" si="12"/>
        <v>46.7</v>
      </c>
      <c r="E62" s="60">
        <f t="shared" ref="E62" si="13">SUM(E59:E61)</f>
        <v>46.7</v>
      </c>
      <c r="F62" s="60">
        <f>SUM(F59:F61)</f>
        <v>46.7</v>
      </c>
      <c r="G62" s="60">
        <f>SUM(G59:G61)</f>
        <v>46.7</v>
      </c>
      <c r="H62" s="60">
        <f>SUM(H59:H61)</f>
        <v>46.7</v>
      </c>
      <c r="I62" s="60">
        <f t="shared" si="12"/>
        <v>61.7</v>
      </c>
      <c r="J62" s="60">
        <f t="shared" si="12"/>
        <v>61.7</v>
      </c>
      <c r="K62" s="60">
        <f t="shared" si="12"/>
        <v>76.7</v>
      </c>
      <c r="L62" s="60">
        <f t="shared" si="12"/>
        <v>196.7</v>
      </c>
      <c r="M62" s="60">
        <f t="shared" ref="M62:N62" si="14">SUM(M59:M61)</f>
        <v>311.7</v>
      </c>
      <c r="N62" s="60">
        <f t="shared" si="14"/>
        <v>346.7</v>
      </c>
      <c r="O62" s="60">
        <f t="shared" ref="O62:P62" si="15">SUM(O59:O61)</f>
        <v>276.7</v>
      </c>
      <c r="P62" s="60">
        <f t="shared" si="15"/>
        <v>171.7</v>
      </c>
      <c r="Q62" s="60">
        <f t="shared" ref="Q62" si="16">SUM(Q59:Q61)</f>
        <v>76.7</v>
      </c>
      <c r="R62" s="60">
        <f t="shared" si="12"/>
        <v>46.7</v>
      </c>
      <c r="S62" s="60">
        <f t="shared" si="12"/>
        <v>46.7</v>
      </c>
      <c r="T62" s="60">
        <f t="shared" si="12"/>
        <v>61.7</v>
      </c>
      <c r="U62" s="60">
        <f t="shared" si="12"/>
        <v>61.7</v>
      </c>
      <c r="V62" s="60">
        <f t="shared" si="12"/>
        <v>106.7</v>
      </c>
      <c r="W62" s="60">
        <f t="shared" si="12"/>
        <v>286.7</v>
      </c>
      <c r="X62" s="60">
        <v>286.7</v>
      </c>
      <c r="Y62" s="60">
        <v>286.7</v>
      </c>
      <c r="Z62" s="60">
        <f t="shared" si="12"/>
        <v>342.1</v>
      </c>
      <c r="AA62" s="60">
        <f t="shared" si="12"/>
        <v>342.1</v>
      </c>
      <c r="AB62" s="60">
        <f t="shared" ref="AB62:AC62" si="17">SUM(AB59:AB61)</f>
        <v>232.1</v>
      </c>
      <c r="AC62" s="60">
        <f t="shared" si="17"/>
        <v>232.1</v>
      </c>
      <c r="AD62" s="60">
        <f t="shared" ref="AD62:AE62" si="18">SUM(AD59:AD61)</f>
        <v>112.1</v>
      </c>
      <c r="AE62" s="60">
        <f t="shared" si="18"/>
        <v>72.099999999999994</v>
      </c>
      <c r="AF62" s="60">
        <f t="shared" ref="AF62" si="19">SUM(AF59:AF61)</f>
        <v>52.1</v>
      </c>
      <c r="AG62" s="61">
        <f t="shared" si="12"/>
        <v>538.1</v>
      </c>
      <c r="AH62" s="47">
        <f t="shared" si="2"/>
        <v>346.7</v>
      </c>
      <c r="AI62" s="48">
        <f t="shared" si="3"/>
        <v>46.7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</v>
      </c>
      <c r="I63" s="45">
        <v>89.1</v>
      </c>
      <c r="J63" s="45">
        <v>110</v>
      </c>
      <c r="K63" s="45">
        <v>112</v>
      </c>
      <c r="L63" s="45">
        <v>111.3</v>
      </c>
      <c r="M63" s="45">
        <v>111.6</v>
      </c>
      <c r="N63" s="45">
        <v>112.1</v>
      </c>
      <c r="O63" s="45">
        <v>91.4</v>
      </c>
      <c r="P63" s="45">
        <v>122.3</v>
      </c>
      <c r="Q63" s="45">
        <v>122.3</v>
      </c>
      <c r="R63" s="45">
        <v>108.7</v>
      </c>
      <c r="S63" s="45">
        <v>71.7</v>
      </c>
      <c r="T63" s="45">
        <v>71.099999999999994</v>
      </c>
      <c r="U63" s="45">
        <v>90</v>
      </c>
      <c r="V63" s="45">
        <v>61.7</v>
      </c>
      <c r="W63" s="45">
        <v>61.2</v>
      </c>
      <c r="X63" s="45">
        <v>105.1</v>
      </c>
      <c r="Y63" s="45">
        <v>121.5</v>
      </c>
      <c r="Z63" s="45">
        <v>122.3</v>
      </c>
      <c r="AA63" s="45">
        <v>121.4</v>
      </c>
      <c r="AB63" s="45">
        <v>110</v>
      </c>
      <c r="AC63" s="45">
        <v>90</v>
      </c>
      <c r="AD63" s="45">
        <v>80</v>
      </c>
      <c r="AE63" s="45">
        <v>70</v>
      </c>
      <c r="AF63" s="45">
        <v>45</v>
      </c>
      <c r="AG63" s="52">
        <v>144</v>
      </c>
      <c r="AH63" s="47">
        <f t="shared" si="2"/>
        <v>122.3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</v>
      </c>
      <c r="I64" s="65">
        <v>50</v>
      </c>
      <c r="J64" s="65">
        <v>50.9</v>
      </c>
      <c r="K64" s="65">
        <v>50.9</v>
      </c>
      <c r="L64" s="65">
        <v>50</v>
      </c>
      <c r="M64" s="65">
        <v>59.4</v>
      </c>
      <c r="N64" s="65">
        <v>59.4</v>
      </c>
      <c r="O64" s="65">
        <v>59.4</v>
      </c>
      <c r="P64" s="65">
        <v>46.6</v>
      </c>
      <c r="Q64" s="65">
        <v>59.7</v>
      </c>
      <c r="R64" s="65">
        <v>50.3</v>
      </c>
      <c r="S64" s="45">
        <v>50.9</v>
      </c>
      <c r="T64" s="45">
        <v>46.1</v>
      </c>
      <c r="U64" s="45">
        <v>46.4</v>
      </c>
      <c r="V64" s="45">
        <v>25.1</v>
      </c>
      <c r="W64" s="45">
        <v>24.8</v>
      </c>
      <c r="X64" s="45">
        <v>47.3</v>
      </c>
      <c r="Y64" s="45">
        <v>47.3</v>
      </c>
      <c r="Z64" s="45">
        <v>48.8</v>
      </c>
      <c r="AA64" s="45">
        <v>49.3</v>
      </c>
      <c r="AB64" s="45">
        <v>49.3</v>
      </c>
      <c r="AC64" s="45">
        <v>49.3</v>
      </c>
      <c r="AD64" s="45">
        <v>35</v>
      </c>
      <c r="AE64" s="45">
        <v>35</v>
      </c>
      <c r="AF64" s="45">
        <v>35</v>
      </c>
      <c r="AG64" s="55">
        <v>70</v>
      </c>
      <c r="AH64" s="47">
        <f t="shared" si="2"/>
        <v>59.7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17.399999999999999</v>
      </c>
      <c r="C65" s="65">
        <v>0</v>
      </c>
      <c r="D65" s="65">
        <v>0</v>
      </c>
      <c r="E65" s="65">
        <v>0</v>
      </c>
      <c r="F65" s="65">
        <v>0</v>
      </c>
      <c r="G65" s="65">
        <v>23</v>
      </c>
      <c r="H65" s="65">
        <v>23</v>
      </c>
      <c r="I65" s="65">
        <v>16</v>
      </c>
      <c r="J65" s="65">
        <v>47</v>
      </c>
      <c r="K65" s="65">
        <v>52</v>
      </c>
      <c r="L65" s="65">
        <v>67</v>
      </c>
      <c r="M65" s="65">
        <v>62.5</v>
      </c>
      <c r="N65" s="65">
        <v>62.5</v>
      </c>
      <c r="O65" s="65">
        <v>62.5</v>
      </c>
      <c r="P65" s="65">
        <v>61.9</v>
      </c>
      <c r="Q65" s="65">
        <v>61.5</v>
      </c>
      <c r="R65" s="65">
        <v>61.6</v>
      </c>
      <c r="S65" s="45">
        <v>48.1</v>
      </c>
      <c r="T65" s="45">
        <v>45.8</v>
      </c>
      <c r="U65" s="45">
        <v>45.5</v>
      </c>
      <c r="V65" s="45">
        <v>53.6</v>
      </c>
      <c r="W65" s="45">
        <v>53.6</v>
      </c>
      <c r="X65" s="45">
        <v>58.8</v>
      </c>
      <c r="Y65" s="45">
        <v>58.8</v>
      </c>
      <c r="Z65" s="45">
        <v>59.8</v>
      </c>
      <c r="AA65" s="45">
        <v>59.6</v>
      </c>
      <c r="AB65" s="45">
        <v>66</v>
      </c>
      <c r="AC65" s="45">
        <v>66</v>
      </c>
      <c r="AD65" s="45">
        <v>66</v>
      </c>
      <c r="AE65" s="45">
        <v>66</v>
      </c>
      <c r="AF65" s="45">
        <v>45</v>
      </c>
      <c r="AG65" s="55">
        <v>69</v>
      </c>
      <c r="AH65" s="47">
        <f t="shared" si="2"/>
        <v>67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52.1</v>
      </c>
      <c r="C66" s="65">
        <v>48.3</v>
      </c>
      <c r="D66" s="65">
        <v>48.3</v>
      </c>
      <c r="E66" s="65">
        <v>48.3</v>
      </c>
      <c r="F66" s="65">
        <v>48.3</v>
      </c>
      <c r="G66" s="65">
        <v>48.3</v>
      </c>
      <c r="H66" s="65">
        <v>48.3</v>
      </c>
      <c r="I66" s="65">
        <v>50.2</v>
      </c>
      <c r="J66" s="65">
        <v>50.2</v>
      </c>
      <c r="K66" s="65">
        <v>50.2</v>
      </c>
      <c r="L66" s="57">
        <v>50</v>
      </c>
      <c r="M66" s="65">
        <v>50</v>
      </c>
      <c r="N66" s="65">
        <v>50</v>
      </c>
      <c r="O66" s="65">
        <v>50</v>
      </c>
      <c r="P66" s="65">
        <v>48.1</v>
      </c>
      <c r="Q66" s="65">
        <v>48.1</v>
      </c>
      <c r="R66" s="65">
        <v>49.96</v>
      </c>
      <c r="S66" s="45">
        <v>48.1</v>
      </c>
      <c r="T66" s="45">
        <v>48.1</v>
      </c>
      <c r="U66" s="45">
        <v>48.1</v>
      </c>
      <c r="V66" s="45">
        <v>47.1</v>
      </c>
      <c r="W66" s="45">
        <v>47.1</v>
      </c>
      <c r="X66" s="45">
        <v>47.1</v>
      </c>
      <c r="Y66" s="45">
        <v>47.1</v>
      </c>
      <c r="Z66" s="45">
        <v>49.4</v>
      </c>
      <c r="AA66" s="45">
        <v>49.4</v>
      </c>
      <c r="AB66" s="45">
        <v>49.4</v>
      </c>
      <c r="AC66" s="45">
        <v>49.4</v>
      </c>
      <c r="AD66" s="45">
        <v>49.4</v>
      </c>
      <c r="AE66" s="45">
        <v>49.4</v>
      </c>
      <c r="AF66" s="45">
        <v>49.4</v>
      </c>
      <c r="AG66" s="55">
        <v>60</v>
      </c>
      <c r="AH66" s="47">
        <f t="shared" si="2"/>
        <v>52.1</v>
      </c>
      <c r="AI66" s="48">
        <f t="shared" si="3"/>
        <v>47.1</v>
      </c>
      <c r="AK66" s="50"/>
    </row>
    <row r="67" spans="1:41" x14ac:dyDescent="0.25">
      <c r="A67" s="54" t="s">
        <v>67</v>
      </c>
      <c r="B67" s="65">
        <v>10</v>
      </c>
      <c r="C67" s="65">
        <v>0</v>
      </c>
      <c r="D67" s="65">
        <v>0</v>
      </c>
      <c r="E67" s="65">
        <v>0</v>
      </c>
      <c r="F67" s="65">
        <v>0</v>
      </c>
      <c r="G67" s="65">
        <v>15</v>
      </c>
      <c r="H67" s="65">
        <v>15</v>
      </c>
      <c r="I67" s="65">
        <v>30</v>
      </c>
      <c r="J67" s="65">
        <v>22</v>
      </c>
      <c r="K67" s="65">
        <v>22</v>
      </c>
      <c r="L67" s="57">
        <v>15</v>
      </c>
      <c r="M67" s="65">
        <v>15</v>
      </c>
      <c r="N67" s="65">
        <v>15</v>
      </c>
      <c r="O67" s="65">
        <v>15</v>
      </c>
      <c r="P67" s="65">
        <v>15</v>
      </c>
      <c r="Q67" s="65">
        <v>15</v>
      </c>
      <c r="R67" s="65">
        <v>10</v>
      </c>
      <c r="S67" s="45">
        <v>12</v>
      </c>
      <c r="T67" s="45">
        <v>12</v>
      </c>
      <c r="U67" s="45">
        <v>12</v>
      </c>
      <c r="V67" s="45">
        <v>12</v>
      </c>
      <c r="W67" s="45">
        <v>0</v>
      </c>
      <c r="X67" s="45">
        <v>10</v>
      </c>
      <c r="Y67" s="45">
        <v>15</v>
      </c>
      <c r="Z67" s="45">
        <v>15</v>
      </c>
      <c r="AA67" s="45">
        <v>15</v>
      </c>
      <c r="AB67" s="45">
        <v>15</v>
      </c>
      <c r="AC67" s="45">
        <v>15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/>
      <c r="C68" s="45"/>
      <c r="D68" s="45"/>
      <c r="E68" s="45"/>
      <c r="F68" s="45"/>
      <c r="G68" s="45"/>
      <c r="H68" s="45"/>
      <c r="I68" s="45"/>
      <c r="J68" s="45"/>
      <c r="K68" s="65"/>
      <c r="L68" s="65">
        <v>0.4</v>
      </c>
      <c r="M68" s="65">
        <v>0.9</v>
      </c>
      <c r="N68" s="65">
        <v>2</v>
      </c>
      <c r="O68" s="65">
        <v>2</v>
      </c>
      <c r="P68" s="65">
        <v>11.5</v>
      </c>
      <c r="Q68" s="65">
        <v>15.3</v>
      </c>
      <c r="R68" s="65">
        <v>14.5</v>
      </c>
      <c r="S68" s="65">
        <v>14.5</v>
      </c>
      <c r="T68" s="45">
        <v>7.9</v>
      </c>
      <c r="U68" s="45">
        <v>5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</v>
      </c>
      <c r="C71" s="65">
        <v>10</v>
      </c>
      <c r="D71" s="65">
        <v>10</v>
      </c>
      <c r="E71" s="65">
        <v>10</v>
      </c>
      <c r="F71" s="65">
        <v>10</v>
      </c>
      <c r="G71" s="65">
        <v>10</v>
      </c>
      <c r="H71" s="65">
        <v>10</v>
      </c>
      <c r="I71" s="65">
        <v>10</v>
      </c>
      <c r="J71" s="65">
        <v>10</v>
      </c>
      <c r="K71" s="65">
        <v>10</v>
      </c>
      <c r="L71" s="65">
        <v>10</v>
      </c>
      <c r="M71" s="65">
        <v>10</v>
      </c>
      <c r="N71" s="65">
        <v>10</v>
      </c>
      <c r="O71" s="65">
        <v>10</v>
      </c>
      <c r="P71" s="65">
        <v>10</v>
      </c>
      <c r="Q71" s="65">
        <v>10</v>
      </c>
      <c r="R71" s="65">
        <v>10</v>
      </c>
      <c r="S71" s="65">
        <v>10</v>
      </c>
      <c r="T71" s="65">
        <v>10</v>
      </c>
      <c r="U71" s="65">
        <v>10</v>
      </c>
      <c r="V71" s="65">
        <v>10</v>
      </c>
      <c r="W71" s="65">
        <v>10</v>
      </c>
      <c r="X71" s="65">
        <v>10</v>
      </c>
      <c r="Y71" s="65">
        <v>10</v>
      </c>
      <c r="Z71" s="65">
        <v>10</v>
      </c>
      <c r="AA71" s="65">
        <v>10</v>
      </c>
      <c r="AB71" s="65">
        <v>10</v>
      </c>
      <c r="AC71" s="65">
        <v>10</v>
      </c>
      <c r="AD71" s="65">
        <v>10</v>
      </c>
      <c r="AE71" s="65">
        <v>10</v>
      </c>
      <c r="AF71" s="65">
        <v>10</v>
      </c>
      <c r="AG71" s="55">
        <v>14.1</v>
      </c>
      <c r="AH71" s="47">
        <f t="shared" si="2"/>
        <v>10</v>
      </c>
      <c r="AI71" s="48">
        <f t="shared" si="3"/>
        <v>10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5.0999999999999996</v>
      </c>
      <c r="C72" s="65">
        <v>5.0999999999999996</v>
      </c>
      <c r="D72" s="65">
        <v>5.0999999999999996</v>
      </c>
      <c r="E72" s="65">
        <v>5.0999999999999996</v>
      </c>
      <c r="F72" s="65">
        <v>5.0999999999999996</v>
      </c>
      <c r="G72" s="65">
        <v>5.0999999999999996</v>
      </c>
      <c r="H72" s="65">
        <v>5.0999999999999996</v>
      </c>
      <c r="I72" s="65">
        <v>5.0999999999999996</v>
      </c>
      <c r="J72" s="65">
        <v>5.0999999999999996</v>
      </c>
      <c r="K72" s="65">
        <v>5.0999999999999996</v>
      </c>
      <c r="L72" s="65">
        <v>5.0999999999999996</v>
      </c>
      <c r="M72" s="65">
        <v>5.0999999999999996</v>
      </c>
      <c r="N72" s="65">
        <v>5.0999999999999996</v>
      </c>
      <c r="O72" s="65">
        <v>5.0999999999999996</v>
      </c>
      <c r="P72" s="65">
        <v>5.0999999999999996</v>
      </c>
      <c r="Q72" s="65">
        <v>5.0999999999999996</v>
      </c>
      <c r="R72" s="65">
        <v>5.0999999999999996</v>
      </c>
      <c r="S72" s="65">
        <v>5.0999999999999996</v>
      </c>
      <c r="T72" s="65">
        <v>5.0999999999999996</v>
      </c>
      <c r="U72" s="65">
        <v>5.0999999999999996</v>
      </c>
      <c r="V72" s="65">
        <v>5.0999999999999996</v>
      </c>
      <c r="W72" s="65">
        <v>5.0999999999999996</v>
      </c>
      <c r="X72" s="65">
        <v>5.0999999999999996</v>
      </c>
      <c r="Y72" s="65">
        <v>5.0999999999999996</v>
      </c>
      <c r="Z72" s="65">
        <v>5.0999999999999996</v>
      </c>
      <c r="AA72" s="65">
        <v>5.0999999999999996</v>
      </c>
      <c r="AB72" s="65">
        <v>5.0999999999999996</v>
      </c>
      <c r="AC72" s="65">
        <v>5.0999999999999996</v>
      </c>
      <c r="AD72" s="65">
        <v>5.0999999999999996</v>
      </c>
      <c r="AE72" s="65">
        <v>5.0999999999999996</v>
      </c>
      <c r="AF72" s="65">
        <v>5.0999999999999996</v>
      </c>
      <c r="AG72" s="55">
        <v>14</v>
      </c>
      <c r="AH72" s="47">
        <f t="shared" si="2"/>
        <v>5.0999999999999996</v>
      </c>
      <c r="AI72" s="48">
        <f t="shared" si="3"/>
        <v>5.0999999999999996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v>178.54</v>
      </c>
      <c r="C76" s="60">
        <f t="shared" ref="C76:AG76" si="20">SUM(C63:C75)</f>
        <v>94.44</v>
      </c>
      <c r="D76" s="60">
        <f t="shared" si="20"/>
        <v>94.44</v>
      </c>
      <c r="E76" s="60">
        <f t="shared" si="20"/>
        <v>94.44</v>
      </c>
      <c r="F76" s="60">
        <f t="shared" si="20"/>
        <v>94.44</v>
      </c>
      <c r="G76" s="60">
        <f t="shared" ref="G76" si="21">SUM(G63:G75)</f>
        <v>132.43999999999997</v>
      </c>
      <c r="H76" s="60">
        <f t="shared" si="20"/>
        <v>187.44</v>
      </c>
      <c r="I76" s="60">
        <f t="shared" si="20"/>
        <v>281.44000000000005</v>
      </c>
      <c r="J76" s="60">
        <f t="shared" si="20"/>
        <v>326.24000000000007</v>
      </c>
      <c r="K76" s="60">
        <f t="shared" si="20"/>
        <v>333.24000000000007</v>
      </c>
      <c r="L76" s="60">
        <f t="shared" si="20"/>
        <v>339.84000000000003</v>
      </c>
      <c r="M76" s="60">
        <f t="shared" ref="M76:N76" si="22">SUM(M63:M75)</f>
        <v>345.54</v>
      </c>
      <c r="N76" s="60">
        <f t="shared" si="22"/>
        <v>347.14000000000004</v>
      </c>
      <c r="O76" s="60">
        <f t="shared" ref="O76:P76" si="23">SUM(O63:O75)</f>
        <v>326.44000000000005</v>
      </c>
      <c r="P76" s="60">
        <f t="shared" si="23"/>
        <v>351.54000000000008</v>
      </c>
      <c r="Q76" s="60">
        <f t="shared" ref="Q76" si="24">SUM(Q63:Q75)</f>
        <v>368.04000000000008</v>
      </c>
      <c r="R76" s="60">
        <f t="shared" si="20"/>
        <v>341.20000000000005</v>
      </c>
      <c r="S76" s="60">
        <f t="shared" si="20"/>
        <v>291.44</v>
      </c>
      <c r="T76" s="60">
        <f t="shared" si="20"/>
        <v>277.14000000000004</v>
      </c>
      <c r="U76" s="60">
        <f t="shared" si="20"/>
        <v>293.14000000000004</v>
      </c>
      <c r="V76" s="60">
        <f t="shared" si="20"/>
        <v>245.64</v>
      </c>
      <c r="W76" s="60">
        <f t="shared" si="20"/>
        <v>232.83999999999997</v>
      </c>
      <c r="X76" s="60">
        <v>232.83999999999997</v>
      </c>
      <c r="Y76" s="60">
        <v>232.83999999999997</v>
      </c>
      <c r="Z76" s="60">
        <f t="shared" si="20"/>
        <v>341.44</v>
      </c>
      <c r="AA76" s="60">
        <f t="shared" si="20"/>
        <v>340.84000000000003</v>
      </c>
      <c r="AB76" s="60">
        <f t="shared" ref="AB76:AC76" si="25">SUM(AB63:AB75)</f>
        <v>335.84000000000003</v>
      </c>
      <c r="AC76" s="60">
        <f t="shared" si="25"/>
        <v>315.84000000000009</v>
      </c>
      <c r="AD76" s="60">
        <f t="shared" ref="AD76:AE76" si="26">SUM(AD63:AD75)</f>
        <v>286.54000000000002</v>
      </c>
      <c r="AE76" s="60">
        <f t="shared" si="26"/>
        <v>276.54000000000002</v>
      </c>
      <c r="AF76" s="60">
        <f t="shared" ref="AF76" si="27">SUM(AF63:AF75)</f>
        <v>230.54</v>
      </c>
      <c r="AG76" s="61">
        <f t="shared" si="20"/>
        <v>489.91</v>
      </c>
      <c r="AH76" s="47">
        <f t="shared" si="2"/>
        <v>368.04000000000008</v>
      </c>
      <c r="AI76" s="48">
        <f t="shared" si="3"/>
        <v>94.44</v>
      </c>
      <c r="AK76" s="50"/>
    </row>
    <row r="77" spans="1:41" x14ac:dyDescent="0.25">
      <c r="A77" s="44" t="s">
        <v>77</v>
      </c>
      <c r="B77" s="45">
        <v>0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>
        <v>29</v>
      </c>
      <c r="R77" s="45">
        <v>29.5</v>
      </c>
      <c r="S77" s="45">
        <v>60</v>
      </c>
      <c r="T77" s="45">
        <v>59.4</v>
      </c>
      <c r="U77" s="45">
        <v>59.4</v>
      </c>
      <c r="V77" s="45">
        <v>33.200000000000003</v>
      </c>
      <c r="W77" s="45">
        <v>38.700000000000003</v>
      </c>
      <c r="X77" s="45">
        <v>59.4</v>
      </c>
      <c r="Y77" s="45">
        <v>59.7</v>
      </c>
      <c r="Z77" s="45">
        <v>40</v>
      </c>
      <c r="AA77" s="45">
        <v>14.3</v>
      </c>
      <c r="AB77" s="45">
        <v>0</v>
      </c>
      <c r="AC77" s="45">
        <v>0</v>
      </c>
      <c r="AD77" s="45">
        <v>0</v>
      </c>
      <c r="AE77" s="45">
        <v>14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>
        <v>14</v>
      </c>
      <c r="R78" s="65">
        <v>14.1</v>
      </c>
      <c r="S78" s="65">
        <v>26.2</v>
      </c>
      <c r="T78" s="65">
        <v>27.4</v>
      </c>
      <c r="U78" s="65">
        <v>27.4</v>
      </c>
      <c r="V78" s="65">
        <v>14.6</v>
      </c>
      <c r="W78" s="65">
        <v>13.9</v>
      </c>
      <c r="X78" s="65">
        <v>21.9</v>
      </c>
      <c r="Y78" s="65">
        <v>28.9</v>
      </c>
      <c r="Z78" s="65">
        <v>21.8</v>
      </c>
      <c r="AA78" s="65">
        <v>6.5</v>
      </c>
      <c r="AB78" s="65">
        <v>0</v>
      </c>
      <c r="AC78" s="65">
        <v>0</v>
      </c>
      <c r="AD78" s="65">
        <v>0</v>
      </c>
      <c r="AE78" s="65">
        <v>5</v>
      </c>
      <c r="AF78" s="65">
        <v>0</v>
      </c>
      <c r="AG78" s="55">
        <v>32</v>
      </c>
      <c r="AH78" s="47">
        <f t="shared" si="2"/>
        <v>28.9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>
        <v>5.3</v>
      </c>
      <c r="R79" s="67">
        <v>5.2</v>
      </c>
      <c r="S79" s="67">
        <v>9.6</v>
      </c>
      <c r="T79" s="67">
        <v>10</v>
      </c>
      <c r="U79" s="67">
        <v>10</v>
      </c>
      <c r="V79" s="67">
        <v>5.3</v>
      </c>
      <c r="W79" s="67">
        <v>5.0999999999999996</v>
      </c>
      <c r="X79" s="67">
        <v>8</v>
      </c>
      <c r="Y79" s="67">
        <v>10.6</v>
      </c>
      <c r="Z79" s="67">
        <v>8</v>
      </c>
      <c r="AA79" s="67">
        <v>2.4</v>
      </c>
      <c r="AB79" s="67">
        <v>0</v>
      </c>
      <c r="AC79" s="67">
        <v>0</v>
      </c>
      <c r="AD79" s="67">
        <v>0</v>
      </c>
      <c r="AE79" s="67">
        <v>2</v>
      </c>
      <c r="AF79" s="67">
        <v>0</v>
      </c>
      <c r="AG79" s="68">
        <v>14</v>
      </c>
      <c r="AH79" s="47">
        <f t="shared" si="2"/>
        <v>10.6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v>0</v>
      </c>
      <c r="C80" s="60">
        <f t="shared" ref="C80:AA80" si="28">C77+C78+C79</f>
        <v>0</v>
      </c>
      <c r="D80" s="60">
        <f t="shared" si="28"/>
        <v>0</v>
      </c>
      <c r="E80" s="60">
        <f t="shared" si="28"/>
        <v>0</v>
      </c>
      <c r="F80" s="60">
        <f t="shared" si="28"/>
        <v>0</v>
      </c>
      <c r="G80" s="60">
        <f t="shared" ref="G80" si="29">G77+G78+G79</f>
        <v>0</v>
      </c>
      <c r="H80" s="60">
        <f t="shared" si="28"/>
        <v>0</v>
      </c>
      <c r="I80" s="60">
        <f t="shared" si="28"/>
        <v>0</v>
      </c>
      <c r="J80" s="60">
        <f t="shared" si="28"/>
        <v>0</v>
      </c>
      <c r="K80" s="60">
        <f t="shared" si="28"/>
        <v>0</v>
      </c>
      <c r="L80" s="60">
        <f t="shared" si="28"/>
        <v>0</v>
      </c>
      <c r="M80" s="60">
        <f t="shared" ref="M80:N80" si="30">M77+M78+M79</f>
        <v>0</v>
      </c>
      <c r="N80" s="60">
        <f t="shared" si="30"/>
        <v>0</v>
      </c>
      <c r="O80" s="60">
        <f t="shared" ref="O80:P80" si="31">O77+O78+O79</f>
        <v>0</v>
      </c>
      <c r="P80" s="60">
        <f t="shared" si="31"/>
        <v>0</v>
      </c>
      <c r="Q80" s="60">
        <f t="shared" ref="Q80" si="32">Q77+Q78+Q79</f>
        <v>48.3</v>
      </c>
      <c r="R80" s="60">
        <f t="shared" si="28"/>
        <v>48.800000000000004</v>
      </c>
      <c r="S80" s="60">
        <f t="shared" si="28"/>
        <v>95.8</v>
      </c>
      <c r="T80" s="60">
        <f t="shared" si="28"/>
        <v>96.8</v>
      </c>
      <c r="U80" s="60">
        <f t="shared" si="28"/>
        <v>96.8</v>
      </c>
      <c r="V80" s="60">
        <f t="shared" si="28"/>
        <v>53.1</v>
      </c>
      <c r="W80" s="60">
        <f t="shared" si="28"/>
        <v>57.7</v>
      </c>
      <c r="X80" s="60">
        <v>57.7</v>
      </c>
      <c r="Y80" s="60">
        <f t="shared" si="28"/>
        <v>99.199999999999989</v>
      </c>
      <c r="Z80" s="60">
        <f t="shared" si="28"/>
        <v>69.8</v>
      </c>
      <c r="AA80" s="60">
        <f t="shared" si="28"/>
        <v>23.2</v>
      </c>
      <c r="AB80" s="60">
        <f t="shared" ref="AB80:AC80" si="33">AB77+AB78+AB79</f>
        <v>0</v>
      </c>
      <c r="AC80" s="60">
        <f t="shared" si="33"/>
        <v>0</v>
      </c>
      <c r="AD80" s="60">
        <f t="shared" ref="AD80:AE80" si="34">AD77+AD78+AD79</f>
        <v>0</v>
      </c>
      <c r="AE80" s="60">
        <f t="shared" si="34"/>
        <v>21</v>
      </c>
      <c r="AF80" s="60">
        <f t="shared" ref="AF80" si="35">AF77+AF78+AF79</f>
        <v>0</v>
      </c>
      <c r="AG80" s="61">
        <f>SUM(AG77:AG79)</f>
        <v>106</v>
      </c>
      <c r="AH80" s="47">
        <f t="shared" si="2"/>
        <v>99.199999999999989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51.2</v>
      </c>
      <c r="C81" s="45">
        <v>65</v>
      </c>
      <c r="D81" s="45">
        <v>45</v>
      </c>
      <c r="E81" s="45">
        <v>44.6</v>
      </c>
      <c r="F81" s="45">
        <v>45.5</v>
      </c>
      <c r="G81" s="45">
        <v>51.2</v>
      </c>
      <c r="H81" s="45">
        <v>62.2</v>
      </c>
      <c r="I81" s="45">
        <v>52</v>
      </c>
      <c r="J81" s="45">
        <v>54.2</v>
      </c>
      <c r="K81" s="45">
        <v>44</v>
      </c>
      <c r="L81" s="45">
        <v>52</v>
      </c>
      <c r="M81" s="45">
        <v>59.1</v>
      </c>
      <c r="N81" s="45">
        <v>57.5</v>
      </c>
      <c r="O81" s="45">
        <v>59.3</v>
      </c>
      <c r="P81" s="45">
        <v>44.3</v>
      </c>
      <c r="Q81" s="45">
        <v>58.7</v>
      </c>
      <c r="R81" s="45">
        <v>65</v>
      </c>
      <c r="S81" s="45">
        <v>54.4</v>
      </c>
      <c r="T81" s="45">
        <v>65.7</v>
      </c>
      <c r="U81" s="45">
        <v>53.5</v>
      </c>
      <c r="V81" s="45">
        <v>44.4</v>
      </c>
      <c r="W81" s="45">
        <v>59.7</v>
      </c>
      <c r="X81" s="45">
        <v>60.5</v>
      </c>
      <c r="Y81" s="45">
        <v>67</v>
      </c>
      <c r="Z81" s="45">
        <v>67</v>
      </c>
      <c r="AA81" s="45">
        <v>66.7</v>
      </c>
      <c r="AB81" s="45">
        <v>64</v>
      </c>
      <c r="AC81" s="45">
        <v>61.5</v>
      </c>
      <c r="AD81" s="45">
        <v>58</v>
      </c>
      <c r="AE81" s="45">
        <v>62</v>
      </c>
      <c r="AF81" s="45">
        <v>56</v>
      </c>
      <c r="AG81" s="52"/>
      <c r="AH81" s="47">
        <f t="shared" si="2"/>
        <v>67</v>
      </c>
      <c r="AI81" s="48">
        <f t="shared" si="3"/>
        <v>44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293</v>
      </c>
      <c r="C83" s="65">
        <v>305.2</v>
      </c>
      <c r="D83" s="65">
        <v>300.60000000000002</v>
      </c>
      <c r="E83" s="65">
        <v>279</v>
      </c>
      <c r="F83" s="65">
        <v>300</v>
      </c>
      <c r="G83" s="65">
        <v>332</v>
      </c>
      <c r="H83" s="65">
        <v>346</v>
      </c>
      <c r="I83" s="65">
        <v>389</v>
      </c>
      <c r="J83" s="65">
        <v>389</v>
      </c>
      <c r="K83" s="65">
        <v>373</v>
      </c>
      <c r="L83" s="65">
        <v>332</v>
      </c>
      <c r="M83" s="65">
        <v>155.30000000000001</v>
      </c>
      <c r="N83" s="65">
        <v>118.3</v>
      </c>
      <c r="O83" s="65">
        <v>176.9</v>
      </c>
      <c r="P83" s="65">
        <v>267</v>
      </c>
      <c r="Q83" s="65">
        <v>357.8</v>
      </c>
      <c r="R83" s="65">
        <v>407</v>
      </c>
      <c r="S83" s="65">
        <v>435</v>
      </c>
      <c r="T83" s="65">
        <v>413.9</v>
      </c>
      <c r="U83" s="65">
        <v>389</v>
      </c>
      <c r="V83" s="65">
        <v>300.5</v>
      </c>
      <c r="W83" s="65">
        <v>211.8</v>
      </c>
      <c r="X83" s="65">
        <v>211.8</v>
      </c>
      <c r="Y83" s="65">
        <v>198.9</v>
      </c>
      <c r="Z83" s="65">
        <v>199</v>
      </c>
      <c r="AA83" s="65">
        <v>198.5</v>
      </c>
      <c r="AB83" s="65">
        <v>270</v>
      </c>
      <c r="AC83" s="65">
        <v>279</v>
      </c>
      <c r="AD83" s="65">
        <v>360</v>
      </c>
      <c r="AE83" s="65">
        <v>351</v>
      </c>
      <c r="AF83" s="65">
        <v>315</v>
      </c>
      <c r="AG83" s="75"/>
      <c r="AH83" s="47">
        <f t="shared" si="2"/>
        <v>435</v>
      </c>
      <c r="AI83" s="48">
        <f t="shared" si="3"/>
        <v>118.3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6">MAX(B85:AF85)</f>
        <v>0</v>
      </c>
      <c r="AI85" s="48">
        <f t="shared" ref="AI85:AI130" si="37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6"/>
        <v>0</v>
      </c>
      <c r="AI86" s="48">
        <f t="shared" si="37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6"/>
        <v>0</v>
      </c>
      <c r="AI87" s="48">
        <f t="shared" si="3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6"/>
        <v>0</v>
      </c>
      <c r="AI88" s="48">
        <f t="shared" si="3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6"/>
        <v>0</v>
      </c>
      <c r="AI89" s="48">
        <f t="shared" si="3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6"/>
        <v>0</v>
      </c>
      <c r="AI90" s="48">
        <f t="shared" si="3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6"/>
        <v>0</v>
      </c>
      <c r="AI91" s="48">
        <f t="shared" si="37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v>331.4</v>
      </c>
      <c r="C92" s="60">
        <f t="shared" ref="C92:AA92" si="38">SUMIF(C81:C91,"&gt;0")</f>
        <v>370.2</v>
      </c>
      <c r="D92" s="60">
        <f t="shared" si="38"/>
        <v>345.6</v>
      </c>
      <c r="E92" s="60">
        <f t="shared" si="38"/>
        <v>323.60000000000002</v>
      </c>
      <c r="F92" s="60">
        <f t="shared" si="38"/>
        <v>345.5</v>
      </c>
      <c r="G92" s="60">
        <f t="shared" si="38"/>
        <v>383.2</v>
      </c>
      <c r="H92" s="60">
        <f t="shared" si="38"/>
        <v>408.2</v>
      </c>
      <c r="I92" s="60">
        <f t="shared" si="38"/>
        <v>441</v>
      </c>
      <c r="J92" s="60">
        <f t="shared" si="38"/>
        <v>443.2</v>
      </c>
      <c r="K92" s="60">
        <f t="shared" si="38"/>
        <v>417</v>
      </c>
      <c r="L92" s="60">
        <f t="shared" si="38"/>
        <v>384</v>
      </c>
      <c r="M92" s="60">
        <f t="shared" ref="M92:N92" si="39">SUMIF(M81:M91,"&gt;0")</f>
        <v>214.4</v>
      </c>
      <c r="N92" s="60">
        <f t="shared" si="39"/>
        <v>175.8</v>
      </c>
      <c r="O92" s="60">
        <f t="shared" ref="O92:P92" si="40">SUMIF(O81:O91,"&gt;0")</f>
        <v>236.2</v>
      </c>
      <c r="P92" s="60">
        <f t="shared" si="40"/>
        <v>311.3</v>
      </c>
      <c r="Q92" s="60">
        <f t="shared" ref="Q92" si="41">SUMIF(Q81:Q91,"&gt;0")</f>
        <v>416.5</v>
      </c>
      <c r="R92" s="60">
        <f t="shared" si="38"/>
        <v>472</v>
      </c>
      <c r="S92" s="60">
        <f t="shared" si="38"/>
        <v>489.4</v>
      </c>
      <c r="T92" s="60">
        <f t="shared" si="38"/>
        <v>479.59999999999997</v>
      </c>
      <c r="U92" s="60">
        <f t="shared" si="38"/>
        <v>442.5</v>
      </c>
      <c r="V92" s="60">
        <f t="shared" si="38"/>
        <v>344.9</v>
      </c>
      <c r="W92" s="60">
        <f t="shared" si="38"/>
        <v>271.5</v>
      </c>
      <c r="X92" s="60">
        <f t="shared" si="38"/>
        <v>272.3</v>
      </c>
      <c r="Y92" s="60">
        <f t="shared" si="38"/>
        <v>265.89999999999998</v>
      </c>
      <c r="Z92" s="60">
        <f t="shared" si="38"/>
        <v>266</v>
      </c>
      <c r="AA92" s="60">
        <f t="shared" si="38"/>
        <v>265.2</v>
      </c>
      <c r="AB92" s="60">
        <f t="shared" ref="AB92:AC92" si="42">SUMIF(AB81:AB91,"&gt;0")</f>
        <v>334</v>
      </c>
      <c r="AC92" s="60">
        <f t="shared" si="42"/>
        <v>340.5</v>
      </c>
      <c r="AD92" s="60">
        <f t="shared" ref="AD92:AE92" si="43">SUMIF(AD81:AD91,"&gt;0")</f>
        <v>418</v>
      </c>
      <c r="AE92" s="60">
        <f t="shared" si="43"/>
        <v>413</v>
      </c>
      <c r="AF92" s="60">
        <f t="shared" ref="AF92" si="44">SUMIF(AF81:AF91,"&gt;0")</f>
        <v>371</v>
      </c>
      <c r="AG92" s="88">
        <f>SUM(AG81:AG91)</f>
        <v>0</v>
      </c>
      <c r="AH92" s="47">
        <f t="shared" si="36"/>
        <v>489.4</v>
      </c>
      <c r="AI92" s="48">
        <f t="shared" si="37"/>
        <v>175.8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6"/>
        <v>0</v>
      </c>
      <c r="AI93" s="48">
        <f t="shared" si="37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6"/>
        <v>0</v>
      </c>
      <c r="AI94" s="48">
        <f t="shared" si="37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6"/>
        <v>0</v>
      </c>
      <c r="AI95" s="48">
        <f t="shared" si="37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6"/>
        <v>0</v>
      </c>
      <c r="AI96" s="48">
        <f t="shared" si="37"/>
        <v>0</v>
      </c>
    </row>
    <row r="97" spans="1:37" ht="15.75" thickBot="1" x14ac:dyDescent="0.3">
      <c r="A97" s="74" t="s">
        <v>100</v>
      </c>
      <c r="B97" s="95">
        <v>1137.2399999999998</v>
      </c>
      <c r="C97" s="95">
        <f t="shared" ref="C97:AG97" si="45">C58+C62+C80+C76+C92+C96</f>
        <v>1092.94</v>
      </c>
      <c r="D97" s="95">
        <f t="shared" si="45"/>
        <v>1069.54</v>
      </c>
      <c r="E97" s="95">
        <f t="shared" si="45"/>
        <v>1047.3400000000001</v>
      </c>
      <c r="F97" s="95">
        <f t="shared" si="45"/>
        <v>1069.24</v>
      </c>
      <c r="G97" s="95">
        <f t="shared" si="45"/>
        <v>1144.9399999999998</v>
      </c>
      <c r="H97" s="95">
        <f t="shared" si="45"/>
        <v>1224.5400000000002</v>
      </c>
      <c r="I97" s="95">
        <f t="shared" si="45"/>
        <v>1366.3400000000001</v>
      </c>
      <c r="J97" s="95">
        <f t="shared" si="45"/>
        <v>1413.3400000000001</v>
      </c>
      <c r="K97" s="95">
        <f t="shared" si="45"/>
        <v>1409.14</v>
      </c>
      <c r="L97" s="95">
        <f t="shared" si="45"/>
        <v>1502.7400000000002</v>
      </c>
      <c r="M97" s="95">
        <f t="shared" ref="M97:N97" si="46">M58+M62+M80+M76+M92+M96</f>
        <v>1453.8400000000001</v>
      </c>
      <c r="N97" s="95">
        <f t="shared" si="46"/>
        <v>1451.8400000000001</v>
      </c>
      <c r="O97" s="95">
        <f t="shared" ref="O97:P97" si="47">O58+O62+O80+O76+O92+O96</f>
        <v>1421.5400000000002</v>
      </c>
      <c r="P97" s="95">
        <f t="shared" si="47"/>
        <v>1416.74</v>
      </c>
      <c r="Q97" s="95">
        <f t="shared" ref="Q97" si="48">Q58+Q62+Q80+Q76+Q92+Q96</f>
        <v>1491.7400000000002</v>
      </c>
      <c r="R97" s="95">
        <f t="shared" si="45"/>
        <v>1490.9</v>
      </c>
      <c r="S97" s="95">
        <f t="shared" si="45"/>
        <v>1499.8400000000001</v>
      </c>
      <c r="T97" s="95">
        <f t="shared" si="45"/>
        <v>1492.84</v>
      </c>
      <c r="U97" s="95">
        <f t="shared" si="45"/>
        <v>1471.8400000000001</v>
      </c>
      <c r="V97" s="95">
        <f t="shared" si="45"/>
        <v>1326.54</v>
      </c>
      <c r="W97" s="95">
        <f t="shared" si="45"/>
        <v>1424.94</v>
      </c>
      <c r="X97" s="95">
        <f t="shared" si="45"/>
        <v>1425.74</v>
      </c>
      <c r="Y97" s="95">
        <f t="shared" si="45"/>
        <v>1460.8400000000001</v>
      </c>
      <c r="Z97" s="95">
        <f t="shared" si="45"/>
        <v>1596.34</v>
      </c>
      <c r="AA97" s="95">
        <f t="shared" si="45"/>
        <v>1548.3400000000001</v>
      </c>
      <c r="AB97" s="95">
        <f t="shared" ref="AB97:AC97" si="49">AB58+AB62+AB80+AB76+AB92+AB96</f>
        <v>1478.94</v>
      </c>
      <c r="AC97" s="95">
        <f t="shared" si="49"/>
        <v>1465.44</v>
      </c>
      <c r="AD97" s="95">
        <f t="shared" ref="AD97:AE97" si="50">AD58+AD62+AD80+AD76+AD92+AD96</f>
        <v>1393.64</v>
      </c>
      <c r="AE97" s="95">
        <f t="shared" si="50"/>
        <v>1359.64</v>
      </c>
      <c r="AF97" s="95">
        <f t="shared" ref="AF97" si="51">AF58+AF62+AF80+AF76+AF92+AF96</f>
        <v>1230.6399999999999</v>
      </c>
      <c r="AG97" s="61">
        <f t="shared" si="45"/>
        <v>2231.81</v>
      </c>
      <c r="AH97" s="47">
        <f t="shared" si="36"/>
        <v>1596.34</v>
      </c>
      <c r="AI97" s="48">
        <f t="shared" si="37"/>
        <v>1047.3400000000001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>
        <v>120</v>
      </c>
      <c r="W98" s="97">
        <v>120</v>
      </c>
      <c r="X98" s="97">
        <v>120</v>
      </c>
      <c r="Y98" s="97">
        <v>120</v>
      </c>
      <c r="Z98" s="97">
        <v>120</v>
      </c>
      <c r="AA98" s="97">
        <v>120</v>
      </c>
      <c r="AB98" s="97">
        <v>120</v>
      </c>
      <c r="AC98" s="97">
        <v>121</v>
      </c>
      <c r="AD98" s="97">
        <v>0</v>
      </c>
      <c r="AE98" s="97">
        <v>0</v>
      </c>
      <c r="AF98" s="97">
        <v>1</v>
      </c>
      <c r="AG98" s="88"/>
      <c r="AH98" s="47">
        <f t="shared" si="36"/>
        <v>121</v>
      </c>
      <c r="AI98" s="48">
        <f t="shared" si="37"/>
        <v>0</v>
      </c>
    </row>
    <row r="99" spans="1:37" ht="15.75" thickBot="1" x14ac:dyDescent="0.3">
      <c r="A99" s="74" t="s">
        <v>102</v>
      </c>
      <c r="B99" s="95">
        <v>1137.2399999999998</v>
      </c>
      <c r="C99" s="95">
        <f t="shared" ref="C99:AA99" si="52">C97+C98</f>
        <v>1092.94</v>
      </c>
      <c r="D99" s="95">
        <f t="shared" si="52"/>
        <v>1069.54</v>
      </c>
      <c r="E99" s="95">
        <f t="shared" si="52"/>
        <v>1047.3400000000001</v>
      </c>
      <c r="F99" s="95">
        <f t="shared" si="52"/>
        <v>1069.24</v>
      </c>
      <c r="G99" s="95">
        <f t="shared" si="52"/>
        <v>1144.9399999999998</v>
      </c>
      <c r="H99" s="95">
        <f t="shared" si="52"/>
        <v>1224.5400000000002</v>
      </c>
      <c r="I99" s="95">
        <f t="shared" si="52"/>
        <v>1366.3400000000001</v>
      </c>
      <c r="J99" s="95">
        <f t="shared" si="52"/>
        <v>1413.3400000000001</v>
      </c>
      <c r="K99" s="95">
        <f t="shared" si="52"/>
        <v>1409.14</v>
      </c>
      <c r="L99" s="95">
        <f t="shared" si="52"/>
        <v>1502.7400000000002</v>
      </c>
      <c r="M99" s="95">
        <f t="shared" ref="M99:N99" si="53">M97+M98</f>
        <v>1453.8400000000001</v>
      </c>
      <c r="N99" s="95">
        <f t="shared" si="53"/>
        <v>1451.8400000000001</v>
      </c>
      <c r="O99" s="95">
        <f t="shared" ref="O99:P99" si="54">O97+O98</f>
        <v>1421.5400000000002</v>
      </c>
      <c r="P99" s="95">
        <f t="shared" si="54"/>
        <v>1416.74</v>
      </c>
      <c r="Q99" s="95">
        <f t="shared" ref="Q99" si="55">Q97+Q98</f>
        <v>1491.7400000000002</v>
      </c>
      <c r="R99" s="95">
        <f t="shared" si="52"/>
        <v>1490.9</v>
      </c>
      <c r="S99" s="95">
        <f t="shared" si="52"/>
        <v>1499.8400000000001</v>
      </c>
      <c r="T99" s="95">
        <f t="shared" si="52"/>
        <v>1492.84</v>
      </c>
      <c r="U99" s="95">
        <f t="shared" si="52"/>
        <v>1471.8400000000001</v>
      </c>
      <c r="V99" s="95">
        <f t="shared" si="52"/>
        <v>1446.54</v>
      </c>
      <c r="W99" s="95">
        <f t="shared" si="52"/>
        <v>1544.94</v>
      </c>
      <c r="X99" s="95">
        <f t="shared" si="52"/>
        <v>1545.74</v>
      </c>
      <c r="Y99" s="95">
        <f t="shared" si="52"/>
        <v>1580.8400000000001</v>
      </c>
      <c r="Z99" s="95">
        <f t="shared" si="52"/>
        <v>1716.34</v>
      </c>
      <c r="AA99" s="95">
        <f t="shared" si="52"/>
        <v>1668.3400000000001</v>
      </c>
      <c r="AB99" s="95">
        <f t="shared" ref="AB99:AC99" si="56">AB97+AB98</f>
        <v>1598.94</v>
      </c>
      <c r="AC99" s="95">
        <f t="shared" si="56"/>
        <v>1586.44</v>
      </c>
      <c r="AD99" s="95">
        <f t="shared" ref="AD99:AE99" si="57">AD97+AD98</f>
        <v>1393.64</v>
      </c>
      <c r="AE99" s="95">
        <f t="shared" si="57"/>
        <v>1359.64</v>
      </c>
      <c r="AF99" s="95">
        <f t="shared" ref="AF99" si="58">AF97+AF98</f>
        <v>1231.6399999999999</v>
      </c>
      <c r="AG99" s="88">
        <f>AG96+AG92+AG80+AG76+AG58+AG98</f>
        <v>1693.71</v>
      </c>
      <c r="AH99" s="47">
        <f t="shared" si="36"/>
        <v>1716.34</v>
      </c>
      <c r="AI99" s="48">
        <f t="shared" si="37"/>
        <v>1047.3400000000001</v>
      </c>
    </row>
    <row r="100" spans="1:37" ht="15.75" thickBot="1" x14ac:dyDescent="0.3">
      <c r="A100" s="74" t="s">
        <v>103</v>
      </c>
      <c r="B100" s="95">
        <v>1137.2399999999998</v>
      </c>
      <c r="C100" s="95">
        <f t="shared" ref="C100:L100" si="59">C99-(C107)</f>
        <v>1092.94</v>
      </c>
      <c r="D100" s="95">
        <f t="shared" si="59"/>
        <v>1069.54</v>
      </c>
      <c r="E100" s="95">
        <f t="shared" si="59"/>
        <v>1047.3400000000001</v>
      </c>
      <c r="F100" s="95">
        <f t="shared" si="59"/>
        <v>1069.24</v>
      </c>
      <c r="G100" s="95">
        <f t="shared" si="59"/>
        <v>1144.9399999999998</v>
      </c>
      <c r="H100" s="95">
        <f t="shared" si="59"/>
        <v>1224.5400000000002</v>
      </c>
      <c r="I100" s="95">
        <f t="shared" si="59"/>
        <v>1366.3400000000001</v>
      </c>
      <c r="J100" s="95">
        <f t="shared" si="59"/>
        <v>1413.3400000000001</v>
      </c>
      <c r="K100" s="95">
        <f t="shared" si="59"/>
        <v>1409.14</v>
      </c>
      <c r="L100" s="95">
        <f t="shared" si="59"/>
        <v>1502.7400000000002</v>
      </c>
      <c r="M100" s="95">
        <f t="shared" ref="M100:N100" si="60">M99-(M107)</f>
        <v>1452.8400000000001</v>
      </c>
      <c r="N100" s="95">
        <f t="shared" si="60"/>
        <v>1449.8400000000001</v>
      </c>
      <c r="O100" s="95">
        <f t="shared" ref="O100:P100" si="61">O99-(O107)</f>
        <v>1418.5400000000002</v>
      </c>
      <c r="P100" s="95">
        <f t="shared" si="61"/>
        <v>1412.74</v>
      </c>
      <c r="Q100" s="95">
        <f t="shared" ref="Q100" si="62">Q99-(Q107)</f>
        <v>1486.7400000000002</v>
      </c>
      <c r="R100" s="95">
        <f t="shared" ref="R100:AA100" si="63">R99-(R107)</f>
        <v>1490.9</v>
      </c>
      <c r="S100" s="95">
        <f t="shared" si="63"/>
        <v>1499.8400000000001</v>
      </c>
      <c r="T100" s="95">
        <f t="shared" si="63"/>
        <v>1492.84</v>
      </c>
      <c r="U100" s="95">
        <f t="shared" si="63"/>
        <v>1471.8400000000001</v>
      </c>
      <c r="V100" s="95">
        <f t="shared" si="63"/>
        <v>1446.54</v>
      </c>
      <c r="W100" s="95">
        <f t="shared" si="63"/>
        <v>1544.94</v>
      </c>
      <c r="X100" s="95">
        <f t="shared" si="63"/>
        <v>1545.74</v>
      </c>
      <c r="Y100" s="95">
        <f t="shared" si="63"/>
        <v>1580.8400000000001</v>
      </c>
      <c r="Z100" s="95">
        <f t="shared" si="63"/>
        <v>1716.34</v>
      </c>
      <c r="AA100" s="95">
        <f t="shared" si="63"/>
        <v>1668.3400000000001</v>
      </c>
      <c r="AB100" s="95">
        <f t="shared" ref="AB100:AC100" si="64">AB99-(AB107)</f>
        <v>1597.94</v>
      </c>
      <c r="AC100" s="95">
        <f t="shared" si="64"/>
        <v>1584.44</v>
      </c>
      <c r="AD100" s="95">
        <f t="shared" ref="AD100:AE100" si="65">AD99-(AD107)</f>
        <v>1390.64</v>
      </c>
      <c r="AE100" s="95">
        <f t="shared" si="65"/>
        <v>1355.64</v>
      </c>
      <c r="AF100" s="95">
        <f t="shared" ref="AF100" si="66">AF99-(AF107)</f>
        <v>1226.6399999999999</v>
      </c>
      <c r="AG100" s="88"/>
      <c r="AH100" s="47">
        <f t="shared" si="36"/>
        <v>1716.34</v>
      </c>
      <c r="AI100" s="48">
        <f t="shared" si="37"/>
        <v>1047.3400000000001</v>
      </c>
    </row>
    <row r="101" spans="1:37" x14ac:dyDescent="0.25">
      <c r="A101" s="44" t="s">
        <v>84</v>
      </c>
      <c r="B101" s="76">
        <v>0</v>
      </c>
      <c r="C101" s="76">
        <f t="shared" ref="C101:AA101" si="67">IF(C84&lt;0,C84*-1,0)</f>
        <v>0</v>
      </c>
      <c r="D101" s="76">
        <f t="shared" si="67"/>
        <v>0</v>
      </c>
      <c r="E101" s="76">
        <f t="shared" si="67"/>
        <v>0</v>
      </c>
      <c r="F101" s="76">
        <f t="shared" si="67"/>
        <v>0</v>
      </c>
      <c r="G101" s="76">
        <f t="shared" si="67"/>
        <v>0</v>
      </c>
      <c r="H101" s="76">
        <f t="shared" si="67"/>
        <v>0</v>
      </c>
      <c r="I101" s="76">
        <f t="shared" si="67"/>
        <v>0</v>
      </c>
      <c r="J101" s="76">
        <f t="shared" si="67"/>
        <v>0</v>
      </c>
      <c r="K101" s="76">
        <f t="shared" si="67"/>
        <v>0</v>
      </c>
      <c r="L101" s="76">
        <f t="shared" si="67"/>
        <v>0</v>
      </c>
      <c r="M101" s="76">
        <f t="shared" ref="M101:N101" si="68">IF(M84&lt;0,M84*-1,0)</f>
        <v>0</v>
      </c>
      <c r="N101" s="76">
        <f t="shared" si="68"/>
        <v>0</v>
      </c>
      <c r="O101" s="76">
        <f t="shared" ref="O101:P101" si="69">IF(O84&lt;0,O84*-1,0)</f>
        <v>0</v>
      </c>
      <c r="P101" s="76">
        <f t="shared" si="69"/>
        <v>0</v>
      </c>
      <c r="Q101" s="76">
        <f t="shared" ref="Q101" si="70">IF(Q84&lt;0,Q84*-1,0)</f>
        <v>0</v>
      </c>
      <c r="R101" s="76">
        <f t="shared" si="67"/>
        <v>0</v>
      </c>
      <c r="S101" s="76">
        <f t="shared" si="67"/>
        <v>0</v>
      </c>
      <c r="T101" s="76">
        <f t="shared" si="67"/>
        <v>0</v>
      </c>
      <c r="U101" s="76">
        <f t="shared" si="67"/>
        <v>0</v>
      </c>
      <c r="V101" s="76">
        <f t="shared" si="67"/>
        <v>0</v>
      </c>
      <c r="W101" s="76">
        <f t="shared" si="67"/>
        <v>0</v>
      </c>
      <c r="X101" s="76">
        <f t="shared" si="67"/>
        <v>0</v>
      </c>
      <c r="Y101" s="76">
        <f t="shared" si="67"/>
        <v>0</v>
      </c>
      <c r="Z101" s="76">
        <f t="shared" si="67"/>
        <v>0</v>
      </c>
      <c r="AA101" s="76">
        <f t="shared" si="67"/>
        <v>0</v>
      </c>
      <c r="AB101" s="76">
        <f t="shared" ref="AB101:AC101" si="71">IF(AB84&lt;0,AB84*-1,0)</f>
        <v>0</v>
      </c>
      <c r="AC101" s="76">
        <f t="shared" si="71"/>
        <v>0</v>
      </c>
      <c r="AD101" s="76">
        <f t="shared" ref="AD101:AE101" si="72">IF(AD84&lt;0,AD84*-1,0)</f>
        <v>0</v>
      </c>
      <c r="AE101" s="76">
        <f t="shared" si="72"/>
        <v>0</v>
      </c>
      <c r="AF101" s="76">
        <f t="shared" ref="AF101" si="73">IF(AF84&lt;0,AF84*-1,0)</f>
        <v>0</v>
      </c>
      <c r="AG101" s="52"/>
      <c r="AH101" s="47">
        <f t="shared" si="36"/>
        <v>0</v>
      </c>
      <c r="AI101" s="48">
        <f t="shared" si="37"/>
        <v>0</v>
      </c>
    </row>
    <row r="102" spans="1:37" x14ac:dyDescent="0.25">
      <c r="A102" s="54" t="s">
        <v>82</v>
      </c>
      <c r="B102" s="76">
        <v>0</v>
      </c>
      <c r="C102" s="76">
        <f t="shared" ref="C102:AA102" si="74">IF(C82&lt;0,C82*-1,0)</f>
        <v>0</v>
      </c>
      <c r="D102" s="76">
        <f t="shared" si="74"/>
        <v>0</v>
      </c>
      <c r="E102" s="76">
        <f t="shared" si="74"/>
        <v>0</v>
      </c>
      <c r="F102" s="76">
        <f t="shared" si="74"/>
        <v>0</v>
      </c>
      <c r="G102" s="76">
        <f t="shared" si="74"/>
        <v>0</v>
      </c>
      <c r="H102" s="76">
        <f t="shared" si="74"/>
        <v>0</v>
      </c>
      <c r="I102" s="76">
        <f t="shared" si="74"/>
        <v>0</v>
      </c>
      <c r="J102" s="76">
        <f t="shared" si="74"/>
        <v>0</v>
      </c>
      <c r="K102" s="76">
        <f t="shared" si="74"/>
        <v>0</v>
      </c>
      <c r="L102" s="76">
        <f t="shared" si="74"/>
        <v>0</v>
      </c>
      <c r="M102" s="76">
        <f t="shared" ref="M102:N102" si="75">IF(M82&lt;0,M82*-1,0)</f>
        <v>0</v>
      </c>
      <c r="N102" s="76">
        <f t="shared" si="75"/>
        <v>0</v>
      </c>
      <c r="O102" s="76">
        <f t="shared" ref="O102:P102" si="76">IF(O82&lt;0,O82*-1,0)</f>
        <v>0</v>
      </c>
      <c r="P102" s="76">
        <f t="shared" si="76"/>
        <v>0</v>
      </c>
      <c r="Q102" s="76">
        <f t="shared" ref="Q102" si="77">IF(Q82&lt;0,Q82*-1,0)</f>
        <v>0</v>
      </c>
      <c r="R102" s="76">
        <f t="shared" si="74"/>
        <v>0</v>
      </c>
      <c r="S102" s="76">
        <f t="shared" si="74"/>
        <v>0</v>
      </c>
      <c r="T102" s="76">
        <f t="shared" si="74"/>
        <v>0</v>
      </c>
      <c r="U102" s="76">
        <f t="shared" si="74"/>
        <v>0</v>
      </c>
      <c r="V102" s="76">
        <f t="shared" si="74"/>
        <v>0</v>
      </c>
      <c r="W102" s="76">
        <f t="shared" si="74"/>
        <v>0</v>
      </c>
      <c r="X102" s="76">
        <f t="shared" si="74"/>
        <v>0</v>
      </c>
      <c r="Y102" s="76">
        <f t="shared" si="74"/>
        <v>0</v>
      </c>
      <c r="Z102" s="76">
        <f t="shared" si="74"/>
        <v>0</v>
      </c>
      <c r="AA102" s="76">
        <f t="shared" si="74"/>
        <v>0</v>
      </c>
      <c r="AB102" s="76">
        <f t="shared" ref="AB102:AC102" si="78">IF(AB82&lt;0,AB82*-1,0)</f>
        <v>0</v>
      </c>
      <c r="AC102" s="76">
        <f t="shared" si="78"/>
        <v>0</v>
      </c>
      <c r="AD102" s="76">
        <f t="shared" ref="AD102:AE102" si="79">IF(AD82&lt;0,AD82*-1,0)</f>
        <v>0</v>
      </c>
      <c r="AE102" s="76">
        <f t="shared" si="79"/>
        <v>0</v>
      </c>
      <c r="AF102" s="76">
        <f t="shared" ref="AF102" si="80">IF(AF82&lt;0,AF82*-1,0)</f>
        <v>0</v>
      </c>
      <c r="AG102" s="55"/>
      <c r="AH102" s="47">
        <f t="shared" si="36"/>
        <v>0</v>
      </c>
      <c r="AI102" s="48">
        <f t="shared" si="37"/>
        <v>0</v>
      </c>
    </row>
    <row r="103" spans="1:37" x14ac:dyDescent="0.25">
      <c r="A103" s="84" t="s">
        <v>104</v>
      </c>
      <c r="B103" s="76">
        <v>0</v>
      </c>
      <c r="C103" s="76">
        <f t="shared" ref="C103:AA103" si="81">IF(C85&lt;0,C85*-1,0)</f>
        <v>0</v>
      </c>
      <c r="D103" s="76">
        <f t="shared" si="81"/>
        <v>0</v>
      </c>
      <c r="E103" s="76">
        <f t="shared" si="81"/>
        <v>0</v>
      </c>
      <c r="F103" s="76">
        <f t="shared" si="81"/>
        <v>0</v>
      </c>
      <c r="G103" s="76">
        <f t="shared" si="81"/>
        <v>0</v>
      </c>
      <c r="H103" s="76">
        <f t="shared" si="81"/>
        <v>0</v>
      </c>
      <c r="I103" s="76">
        <f t="shared" si="81"/>
        <v>0</v>
      </c>
      <c r="J103" s="76">
        <f t="shared" si="81"/>
        <v>0</v>
      </c>
      <c r="K103" s="76">
        <f t="shared" si="81"/>
        <v>0</v>
      </c>
      <c r="L103" s="76">
        <f t="shared" si="81"/>
        <v>0</v>
      </c>
      <c r="M103" s="76">
        <f t="shared" ref="M103:N103" si="82">IF(M85&lt;0,M85*-1,0)</f>
        <v>0</v>
      </c>
      <c r="N103" s="76">
        <f t="shared" si="82"/>
        <v>0</v>
      </c>
      <c r="O103" s="76">
        <f t="shared" ref="O103:P103" si="83">IF(O85&lt;0,O85*-1,0)</f>
        <v>0</v>
      </c>
      <c r="P103" s="76">
        <f t="shared" si="83"/>
        <v>0</v>
      </c>
      <c r="Q103" s="76">
        <f t="shared" ref="Q103" si="84">IF(Q85&lt;0,Q85*-1,0)</f>
        <v>0</v>
      </c>
      <c r="R103" s="76">
        <f t="shared" si="81"/>
        <v>0</v>
      </c>
      <c r="S103" s="76">
        <f t="shared" si="81"/>
        <v>0</v>
      </c>
      <c r="T103" s="76">
        <f t="shared" si="81"/>
        <v>0</v>
      </c>
      <c r="U103" s="76">
        <f t="shared" si="81"/>
        <v>0</v>
      </c>
      <c r="V103" s="76">
        <f t="shared" si="81"/>
        <v>0</v>
      </c>
      <c r="W103" s="76">
        <f t="shared" si="81"/>
        <v>0</v>
      </c>
      <c r="X103" s="76">
        <f t="shared" si="81"/>
        <v>0</v>
      </c>
      <c r="Y103" s="76">
        <f t="shared" si="81"/>
        <v>0</v>
      </c>
      <c r="Z103" s="76">
        <f t="shared" si="81"/>
        <v>0</v>
      </c>
      <c r="AA103" s="76">
        <f t="shared" si="81"/>
        <v>0</v>
      </c>
      <c r="AB103" s="76">
        <f t="shared" ref="AB103:AC103" si="85">IF(AB85&lt;0,AB85*-1,0)</f>
        <v>0</v>
      </c>
      <c r="AC103" s="76">
        <f t="shared" si="85"/>
        <v>0</v>
      </c>
      <c r="AD103" s="76">
        <f t="shared" ref="AD103:AE103" si="86">IF(AD85&lt;0,AD85*-1,0)</f>
        <v>0</v>
      </c>
      <c r="AE103" s="76">
        <f t="shared" si="86"/>
        <v>0</v>
      </c>
      <c r="AF103" s="76">
        <f t="shared" ref="AF103" si="87">IF(AF85&lt;0,AF85*-1,0)</f>
        <v>0</v>
      </c>
      <c r="AG103" s="98"/>
      <c r="AH103" s="47">
        <f t="shared" si="36"/>
        <v>0</v>
      </c>
      <c r="AI103" s="48">
        <f t="shared" si="37"/>
        <v>0</v>
      </c>
    </row>
    <row r="104" spans="1:37" x14ac:dyDescent="0.25">
      <c r="A104" s="84" t="s">
        <v>105</v>
      </c>
      <c r="B104" s="76">
        <v>0</v>
      </c>
      <c r="C104" s="76">
        <f t="shared" ref="C104:AA104" si="88">IF(C83&lt;0,C83*-1,0)</f>
        <v>0</v>
      </c>
      <c r="D104" s="76">
        <f t="shared" si="88"/>
        <v>0</v>
      </c>
      <c r="E104" s="76">
        <f t="shared" si="88"/>
        <v>0</v>
      </c>
      <c r="F104" s="76">
        <f t="shared" si="88"/>
        <v>0</v>
      </c>
      <c r="G104" s="76">
        <f t="shared" si="88"/>
        <v>0</v>
      </c>
      <c r="H104" s="76">
        <f t="shared" si="88"/>
        <v>0</v>
      </c>
      <c r="I104" s="76">
        <f t="shared" si="88"/>
        <v>0</v>
      </c>
      <c r="J104" s="76">
        <f t="shared" si="88"/>
        <v>0</v>
      </c>
      <c r="K104" s="76">
        <f t="shared" si="88"/>
        <v>0</v>
      </c>
      <c r="L104" s="76">
        <f t="shared" si="88"/>
        <v>0</v>
      </c>
      <c r="M104" s="76">
        <f t="shared" ref="M104:N104" si="89">IF(M83&lt;0,M83*-1,0)</f>
        <v>0</v>
      </c>
      <c r="N104" s="76">
        <f t="shared" si="89"/>
        <v>0</v>
      </c>
      <c r="O104" s="76">
        <f t="shared" ref="O104:P104" si="90">IF(O83&lt;0,O83*-1,0)</f>
        <v>0</v>
      </c>
      <c r="P104" s="76">
        <f t="shared" si="90"/>
        <v>0</v>
      </c>
      <c r="Q104" s="76">
        <f t="shared" ref="Q104" si="91">IF(Q83&lt;0,Q83*-1,0)</f>
        <v>0</v>
      </c>
      <c r="R104" s="76">
        <f t="shared" si="88"/>
        <v>0</v>
      </c>
      <c r="S104" s="76">
        <f t="shared" si="88"/>
        <v>0</v>
      </c>
      <c r="T104" s="76">
        <f t="shared" si="88"/>
        <v>0</v>
      </c>
      <c r="U104" s="76">
        <f t="shared" si="88"/>
        <v>0</v>
      </c>
      <c r="V104" s="76">
        <f t="shared" si="88"/>
        <v>0</v>
      </c>
      <c r="W104" s="76">
        <f t="shared" si="88"/>
        <v>0</v>
      </c>
      <c r="X104" s="76">
        <f t="shared" si="88"/>
        <v>0</v>
      </c>
      <c r="Y104" s="76">
        <f t="shared" si="88"/>
        <v>0</v>
      </c>
      <c r="Z104" s="76">
        <f t="shared" si="88"/>
        <v>0</v>
      </c>
      <c r="AA104" s="76">
        <f t="shared" si="88"/>
        <v>0</v>
      </c>
      <c r="AB104" s="76">
        <f t="shared" ref="AB104:AC104" si="92">IF(AB83&lt;0,AB83*-1,0)</f>
        <v>0</v>
      </c>
      <c r="AC104" s="76">
        <f t="shared" si="92"/>
        <v>0</v>
      </c>
      <c r="AD104" s="76">
        <f t="shared" ref="AD104:AE104" si="93">IF(AD83&lt;0,AD83*-1,0)</f>
        <v>0</v>
      </c>
      <c r="AE104" s="76">
        <f t="shared" si="93"/>
        <v>0</v>
      </c>
      <c r="AF104" s="76">
        <f t="shared" ref="AF104" si="94">IF(AF83&lt;0,AF83*-1,0)</f>
        <v>0</v>
      </c>
      <c r="AG104" s="98"/>
      <c r="AH104" s="47">
        <f t="shared" si="36"/>
        <v>0</v>
      </c>
      <c r="AI104" s="48">
        <f t="shared" si="37"/>
        <v>0</v>
      </c>
    </row>
    <row r="105" spans="1:37" x14ac:dyDescent="0.25">
      <c r="A105" s="84" t="s">
        <v>81</v>
      </c>
      <c r="B105" s="76">
        <v>0</v>
      </c>
      <c r="C105" s="76">
        <f t="shared" ref="C105:AA105" si="95">IF(C81&lt;0,C81*-1,0)</f>
        <v>0</v>
      </c>
      <c r="D105" s="76">
        <f t="shared" si="95"/>
        <v>0</v>
      </c>
      <c r="E105" s="76">
        <f t="shared" si="95"/>
        <v>0</v>
      </c>
      <c r="F105" s="76">
        <f t="shared" si="95"/>
        <v>0</v>
      </c>
      <c r="G105" s="76">
        <f t="shared" si="95"/>
        <v>0</v>
      </c>
      <c r="H105" s="76">
        <f t="shared" si="95"/>
        <v>0</v>
      </c>
      <c r="I105" s="76">
        <f t="shared" si="95"/>
        <v>0</v>
      </c>
      <c r="J105" s="76">
        <f t="shared" si="95"/>
        <v>0</v>
      </c>
      <c r="K105" s="76">
        <f t="shared" si="95"/>
        <v>0</v>
      </c>
      <c r="L105" s="76">
        <f t="shared" si="95"/>
        <v>0</v>
      </c>
      <c r="M105" s="76">
        <f t="shared" ref="M105:N105" si="96">IF(M81&lt;0,M81*-1,0)</f>
        <v>0</v>
      </c>
      <c r="N105" s="76">
        <f t="shared" si="96"/>
        <v>0</v>
      </c>
      <c r="O105" s="76">
        <f t="shared" ref="O105:P105" si="97">IF(O81&lt;0,O81*-1,0)</f>
        <v>0</v>
      </c>
      <c r="P105" s="76">
        <f t="shared" si="97"/>
        <v>0</v>
      </c>
      <c r="Q105" s="76">
        <f t="shared" ref="Q105" si="98">IF(Q81&lt;0,Q81*-1,0)</f>
        <v>0</v>
      </c>
      <c r="R105" s="76">
        <f t="shared" si="95"/>
        <v>0</v>
      </c>
      <c r="S105" s="76">
        <f t="shared" si="95"/>
        <v>0</v>
      </c>
      <c r="T105" s="76">
        <f t="shared" si="95"/>
        <v>0</v>
      </c>
      <c r="U105" s="76">
        <f t="shared" si="95"/>
        <v>0</v>
      </c>
      <c r="V105" s="76">
        <f t="shared" si="95"/>
        <v>0</v>
      </c>
      <c r="W105" s="76">
        <f t="shared" si="95"/>
        <v>0</v>
      </c>
      <c r="X105" s="76">
        <f t="shared" si="95"/>
        <v>0</v>
      </c>
      <c r="Y105" s="76">
        <f t="shared" si="95"/>
        <v>0</v>
      </c>
      <c r="Z105" s="76">
        <f t="shared" si="95"/>
        <v>0</v>
      </c>
      <c r="AA105" s="76">
        <f t="shared" si="95"/>
        <v>0</v>
      </c>
      <c r="AB105" s="76">
        <f t="shared" ref="AB105:AC105" si="99">IF(AB81&lt;0,AB81*-1,0)</f>
        <v>0</v>
      </c>
      <c r="AC105" s="76">
        <f t="shared" si="99"/>
        <v>0</v>
      </c>
      <c r="AD105" s="76">
        <f t="shared" ref="AD105:AE105" si="100">IF(AD81&lt;0,AD81*-1,0)</f>
        <v>0</v>
      </c>
      <c r="AE105" s="76">
        <f t="shared" si="100"/>
        <v>0</v>
      </c>
      <c r="AF105" s="76">
        <f t="shared" ref="AF105" si="101">IF(AF81&lt;0,AF81*-1,0)</f>
        <v>0</v>
      </c>
      <c r="AG105" s="98"/>
      <c r="AH105" s="47">
        <f t="shared" si="36"/>
        <v>0</v>
      </c>
      <c r="AI105" s="48">
        <f t="shared" si="37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1</v>
      </c>
      <c r="N106" s="94">
        <v>2</v>
      </c>
      <c r="O106" s="94">
        <v>3</v>
      </c>
      <c r="P106" s="94">
        <v>4</v>
      </c>
      <c r="Q106" s="94">
        <v>5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1</v>
      </c>
      <c r="AC106" s="94">
        <v>2</v>
      </c>
      <c r="AD106" s="94">
        <v>3</v>
      </c>
      <c r="AE106" s="94">
        <v>4</v>
      </c>
      <c r="AF106" s="94">
        <v>5</v>
      </c>
      <c r="AG106" s="85"/>
      <c r="AH106" s="47">
        <f t="shared" si="36"/>
        <v>5</v>
      </c>
      <c r="AI106" s="48">
        <f t="shared" si="37"/>
        <v>0</v>
      </c>
    </row>
    <row r="107" spans="1:37" ht="15.75" thickBot="1" x14ac:dyDescent="0.3">
      <c r="A107" s="99" t="s">
        <v>107</v>
      </c>
      <c r="B107" s="60">
        <v>0</v>
      </c>
      <c r="C107" s="60">
        <f t="shared" ref="C107:AA107" si="102">SUM(C101:C106)</f>
        <v>0</v>
      </c>
      <c r="D107" s="60">
        <f t="shared" si="102"/>
        <v>0</v>
      </c>
      <c r="E107" s="60">
        <f t="shared" si="102"/>
        <v>0</v>
      </c>
      <c r="F107" s="60">
        <f t="shared" si="102"/>
        <v>0</v>
      </c>
      <c r="G107" s="60">
        <f t="shared" si="102"/>
        <v>0</v>
      </c>
      <c r="H107" s="60">
        <f t="shared" si="102"/>
        <v>0</v>
      </c>
      <c r="I107" s="60">
        <f t="shared" si="102"/>
        <v>0</v>
      </c>
      <c r="J107" s="60">
        <f t="shared" si="102"/>
        <v>0</v>
      </c>
      <c r="K107" s="60">
        <f t="shared" si="102"/>
        <v>0</v>
      </c>
      <c r="L107" s="60">
        <f t="shared" si="102"/>
        <v>0</v>
      </c>
      <c r="M107" s="60">
        <f t="shared" ref="M107:N107" si="103">SUM(M101:M106)</f>
        <v>1</v>
      </c>
      <c r="N107" s="60">
        <f t="shared" si="103"/>
        <v>2</v>
      </c>
      <c r="O107" s="60">
        <f t="shared" ref="O107:P107" si="104">SUM(O101:O106)</f>
        <v>3</v>
      </c>
      <c r="P107" s="60">
        <f t="shared" si="104"/>
        <v>4</v>
      </c>
      <c r="Q107" s="60">
        <f t="shared" ref="Q107" si="105">SUM(Q101:Q106)</f>
        <v>5</v>
      </c>
      <c r="R107" s="60">
        <f t="shared" si="102"/>
        <v>0</v>
      </c>
      <c r="S107" s="60">
        <f t="shared" si="102"/>
        <v>0</v>
      </c>
      <c r="T107" s="60">
        <f t="shared" si="102"/>
        <v>0</v>
      </c>
      <c r="U107" s="60">
        <f t="shared" si="102"/>
        <v>0</v>
      </c>
      <c r="V107" s="60">
        <f t="shared" si="102"/>
        <v>0</v>
      </c>
      <c r="W107" s="60">
        <f t="shared" si="102"/>
        <v>0</v>
      </c>
      <c r="X107" s="60">
        <f t="shared" si="102"/>
        <v>0</v>
      </c>
      <c r="Y107" s="60">
        <f t="shared" si="102"/>
        <v>0</v>
      </c>
      <c r="Z107" s="60">
        <f t="shared" si="102"/>
        <v>0</v>
      </c>
      <c r="AA107" s="60">
        <f t="shared" si="102"/>
        <v>0</v>
      </c>
      <c r="AB107" s="60">
        <f t="shared" ref="AB107:AC107" si="106">SUM(AB101:AB106)</f>
        <v>1</v>
      </c>
      <c r="AC107" s="60">
        <f t="shared" si="106"/>
        <v>2</v>
      </c>
      <c r="AD107" s="60">
        <f t="shared" ref="AD107:AE107" si="107">SUM(AD101:AD106)</f>
        <v>3</v>
      </c>
      <c r="AE107" s="60">
        <f t="shared" si="107"/>
        <v>4</v>
      </c>
      <c r="AF107" s="60">
        <f t="shared" ref="AF107" si="108">SUM(AF101:AF106)</f>
        <v>5</v>
      </c>
      <c r="AG107" s="88"/>
      <c r="AH107" s="47">
        <f t="shared" si="36"/>
        <v>5</v>
      </c>
      <c r="AI107" s="48">
        <f t="shared" si="37"/>
        <v>0</v>
      </c>
      <c r="AK107" s="50"/>
    </row>
    <row r="108" spans="1:37" ht="15.75" thickBot="1" x14ac:dyDescent="0.3">
      <c r="A108" s="74" t="s">
        <v>108</v>
      </c>
      <c r="B108" s="60">
        <v>331.4</v>
      </c>
      <c r="C108" s="60">
        <f t="shared" ref="C108:AA108" si="109">C92-C107</f>
        <v>370.2</v>
      </c>
      <c r="D108" s="60">
        <f t="shared" si="109"/>
        <v>345.6</v>
      </c>
      <c r="E108" s="60">
        <f t="shared" si="109"/>
        <v>323.60000000000002</v>
      </c>
      <c r="F108" s="60">
        <f t="shared" si="109"/>
        <v>345.5</v>
      </c>
      <c r="G108" s="60">
        <f t="shared" si="109"/>
        <v>383.2</v>
      </c>
      <c r="H108" s="60">
        <f t="shared" si="109"/>
        <v>408.2</v>
      </c>
      <c r="I108" s="60">
        <f t="shared" si="109"/>
        <v>441</v>
      </c>
      <c r="J108" s="60">
        <f t="shared" si="109"/>
        <v>443.2</v>
      </c>
      <c r="K108" s="60">
        <f t="shared" si="109"/>
        <v>417</v>
      </c>
      <c r="L108" s="60">
        <f t="shared" si="109"/>
        <v>384</v>
      </c>
      <c r="M108" s="60">
        <f t="shared" ref="M108:N108" si="110">M92-M107</f>
        <v>213.4</v>
      </c>
      <c r="N108" s="60">
        <f t="shared" si="110"/>
        <v>173.8</v>
      </c>
      <c r="O108" s="60">
        <f t="shared" ref="O108:P108" si="111">O92-O107</f>
        <v>233.2</v>
      </c>
      <c r="P108" s="60">
        <f t="shared" si="111"/>
        <v>307.3</v>
      </c>
      <c r="Q108" s="60">
        <f t="shared" ref="Q108" si="112">Q92-Q107</f>
        <v>411.5</v>
      </c>
      <c r="R108" s="60">
        <f t="shared" si="109"/>
        <v>472</v>
      </c>
      <c r="S108" s="60">
        <f t="shared" si="109"/>
        <v>489.4</v>
      </c>
      <c r="T108" s="60">
        <f t="shared" si="109"/>
        <v>479.59999999999997</v>
      </c>
      <c r="U108" s="60">
        <f t="shared" si="109"/>
        <v>442.5</v>
      </c>
      <c r="V108" s="60">
        <f t="shared" si="109"/>
        <v>344.9</v>
      </c>
      <c r="W108" s="60">
        <f t="shared" si="109"/>
        <v>271.5</v>
      </c>
      <c r="X108" s="60">
        <f t="shared" si="109"/>
        <v>272.3</v>
      </c>
      <c r="Y108" s="60">
        <f t="shared" si="109"/>
        <v>265.89999999999998</v>
      </c>
      <c r="Z108" s="60">
        <f t="shared" si="109"/>
        <v>266</v>
      </c>
      <c r="AA108" s="60">
        <f t="shared" si="109"/>
        <v>265.2</v>
      </c>
      <c r="AB108" s="60">
        <f t="shared" ref="AB108:AC108" si="113">AB92-AB107</f>
        <v>333</v>
      </c>
      <c r="AC108" s="60">
        <f t="shared" si="113"/>
        <v>338.5</v>
      </c>
      <c r="AD108" s="60">
        <f t="shared" ref="AD108:AE108" si="114">AD92-AD107</f>
        <v>415</v>
      </c>
      <c r="AE108" s="60">
        <f t="shared" si="114"/>
        <v>409</v>
      </c>
      <c r="AF108" s="60">
        <f t="shared" ref="AF108" si="115">AF92-AF107</f>
        <v>366</v>
      </c>
      <c r="AG108" s="88"/>
      <c r="AH108" s="47">
        <f t="shared" si="36"/>
        <v>489.4</v>
      </c>
      <c r="AI108" s="48">
        <f t="shared" si="37"/>
        <v>173.8</v>
      </c>
    </row>
    <row r="109" spans="1:37" x14ac:dyDescent="0.25">
      <c r="A109" s="100" t="s">
        <v>109</v>
      </c>
      <c r="B109" s="101">
        <v>50.02</v>
      </c>
      <c r="C109" s="101">
        <v>49.997</v>
      </c>
      <c r="D109" s="101">
        <v>49.896000000000001</v>
      </c>
      <c r="E109" s="101">
        <v>49.985999999999997</v>
      </c>
      <c r="F109" s="101">
        <v>49.985999999999997</v>
      </c>
      <c r="G109" s="101">
        <v>50.018000000000001</v>
      </c>
      <c r="H109" s="101">
        <v>50.01</v>
      </c>
      <c r="I109" s="101">
        <v>49.984000000000002</v>
      </c>
      <c r="J109" s="101">
        <v>50.021000000000001</v>
      </c>
      <c r="K109" s="101">
        <v>50.183999999999997</v>
      </c>
      <c r="L109" s="101">
        <v>50.055</v>
      </c>
      <c r="M109" s="101">
        <v>50.05</v>
      </c>
      <c r="N109" s="101">
        <v>50.01</v>
      </c>
      <c r="O109" s="101">
        <v>49.9</v>
      </c>
      <c r="P109" s="101">
        <v>49.97</v>
      </c>
      <c r="Q109" s="101">
        <v>50.02</v>
      </c>
      <c r="R109" s="101">
        <v>50.02</v>
      </c>
      <c r="S109" s="101">
        <v>50.030999999999999</v>
      </c>
      <c r="T109" s="101">
        <v>49.973999999999997</v>
      </c>
      <c r="U109" s="101">
        <v>49.898000000000003</v>
      </c>
      <c r="V109" s="101">
        <v>49.930999999999997</v>
      </c>
      <c r="W109" s="101">
        <v>50.082999999999998</v>
      </c>
      <c r="X109" s="101">
        <v>50.07</v>
      </c>
      <c r="Y109" s="101">
        <v>50.06</v>
      </c>
      <c r="Z109" s="101">
        <v>49.963999999999999</v>
      </c>
      <c r="AA109" s="101">
        <v>49.904000000000003</v>
      </c>
      <c r="AB109" s="101">
        <v>50</v>
      </c>
      <c r="AC109" s="101">
        <v>49.94</v>
      </c>
      <c r="AD109" s="101">
        <v>49.93</v>
      </c>
      <c r="AE109" s="101">
        <v>49.97</v>
      </c>
      <c r="AF109" s="101">
        <v>49.96</v>
      </c>
      <c r="AG109" s="102"/>
      <c r="AH109" s="47">
        <f t="shared" si="36"/>
        <v>50.183999999999997</v>
      </c>
      <c r="AI109" s="48">
        <f t="shared" si="37"/>
        <v>49.896000000000001</v>
      </c>
    </row>
    <row r="110" spans="1:37" x14ac:dyDescent="0.25">
      <c r="A110" s="103" t="s">
        <v>110</v>
      </c>
      <c r="B110" s="65">
        <v>129</v>
      </c>
      <c r="C110" s="65">
        <v>129</v>
      </c>
      <c r="D110" s="65">
        <v>128.80000000000001</v>
      </c>
      <c r="E110" s="65">
        <v>128.69999999999999</v>
      </c>
      <c r="F110" s="65">
        <v>128.69999999999999</v>
      </c>
      <c r="G110" s="65">
        <v>128.19999999999999</v>
      </c>
      <c r="H110" s="65">
        <v>126.5</v>
      </c>
      <c r="I110" s="65">
        <v>124.4</v>
      </c>
      <c r="J110" s="65">
        <v>124.6</v>
      </c>
      <c r="K110" s="65">
        <v>126.4</v>
      </c>
      <c r="L110" s="65">
        <v>125.4</v>
      </c>
      <c r="M110" s="65">
        <v>125</v>
      </c>
      <c r="N110" s="65">
        <v>124.6</v>
      </c>
      <c r="O110" s="65">
        <v>125.6</v>
      </c>
      <c r="P110" s="65">
        <v>126</v>
      </c>
      <c r="Q110" s="65">
        <v>127</v>
      </c>
      <c r="R110" s="65">
        <v>125.9</v>
      </c>
      <c r="S110" s="65">
        <v>124.6</v>
      </c>
      <c r="T110" s="65">
        <v>125</v>
      </c>
      <c r="U110" s="65">
        <v>125.4</v>
      </c>
      <c r="V110" s="65">
        <v>129</v>
      </c>
      <c r="W110" s="65">
        <v>127.5</v>
      </c>
      <c r="X110" s="65">
        <v>127.5</v>
      </c>
      <c r="Y110" s="65">
        <v>127.2</v>
      </c>
      <c r="Z110" s="65">
        <v>128.1</v>
      </c>
      <c r="AA110" s="65">
        <v>126.2</v>
      </c>
      <c r="AB110" s="65">
        <v>126.2</v>
      </c>
      <c r="AC110" s="65">
        <v>126.2</v>
      </c>
      <c r="AD110" s="65">
        <v>126.2</v>
      </c>
      <c r="AE110" s="65">
        <v>126.2</v>
      </c>
      <c r="AF110" s="65">
        <v>128</v>
      </c>
      <c r="AG110" s="104"/>
      <c r="AH110" s="47">
        <f t="shared" si="36"/>
        <v>129</v>
      </c>
      <c r="AI110" s="48">
        <f t="shared" si="37"/>
        <v>124.4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6"/>
        <v>0</v>
      </c>
      <c r="AI111" s="48">
        <f t="shared" si="37"/>
        <v>0</v>
      </c>
    </row>
    <row r="112" spans="1:37" x14ac:dyDescent="0.25">
      <c r="A112" s="103" t="s">
        <v>112</v>
      </c>
      <c r="B112" s="65">
        <v>132.6</v>
      </c>
      <c r="C112" s="65">
        <v>131.5</v>
      </c>
      <c r="D112" s="65">
        <v>131.1</v>
      </c>
      <c r="E112" s="65">
        <v>131.19999999999999</v>
      </c>
      <c r="F112" s="65">
        <v>131.19999999999999</v>
      </c>
      <c r="G112" s="65">
        <v>129.4</v>
      </c>
      <c r="H112" s="65">
        <v>129.1</v>
      </c>
      <c r="I112" s="65">
        <v>125.4</v>
      </c>
      <c r="J112" s="65">
        <v>125.6</v>
      </c>
      <c r="K112" s="65">
        <v>130.30000000000001</v>
      </c>
      <c r="L112" s="65">
        <v>128.30000000000001</v>
      </c>
      <c r="M112" s="65">
        <v>128.19999999999999</v>
      </c>
      <c r="N112" s="65">
        <v>128.69999999999999</v>
      </c>
      <c r="O112" s="65">
        <v>128.69999999999999</v>
      </c>
      <c r="P112" s="65">
        <v>127</v>
      </c>
      <c r="Q112" s="65">
        <v>130.80000000000001</v>
      </c>
      <c r="R112" s="65">
        <v>128</v>
      </c>
      <c r="S112" s="65">
        <v>124.8</v>
      </c>
      <c r="T112" s="65">
        <v>127.2</v>
      </c>
      <c r="U112" s="65">
        <v>128.4</v>
      </c>
      <c r="V112" s="65">
        <v>131</v>
      </c>
      <c r="W112" s="65">
        <v>127.2</v>
      </c>
      <c r="X112" s="65">
        <v>127.2</v>
      </c>
      <c r="Y112" s="65">
        <v>125.9</v>
      </c>
      <c r="Z112" s="65">
        <v>130.9</v>
      </c>
      <c r="AA112" s="65">
        <v>130.4</v>
      </c>
      <c r="AB112" s="65">
        <v>130.4</v>
      </c>
      <c r="AC112" s="65">
        <v>130.4</v>
      </c>
      <c r="AD112" s="65">
        <v>130.4</v>
      </c>
      <c r="AE112" s="65">
        <v>130.4</v>
      </c>
      <c r="AF112" s="65">
        <v>133</v>
      </c>
      <c r="AG112" s="104"/>
      <c r="AH112" s="47">
        <f t="shared" si="36"/>
        <v>133</v>
      </c>
      <c r="AI112" s="48">
        <f t="shared" si="37"/>
        <v>124.8</v>
      </c>
    </row>
    <row r="113" spans="1:35" x14ac:dyDescent="0.25">
      <c r="A113" s="105" t="s">
        <v>113</v>
      </c>
      <c r="B113" s="65">
        <v>132.9</v>
      </c>
      <c r="C113" s="65">
        <v>132.1</v>
      </c>
      <c r="D113" s="65">
        <v>131.69999999999999</v>
      </c>
      <c r="E113" s="65">
        <v>133.19999999999999</v>
      </c>
      <c r="F113" s="65">
        <v>133.19999999999999</v>
      </c>
      <c r="G113" s="65">
        <v>131.19999999999999</v>
      </c>
      <c r="H113" s="65">
        <v>130.19999999999999</v>
      </c>
      <c r="I113" s="65">
        <v>127.8</v>
      </c>
      <c r="J113" s="65">
        <v>129.19999999999999</v>
      </c>
      <c r="K113" s="65">
        <v>132.6</v>
      </c>
      <c r="L113" s="65">
        <v>129.9</v>
      </c>
      <c r="M113" s="65">
        <v>128.9</v>
      </c>
      <c r="N113" s="65">
        <v>129.30000000000001</v>
      </c>
      <c r="O113" s="65">
        <v>129.30000000000001</v>
      </c>
      <c r="P113" s="65">
        <v>129.30000000000001</v>
      </c>
      <c r="Q113" s="65">
        <v>132.30000000000001</v>
      </c>
      <c r="R113" s="65">
        <v>130.69999999999999</v>
      </c>
      <c r="S113" s="65">
        <v>128.19999999999999</v>
      </c>
      <c r="T113" s="65">
        <v>130</v>
      </c>
      <c r="U113" s="65">
        <v>130.69999999999999</v>
      </c>
      <c r="V113" s="65">
        <v>132.4</v>
      </c>
      <c r="W113" s="65">
        <v>127.8</v>
      </c>
      <c r="X113" s="65">
        <v>127.8</v>
      </c>
      <c r="Y113" s="65">
        <v>127</v>
      </c>
      <c r="Z113" s="65">
        <v>132.19999999999999</v>
      </c>
      <c r="AA113" s="65">
        <v>132.30000000000001</v>
      </c>
      <c r="AB113" s="65">
        <v>133</v>
      </c>
      <c r="AC113" s="65">
        <v>133</v>
      </c>
      <c r="AD113" s="65">
        <v>133</v>
      </c>
      <c r="AE113" s="65">
        <v>133</v>
      </c>
      <c r="AF113" s="65">
        <v>134.5</v>
      </c>
      <c r="AG113" s="104"/>
      <c r="AH113" s="47">
        <f t="shared" si="36"/>
        <v>134.5</v>
      </c>
      <c r="AI113" s="48">
        <f t="shared" si="37"/>
        <v>127</v>
      </c>
    </row>
    <row r="114" spans="1:35" x14ac:dyDescent="0.25">
      <c r="A114" s="105" t="s">
        <v>114</v>
      </c>
      <c r="B114" s="106">
        <v>134.30000000000001</v>
      </c>
      <c r="C114" s="106">
        <v>133.1</v>
      </c>
      <c r="D114" s="106">
        <v>132.30000000000001</v>
      </c>
      <c r="E114" s="106">
        <v>132.9</v>
      </c>
      <c r="F114" s="106">
        <v>132.9</v>
      </c>
      <c r="G114" s="106">
        <v>132</v>
      </c>
      <c r="H114" s="106">
        <v>131.69999999999999</v>
      </c>
      <c r="I114" s="106">
        <v>132</v>
      </c>
      <c r="J114" s="106">
        <v>131.1</v>
      </c>
      <c r="K114" s="106">
        <v>133.80000000000001</v>
      </c>
      <c r="L114" s="106">
        <v>133.19999999999999</v>
      </c>
      <c r="M114" s="106">
        <v>131.1</v>
      </c>
      <c r="N114" s="106">
        <v>132.6</v>
      </c>
      <c r="O114" s="106">
        <v>132.6</v>
      </c>
      <c r="P114" s="106">
        <v>132.6</v>
      </c>
      <c r="Q114" s="106">
        <v>132.5</v>
      </c>
      <c r="R114" s="106">
        <v>132.6</v>
      </c>
      <c r="S114" s="106">
        <v>130.1</v>
      </c>
      <c r="T114" s="106">
        <v>132.69999999999999</v>
      </c>
      <c r="U114" s="106">
        <v>133.19999999999999</v>
      </c>
      <c r="V114" s="106">
        <v>134.69999999999999</v>
      </c>
      <c r="W114" s="106">
        <v>133.9</v>
      </c>
      <c r="X114" s="106">
        <v>133.9</v>
      </c>
      <c r="Y114" s="106">
        <v>134.1</v>
      </c>
      <c r="Z114" s="106">
        <v>135.5</v>
      </c>
      <c r="AA114" s="106">
        <v>135.30000000000001</v>
      </c>
      <c r="AB114" s="106">
        <v>135.30000000000001</v>
      </c>
      <c r="AC114" s="106">
        <v>135.30000000000001</v>
      </c>
      <c r="AD114" s="106">
        <v>135.30000000000001</v>
      </c>
      <c r="AE114" s="106">
        <v>135.30000000000001</v>
      </c>
      <c r="AF114" s="106">
        <v>133</v>
      </c>
      <c r="AG114" s="107"/>
      <c r="AH114" s="47">
        <f t="shared" si="36"/>
        <v>135.5</v>
      </c>
      <c r="AI114" s="48">
        <f t="shared" si="37"/>
        <v>130.1</v>
      </c>
    </row>
    <row r="115" spans="1:35" x14ac:dyDescent="0.25">
      <c r="A115" s="103" t="s">
        <v>115</v>
      </c>
      <c r="B115" s="65">
        <v>133.1</v>
      </c>
      <c r="C115" s="65">
        <v>131.19999999999999</v>
      </c>
      <c r="D115" s="65">
        <v>133.9</v>
      </c>
      <c r="E115" s="65">
        <v>138.19999999999999</v>
      </c>
      <c r="F115" s="65">
        <v>138.19999999999999</v>
      </c>
      <c r="G115" s="65">
        <v>128.5</v>
      </c>
      <c r="H115" s="65">
        <v>126.2</v>
      </c>
      <c r="I115" s="65">
        <v>127</v>
      </c>
      <c r="J115" s="65">
        <v>130.4</v>
      </c>
      <c r="K115" s="65">
        <v>136</v>
      </c>
      <c r="L115" s="65">
        <v>131.19999999999999</v>
      </c>
      <c r="M115" s="65">
        <v>134.30000000000001</v>
      </c>
      <c r="N115" s="65">
        <v>129.1</v>
      </c>
      <c r="O115" s="65">
        <v>129.1</v>
      </c>
      <c r="P115" s="65">
        <v>129.1</v>
      </c>
      <c r="Q115" s="65">
        <v>126.7</v>
      </c>
      <c r="R115" s="65">
        <v>130.74</v>
      </c>
      <c r="S115" s="65">
        <v>134</v>
      </c>
      <c r="T115" s="65">
        <v>129.1</v>
      </c>
      <c r="U115" s="65">
        <v>130.19999999999999</v>
      </c>
      <c r="V115" s="65">
        <v>130.69999999999999</v>
      </c>
      <c r="W115" s="65">
        <v>130.69999999999999</v>
      </c>
      <c r="X115" s="65">
        <v>130.69999999999999</v>
      </c>
      <c r="Y115" s="65">
        <v>128.5</v>
      </c>
      <c r="Z115" s="65">
        <v>129</v>
      </c>
      <c r="AA115" s="65">
        <v>129.4</v>
      </c>
      <c r="AB115" s="65">
        <v>129.4</v>
      </c>
      <c r="AC115" s="65">
        <v>129.4</v>
      </c>
      <c r="AD115" s="65">
        <v>129.4</v>
      </c>
      <c r="AE115" s="65">
        <v>129.4</v>
      </c>
      <c r="AF115" s="65">
        <v>132</v>
      </c>
      <c r="AG115" s="104"/>
      <c r="AH115" s="47">
        <f t="shared" si="36"/>
        <v>138.19999999999999</v>
      </c>
      <c r="AI115" s="48">
        <f t="shared" si="37"/>
        <v>126.2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6"/>
        <v>0</v>
      </c>
      <c r="AI116" s="48">
        <f t="shared" si="3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6"/>
        <v>0</v>
      </c>
      <c r="AI117" s="48">
        <f t="shared" si="37"/>
        <v>0</v>
      </c>
    </row>
    <row r="118" spans="1:35" ht="15.75" thickBot="1" x14ac:dyDescent="0.3">
      <c r="A118" s="110" t="s">
        <v>118</v>
      </c>
      <c r="B118" s="111">
        <v>170.34</v>
      </c>
      <c r="C118" s="111">
        <f t="shared" ref="C118:L118" si="116">SUM(C22,C28,C31:C32,C66,C68:C69,C71,C73,C119:C123,C155,C161,C167,C176,C178,C190,C197,C200:C201,C208,C210,C212,C216:C218,C220:C222,C227,C233:C234,C236:C238,C246,C251)</f>
        <v>126.53999999999998</v>
      </c>
      <c r="D118" s="111">
        <f t="shared" si="116"/>
        <v>122.33999999999999</v>
      </c>
      <c r="E118" s="111">
        <f t="shared" si="116"/>
        <v>95.039999999999992</v>
      </c>
      <c r="F118" s="111">
        <f t="shared" si="116"/>
        <v>93.839999999999975</v>
      </c>
      <c r="G118" s="111">
        <f t="shared" si="116"/>
        <v>120.53999999999999</v>
      </c>
      <c r="H118" s="111">
        <f t="shared" si="116"/>
        <v>139.53999999999996</v>
      </c>
      <c r="I118" s="111">
        <f t="shared" si="116"/>
        <v>200.83999999999997</v>
      </c>
      <c r="J118" s="111">
        <f t="shared" si="116"/>
        <v>220.73999999999998</v>
      </c>
      <c r="K118" s="111">
        <f t="shared" si="116"/>
        <v>307.82</v>
      </c>
      <c r="L118" s="111">
        <f t="shared" si="116"/>
        <v>374.185</v>
      </c>
      <c r="M118" s="111">
        <f t="shared" ref="M118:N118" si="117">SUM(M22,M28,M31:M32,M66,M68:M69,M71,M73,M119:M123,M155,M161,M167,M176,M178,M190,M197,M200:M201,M208,M210,M212,M216:M218,M220:M222,M227,M233:M234,M236:M238,M246,M251)</f>
        <v>360.1</v>
      </c>
      <c r="N118" s="111">
        <f t="shared" si="117"/>
        <v>351</v>
      </c>
      <c r="O118" s="111">
        <f t="shared" ref="O118:P118" si="118">SUM(O22,O28,O31:O32,O66,O68:O69,O71,O73,O119:O123,O155,O161,O167,O176,O178,O190,O197,O200:O201,O208,O210,O212,O216:O218,O220:O222,O227,O233:O234,O236:O238,O246,O251)</f>
        <v>351</v>
      </c>
      <c r="P118" s="111">
        <f t="shared" si="118"/>
        <v>322.28999999999996</v>
      </c>
      <c r="Q118" s="111">
        <f t="shared" ref="Q118" si="119">SUM(Q22,Q28,Q31:Q32,Q66,Q68:Q69,Q71,Q73,Q119:Q123,Q155,Q161,Q167,Q176,Q178,Q190,Q197,Q200:Q201,Q208,Q210,Q212,Q216:Q218,Q220:Q222,Q227,Q233:Q234,Q236:Q238,Q246,Q251)</f>
        <v>278.08999999999997</v>
      </c>
      <c r="R118" s="111">
        <f t="shared" ref="R118:AA118" si="120">SUM(R22,R28,R31:R32,R66,R68:R69,R71,R73,R119:R123,R155,R161,R167,R176,R178,R190,R197,R200:R201,R208,R210,R212,R216:R218,R220:R222,R227,R233:R234,R236:R238,R246,R251)</f>
        <v>256.7</v>
      </c>
      <c r="S118" s="111">
        <f t="shared" si="120"/>
        <v>264</v>
      </c>
      <c r="T118" s="111">
        <f t="shared" si="120"/>
        <v>252.94</v>
      </c>
      <c r="U118" s="111">
        <f t="shared" si="120"/>
        <v>257.04000000000002</v>
      </c>
      <c r="V118" s="111">
        <f t="shared" si="120"/>
        <v>267.94</v>
      </c>
      <c r="W118" s="111">
        <f t="shared" si="120"/>
        <v>296.44</v>
      </c>
      <c r="X118" s="111">
        <f t="shared" si="120"/>
        <v>105.44</v>
      </c>
      <c r="Y118" s="111">
        <f t="shared" si="120"/>
        <v>359.44</v>
      </c>
      <c r="Z118" s="111">
        <f t="shared" si="120"/>
        <v>362.54</v>
      </c>
      <c r="AA118" s="111">
        <f t="shared" si="120"/>
        <v>364.54</v>
      </c>
      <c r="AB118" s="111">
        <f t="shared" ref="AB118:AC118" si="121">SUM(AB22,AB28,AB31:AB32,AB66,AB68:AB69,AB71,AB73,AB119:AB123,AB155,AB161,AB167,AB176,AB178,AB190,AB197,AB200:AB201,AB208,AB210,AB212,AB216:AB218,AB220:AB222,AB227,AB233:AB234,AB236:AB238,AB246,AB251)</f>
        <v>364.54</v>
      </c>
      <c r="AC118" s="111">
        <f t="shared" si="121"/>
        <v>318.74</v>
      </c>
      <c r="AD118" s="111">
        <f t="shared" ref="AD118:AE118" si="122">SUM(AD22,AD28,AD31:AD32,AD66,AD68:AD69,AD71,AD73,AD119:AD123,AD155,AD161,AD167,AD176,AD178,AD190,AD197,AD200:AD201,AD208,AD210,AD212,AD216:AD218,AD220:AD222,AD227,AD233:AD234,AD236:AD238,AD246,AD251)</f>
        <v>315.74</v>
      </c>
      <c r="AE118" s="111">
        <f t="shared" si="122"/>
        <v>206.74</v>
      </c>
      <c r="AF118" s="111">
        <f t="shared" ref="AF118" si="123">SUM(AF22,AF28,AF31:AF32,AF66,AF68:AF69,AF71,AF73,AF119:AF123,AF155,AF161,AF167,AF176,AF178,AF190,AF197,AF200:AF201,AF208,AF210,AF212,AF216:AF218,AF220:AF222,AF227,AF233:AF234,AF236:AF238,AF246,AF251)</f>
        <v>168.74</v>
      </c>
      <c r="AG118" s="112"/>
      <c r="AH118" s="47">
        <f t="shared" si="36"/>
        <v>374.185</v>
      </c>
      <c r="AI118" s="48">
        <f t="shared" si="37"/>
        <v>93.839999999999975</v>
      </c>
    </row>
    <row r="119" spans="1:35" x14ac:dyDescent="0.25">
      <c r="A119" s="181" t="s">
        <v>119</v>
      </c>
      <c r="B119" s="113">
        <v>20.100000000000001</v>
      </c>
      <c r="C119" s="113">
        <v>12.3</v>
      </c>
      <c r="D119" s="113">
        <v>5.8</v>
      </c>
      <c r="E119" s="113">
        <v>10.1</v>
      </c>
      <c r="F119" s="113">
        <v>-7</v>
      </c>
      <c r="G119" s="113">
        <v>22.3</v>
      </c>
      <c r="H119" s="113">
        <v>33.700000000000003</v>
      </c>
      <c r="I119" s="113">
        <v>61.6</v>
      </c>
      <c r="J119" s="113">
        <v>83.1</v>
      </c>
      <c r="K119" s="113">
        <v>73.900000000000006</v>
      </c>
      <c r="L119" s="113">
        <v>82</v>
      </c>
      <c r="M119" s="113">
        <v>88.9</v>
      </c>
      <c r="N119" s="113">
        <v>87.1</v>
      </c>
      <c r="O119" s="113">
        <v>87.1</v>
      </c>
      <c r="P119" s="113">
        <v>95</v>
      </c>
      <c r="Q119" s="113">
        <v>88.8</v>
      </c>
      <c r="R119" s="113">
        <v>79</v>
      </c>
      <c r="S119" s="113">
        <v>51.3</v>
      </c>
      <c r="T119" s="113">
        <v>52.1</v>
      </c>
      <c r="U119" s="113">
        <v>62.5</v>
      </c>
      <c r="V119" s="113">
        <v>68.599999999999994</v>
      </c>
      <c r="W119" s="113">
        <v>50.8</v>
      </c>
      <c r="X119" s="113"/>
      <c r="Y119" s="113">
        <v>68.099999999999994</v>
      </c>
      <c r="Z119" s="113">
        <v>76.8</v>
      </c>
      <c r="AA119" s="113">
        <v>86.7</v>
      </c>
      <c r="AB119" s="113">
        <v>86.7</v>
      </c>
      <c r="AC119" s="113">
        <v>88</v>
      </c>
      <c r="AD119" s="113">
        <v>85</v>
      </c>
      <c r="AE119" s="113">
        <v>80</v>
      </c>
      <c r="AF119" s="113">
        <v>63</v>
      </c>
      <c r="AG119" s="114">
        <v>75</v>
      </c>
      <c r="AH119" s="47">
        <f t="shared" si="36"/>
        <v>95</v>
      </c>
      <c r="AI119" s="48">
        <f t="shared" si="37"/>
        <v>-7</v>
      </c>
    </row>
    <row r="120" spans="1:35" x14ac:dyDescent="0.25">
      <c r="A120" s="182" t="s">
        <v>120</v>
      </c>
      <c r="B120" s="115"/>
      <c r="C120" s="115"/>
      <c r="D120" s="115"/>
      <c r="E120" s="115">
        <v>0</v>
      </c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36"/>
        <v>0</v>
      </c>
      <c r="AI120" s="48">
        <f t="shared" si="37"/>
        <v>0</v>
      </c>
    </row>
    <row r="121" spans="1:35" x14ac:dyDescent="0.25">
      <c r="A121" s="182" t="s">
        <v>121</v>
      </c>
      <c r="B121" s="115">
        <f>-27.6-30.6</f>
        <v>-58.2</v>
      </c>
      <c r="C121" s="115">
        <f>-30.7-33.7</f>
        <v>-64.400000000000006</v>
      </c>
      <c r="D121" s="115">
        <f>-30.2-33.4</f>
        <v>-63.599999999999994</v>
      </c>
      <c r="E121" s="115">
        <v>-66.3</v>
      </c>
      <c r="F121" s="115">
        <v>-62.1</v>
      </c>
      <c r="G121" s="115">
        <v>-58.4</v>
      </c>
      <c r="H121" s="115">
        <v>-56.8</v>
      </c>
      <c r="I121" s="115">
        <v>-36.5</v>
      </c>
      <c r="J121" s="115">
        <v>-30.9</v>
      </c>
      <c r="K121" s="115">
        <v>-7.7</v>
      </c>
      <c r="L121" s="115">
        <v>25.6</v>
      </c>
      <c r="M121" s="115">
        <v>25</v>
      </c>
      <c r="N121" s="115">
        <v>16.600000000000001</v>
      </c>
      <c r="O121" s="115">
        <v>16.600000000000001</v>
      </c>
      <c r="P121" s="115">
        <v>8.6999999999999993</v>
      </c>
      <c r="Q121" s="115">
        <v>-17.5</v>
      </c>
      <c r="R121" s="115">
        <v>-34.1</v>
      </c>
      <c r="S121" s="115">
        <f>-2.6-11.4</f>
        <v>-14</v>
      </c>
      <c r="T121" s="115">
        <f>-3.1-12.4</f>
        <v>-15.5</v>
      </c>
      <c r="U121" s="115">
        <v>-12.9</v>
      </c>
      <c r="V121" s="115">
        <v>6.9</v>
      </c>
      <c r="W121" s="115">
        <v>20.2</v>
      </c>
      <c r="X121" s="115"/>
      <c r="Y121" s="115">
        <f>28+22.9</f>
        <v>50.9</v>
      </c>
      <c r="Z121" s="115">
        <v>44.5</v>
      </c>
      <c r="AA121" s="115">
        <v>35.1</v>
      </c>
      <c r="AB121" s="115">
        <v>35.1</v>
      </c>
      <c r="AC121" s="115">
        <v>23</v>
      </c>
      <c r="AD121" s="115">
        <v>23</v>
      </c>
      <c r="AE121" s="115">
        <v>-46</v>
      </c>
      <c r="AF121" s="115">
        <v>-57</v>
      </c>
      <c r="AG121" s="114">
        <v>240</v>
      </c>
      <c r="AH121" s="47">
        <f t="shared" si="36"/>
        <v>50.9</v>
      </c>
      <c r="AI121" s="48">
        <f t="shared" si="37"/>
        <v>-66.3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>
        <v>15</v>
      </c>
      <c r="L122" s="115">
        <v>25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36"/>
        <v>25</v>
      </c>
      <c r="AI122" s="48">
        <f t="shared" si="37"/>
        <v>15</v>
      </c>
    </row>
    <row r="123" spans="1:35" x14ac:dyDescent="0.25">
      <c r="A123" s="181" t="s">
        <v>267</v>
      </c>
      <c r="B123" s="117">
        <f>48*1.5</f>
        <v>72</v>
      </c>
      <c r="C123" s="117">
        <f>48*1.5</f>
        <v>72</v>
      </c>
      <c r="D123" s="117">
        <f>49*1.5</f>
        <v>73.5</v>
      </c>
      <c r="E123" s="117">
        <v>44.6</v>
      </c>
      <c r="F123" s="117">
        <v>56.3</v>
      </c>
      <c r="G123" s="117">
        <v>50</v>
      </c>
      <c r="H123" s="117">
        <v>56</v>
      </c>
      <c r="I123" s="117">
        <v>67.2</v>
      </c>
      <c r="J123" s="117">
        <v>60</v>
      </c>
      <c r="K123" s="117">
        <f>1.64*72</f>
        <v>118.08</v>
      </c>
      <c r="L123" s="117">
        <f>1.63*81.5</f>
        <v>132.845</v>
      </c>
      <c r="M123" s="117">
        <f>85.6*1.6</f>
        <v>136.96</v>
      </c>
      <c r="N123" s="117">
        <f>85.6*1.6</f>
        <v>136.96</v>
      </c>
      <c r="O123" s="117">
        <f>85.6*1.6</f>
        <v>136.96</v>
      </c>
      <c r="P123" s="117">
        <f>67.1*1.5</f>
        <v>100.64999999999999</v>
      </c>
      <c r="Q123" s="117">
        <f>56.7*1.5</f>
        <v>85.050000000000011</v>
      </c>
      <c r="R123" s="117">
        <v>89</v>
      </c>
      <c r="S123" s="117">
        <f>66.1*1.6</f>
        <v>105.75999999999999</v>
      </c>
      <c r="T123" s="117">
        <f>68*1.5</f>
        <v>102</v>
      </c>
      <c r="U123" s="117">
        <f>64*1.5</f>
        <v>96</v>
      </c>
      <c r="V123" s="117">
        <f>58*1.5</f>
        <v>87</v>
      </c>
      <c r="W123" s="117">
        <f>80*1.5</f>
        <v>120</v>
      </c>
      <c r="X123" s="117"/>
      <c r="Y123" s="117">
        <f>90*1.5</f>
        <v>135</v>
      </c>
      <c r="Z123" s="117">
        <f>89*1.5</f>
        <v>133.5</v>
      </c>
      <c r="AA123" s="117">
        <f>90*1.5</f>
        <v>135</v>
      </c>
      <c r="AB123" s="117">
        <f>90*1.5</f>
        <v>135</v>
      </c>
      <c r="AC123" s="117">
        <v>100</v>
      </c>
      <c r="AD123" s="117">
        <v>100</v>
      </c>
      <c r="AE123" s="117">
        <v>65</v>
      </c>
      <c r="AF123" s="117">
        <v>55</v>
      </c>
      <c r="AG123" s="118">
        <v>120</v>
      </c>
      <c r="AH123" s="47">
        <f t="shared" si="36"/>
        <v>136.96</v>
      </c>
      <c r="AI123" s="48">
        <f t="shared" si="37"/>
        <v>44.6</v>
      </c>
    </row>
    <row r="124" spans="1:35" x14ac:dyDescent="0.25">
      <c r="A124" s="182" t="s">
        <v>266</v>
      </c>
      <c r="B124" s="117">
        <v>69.599999999999994</v>
      </c>
      <c r="C124" s="117">
        <v>69.099999999999994</v>
      </c>
      <c r="D124" s="117">
        <v>70</v>
      </c>
      <c r="E124" s="117">
        <v>66.599999999999994</v>
      </c>
      <c r="F124" s="117">
        <v>94.2</v>
      </c>
      <c r="G124" s="117">
        <v>71.7</v>
      </c>
      <c r="H124" s="117">
        <v>75.099999999999994</v>
      </c>
      <c r="I124" s="117">
        <v>83.5</v>
      </c>
      <c r="J124" s="117">
        <v>77</v>
      </c>
      <c r="K124" s="117">
        <v>87.5</v>
      </c>
      <c r="L124" s="117">
        <v>95.7</v>
      </c>
      <c r="M124" s="117">
        <v>97.2</v>
      </c>
      <c r="N124" s="117">
        <v>93.7</v>
      </c>
      <c r="O124" s="117">
        <v>93.7</v>
      </c>
      <c r="P124" s="117">
        <v>82.9</v>
      </c>
      <c r="Q124" s="117">
        <v>72.8</v>
      </c>
      <c r="R124" s="117">
        <v>76.400000000000006</v>
      </c>
      <c r="S124" s="117">
        <v>81.400000000000006</v>
      </c>
      <c r="T124" s="117">
        <v>84.1</v>
      </c>
      <c r="U124" s="117">
        <v>82.8</v>
      </c>
      <c r="V124" s="117">
        <v>76.400000000000006</v>
      </c>
      <c r="W124" s="117">
        <v>95</v>
      </c>
      <c r="X124" s="117"/>
      <c r="Y124" s="117">
        <v>102.1</v>
      </c>
      <c r="Z124" s="117">
        <v>101.4</v>
      </c>
      <c r="AA124" s="117">
        <v>102.3</v>
      </c>
      <c r="AB124" s="117">
        <v>102.3</v>
      </c>
      <c r="AC124" s="117">
        <v>95</v>
      </c>
      <c r="AD124" s="117">
        <v>95</v>
      </c>
      <c r="AE124" s="117">
        <v>71</v>
      </c>
      <c r="AF124" s="117">
        <v>67</v>
      </c>
      <c r="AG124" s="118"/>
      <c r="AH124" s="47"/>
      <c r="AI124" s="48"/>
    </row>
    <row r="125" spans="1:35" x14ac:dyDescent="0.25">
      <c r="A125" s="182" t="s">
        <v>263</v>
      </c>
      <c r="B125" s="117">
        <v>34.799999999999997</v>
      </c>
      <c r="C125" s="117">
        <v>57.3</v>
      </c>
      <c r="D125" s="117">
        <v>63.5</v>
      </c>
      <c r="E125" s="117">
        <v>62.2</v>
      </c>
      <c r="F125" s="117">
        <v>69.099999999999994</v>
      </c>
      <c r="G125" s="117">
        <v>51.6</v>
      </c>
      <c r="H125" s="117">
        <v>44.7</v>
      </c>
      <c r="I125" s="117">
        <v>27.6</v>
      </c>
      <c r="J125" s="117">
        <v>3.8</v>
      </c>
      <c r="K125" s="117">
        <v>73.099999999999994</v>
      </c>
      <c r="L125" s="117">
        <v>-15.7</v>
      </c>
      <c r="M125" s="117">
        <v>-18.899999999999999</v>
      </c>
      <c r="N125" s="117">
        <v>-11</v>
      </c>
      <c r="O125" s="117">
        <v>-11</v>
      </c>
      <c r="P125" s="117">
        <v>-13.6</v>
      </c>
      <c r="Q125" s="117">
        <v>-11.7</v>
      </c>
      <c r="R125" s="117">
        <v>-0.8</v>
      </c>
      <c r="S125" s="117">
        <v>15.3</v>
      </c>
      <c r="T125" s="117">
        <v>16.5</v>
      </c>
      <c r="U125" s="117">
        <v>7.5</v>
      </c>
      <c r="V125" s="117">
        <v>-13.2</v>
      </c>
      <c r="W125" s="117">
        <v>0.1</v>
      </c>
      <c r="X125" s="117"/>
      <c r="Y125" s="117">
        <v>26.3</v>
      </c>
      <c r="Z125" s="117">
        <v>25.5</v>
      </c>
      <c r="AA125" s="117">
        <v>-20.6</v>
      </c>
      <c r="AB125" s="117">
        <v>-20.6</v>
      </c>
      <c r="AC125" s="117">
        <v>-32</v>
      </c>
      <c r="AD125" s="117">
        <v>-32</v>
      </c>
      <c r="AE125" s="117">
        <v>9</v>
      </c>
      <c r="AF125" s="117">
        <v>31</v>
      </c>
      <c r="AG125" s="118"/>
      <c r="AH125" s="47"/>
      <c r="AI125" s="48"/>
    </row>
    <row r="126" spans="1:35" ht="15.75" thickBot="1" x14ac:dyDescent="0.3">
      <c r="A126" s="182" t="s">
        <v>260</v>
      </c>
      <c r="B126" s="117">
        <v>88.3</v>
      </c>
      <c r="C126" s="117">
        <v>88.5</v>
      </c>
      <c r="D126" s="117">
        <v>82.1</v>
      </c>
      <c r="E126" s="117">
        <v>78.8</v>
      </c>
      <c r="F126" s="117">
        <v>91.1</v>
      </c>
      <c r="G126" s="117">
        <v>93.5</v>
      </c>
      <c r="H126" s="117">
        <v>96.3</v>
      </c>
      <c r="I126" s="117">
        <v>107.8</v>
      </c>
      <c r="J126" s="117">
        <v>86.8</v>
      </c>
      <c r="K126" s="117">
        <v>102</v>
      </c>
      <c r="L126" s="117">
        <v>94.6</v>
      </c>
      <c r="M126" s="117">
        <v>87.7</v>
      </c>
      <c r="N126" s="117">
        <v>92.4</v>
      </c>
      <c r="O126" s="117">
        <v>92.4</v>
      </c>
      <c r="P126" s="117">
        <v>81.900000000000006</v>
      </c>
      <c r="Q126" s="117">
        <v>72.400000000000006</v>
      </c>
      <c r="R126" s="117">
        <v>89.9</v>
      </c>
      <c r="S126" s="117">
        <v>97.1</v>
      </c>
      <c r="T126" s="117">
        <v>102.5</v>
      </c>
      <c r="U126" s="117">
        <v>98.3</v>
      </c>
      <c r="V126" s="117">
        <v>80.5</v>
      </c>
      <c r="W126" s="117">
        <v>90.3</v>
      </c>
      <c r="X126" s="117"/>
      <c r="Y126" s="117">
        <v>88.4</v>
      </c>
      <c r="Z126" s="117">
        <v>87.2</v>
      </c>
      <c r="AA126" s="117">
        <v>94.2</v>
      </c>
      <c r="AB126" s="117">
        <v>94.2</v>
      </c>
      <c r="AC126" s="117">
        <v>86</v>
      </c>
      <c r="AD126" s="117">
        <v>86</v>
      </c>
      <c r="AE126" s="117">
        <v>82</v>
      </c>
      <c r="AF126" s="117">
        <v>84</v>
      </c>
      <c r="AG126" s="114"/>
      <c r="AH126" s="47">
        <f t="shared" si="36"/>
        <v>107.8</v>
      </c>
      <c r="AI126" s="48">
        <f t="shared" si="37"/>
        <v>72.400000000000006</v>
      </c>
    </row>
    <row r="127" spans="1:35" x14ac:dyDescent="0.25">
      <c r="A127" s="181" t="s">
        <v>264</v>
      </c>
      <c r="B127" s="117">
        <v>6.8</v>
      </c>
      <c r="C127" s="117">
        <v>7.1</v>
      </c>
      <c r="D127" s="117">
        <v>18.5</v>
      </c>
      <c r="E127" s="117">
        <v>13.1</v>
      </c>
      <c r="F127" s="117">
        <v>22.9</v>
      </c>
      <c r="G127" s="117">
        <v>10.9</v>
      </c>
      <c r="H127" s="117">
        <v>1.7</v>
      </c>
      <c r="I127" s="117">
        <v>-13.8</v>
      </c>
      <c r="J127" s="117">
        <v>-28.9</v>
      </c>
      <c r="K127" s="117">
        <v>-12.5</v>
      </c>
      <c r="L127" s="117">
        <v>-18</v>
      </c>
      <c r="M127" s="117">
        <v>-25.9</v>
      </c>
      <c r="N127" s="117">
        <v>-21.2</v>
      </c>
      <c r="O127" s="117">
        <v>-21.2</v>
      </c>
      <c r="P127" s="117">
        <v>-33.299999999999997</v>
      </c>
      <c r="Q127" s="117">
        <v>-19.600000000000001</v>
      </c>
      <c r="R127" s="117">
        <v>-17</v>
      </c>
      <c r="S127" s="117">
        <v>6.7</v>
      </c>
      <c r="T127" s="117">
        <v>0</v>
      </c>
      <c r="U127" s="117">
        <v>-8.1</v>
      </c>
      <c r="V127" s="117">
        <v>-12.7</v>
      </c>
      <c r="W127" s="117">
        <v>2.2000000000000002</v>
      </c>
      <c r="X127" s="117"/>
      <c r="Y127" s="117">
        <v>-7</v>
      </c>
      <c r="Z127" s="117">
        <v>-13.2</v>
      </c>
      <c r="AA127" s="117">
        <v>-20.399999999999999</v>
      </c>
      <c r="AB127" s="117">
        <v>-20.399999999999999</v>
      </c>
      <c r="AC127" s="117">
        <v>-18</v>
      </c>
      <c r="AD127" s="117">
        <v>-18</v>
      </c>
      <c r="AE127" s="117">
        <v>-22</v>
      </c>
      <c r="AF127" s="117">
        <v>-11</v>
      </c>
      <c r="AG127" s="114"/>
      <c r="AH127" s="47">
        <f t="shared" si="36"/>
        <v>22.9</v>
      </c>
      <c r="AI127" s="48">
        <f t="shared" si="37"/>
        <v>-33.299999999999997</v>
      </c>
    </row>
    <row r="128" spans="1:35" x14ac:dyDescent="0.25">
      <c r="A128" s="182" t="s">
        <v>126</v>
      </c>
      <c r="B128" s="106">
        <v>-2.2000000000000002</v>
      </c>
      <c r="C128" s="106">
        <v>1.2</v>
      </c>
      <c r="D128" s="106">
        <v>-0.5</v>
      </c>
      <c r="E128" s="106">
        <v>0.6</v>
      </c>
      <c r="F128" s="106">
        <v>1.4</v>
      </c>
      <c r="G128" s="106">
        <v>-3.63</v>
      </c>
      <c r="H128" s="106">
        <v>9.4</v>
      </c>
      <c r="I128" s="106">
        <v>-17.2</v>
      </c>
      <c r="J128" s="106">
        <v>-21.6</v>
      </c>
      <c r="K128" s="106">
        <v>-31.3</v>
      </c>
      <c r="L128" s="106">
        <v>-31.8</v>
      </c>
      <c r="M128" s="106">
        <v>-35.200000000000003</v>
      </c>
      <c r="N128" s="106">
        <v>-34.1</v>
      </c>
      <c r="O128" s="106">
        <v>-34.1</v>
      </c>
      <c r="P128" s="106">
        <v>-17</v>
      </c>
      <c r="Q128" s="106">
        <v>-16.39</v>
      </c>
      <c r="R128" s="106">
        <v>-9.1999999999999993</v>
      </c>
      <c r="S128" s="106">
        <v>-10.6</v>
      </c>
      <c r="T128" s="106">
        <v>-10</v>
      </c>
      <c r="U128" s="106">
        <v>-14.5</v>
      </c>
      <c r="V128" s="106">
        <v>-27.6</v>
      </c>
      <c r="W128" s="106">
        <v>-36</v>
      </c>
      <c r="X128" s="106"/>
      <c r="Y128" s="106">
        <v>-44.6</v>
      </c>
      <c r="Z128" s="106">
        <v>-37.4</v>
      </c>
      <c r="AA128" s="106">
        <v>-34.799999999999997</v>
      </c>
      <c r="AB128" s="106">
        <v>-34.799999999999997</v>
      </c>
      <c r="AC128" s="106">
        <v>-28</v>
      </c>
      <c r="AD128" s="106">
        <v>-28</v>
      </c>
      <c r="AE128" s="106">
        <v>-15</v>
      </c>
      <c r="AF128" s="106">
        <v>-8</v>
      </c>
      <c r="AG128" s="114"/>
      <c r="AH128" s="47">
        <f t="shared" si="36"/>
        <v>9.4</v>
      </c>
      <c r="AI128" s="48">
        <f t="shared" si="37"/>
        <v>-44.6</v>
      </c>
    </row>
    <row r="129" spans="1:37" x14ac:dyDescent="0.25">
      <c r="A129" s="182" t="s">
        <v>268</v>
      </c>
      <c r="B129" s="106">
        <v>18.8</v>
      </c>
      <c r="C129" s="106">
        <v>21.2</v>
      </c>
      <c r="D129" s="106">
        <v>15.5</v>
      </c>
      <c r="E129" s="106">
        <v>22.7</v>
      </c>
      <c r="F129" s="106">
        <v>16.3</v>
      </c>
      <c r="G129" s="106">
        <v>18.2</v>
      </c>
      <c r="H129" s="106">
        <v>24.2</v>
      </c>
      <c r="I129" s="106">
        <v>15.4</v>
      </c>
      <c r="J129" s="106">
        <v>16.2</v>
      </c>
      <c r="K129" s="106">
        <v>3.1</v>
      </c>
      <c r="L129" s="106">
        <v>-13.4</v>
      </c>
      <c r="M129" s="106">
        <v>-9</v>
      </c>
      <c r="N129" s="106">
        <v>-7.1</v>
      </c>
      <c r="O129" s="106">
        <v>-7.1</v>
      </c>
      <c r="P129" s="106">
        <v>-1.2</v>
      </c>
      <c r="Q129" s="106">
        <v>9.6999999999999993</v>
      </c>
      <c r="R129" s="106">
        <v>16</v>
      </c>
      <c r="S129" s="106">
        <v>19</v>
      </c>
      <c r="T129" s="106">
        <v>25.2</v>
      </c>
      <c r="U129" s="106">
        <v>26.4</v>
      </c>
      <c r="V129" s="106">
        <v>10.1</v>
      </c>
      <c r="W129" s="106">
        <v>-5.4</v>
      </c>
      <c r="X129" s="106"/>
      <c r="Y129" s="106">
        <v>-6</v>
      </c>
      <c r="Z129" s="106">
        <v>-8</v>
      </c>
      <c r="AA129" s="106">
        <v>-12.9</v>
      </c>
      <c r="AB129" s="106">
        <v>-12.9</v>
      </c>
      <c r="AC129" s="106">
        <v>-26</v>
      </c>
      <c r="AD129" s="106">
        <v>-26</v>
      </c>
      <c r="AE129" s="106">
        <v>20</v>
      </c>
      <c r="AF129" s="106">
        <v>23</v>
      </c>
      <c r="AG129" s="114"/>
      <c r="AH129" s="47">
        <f t="shared" si="36"/>
        <v>26.4</v>
      </c>
      <c r="AI129" s="48">
        <f t="shared" si="37"/>
        <v>-26</v>
      </c>
    </row>
    <row r="130" spans="1:37" ht="15.75" thickBot="1" x14ac:dyDescent="0.3">
      <c r="A130" s="182" t="s">
        <v>265</v>
      </c>
      <c r="B130" s="106">
        <v>70</v>
      </c>
      <c r="C130" s="106">
        <v>75</v>
      </c>
      <c r="D130" s="106">
        <v>75</v>
      </c>
      <c r="E130" s="106">
        <v>66.099999999999994</v>
      </c>
      <c r="F130" s="106">
        <v>70.099999999999994</v>
      </c>
      <c r="G130" s="106">
        <v>57.8</v>
      </c>
      <c r="H130" s="106">
        <v>77.2</v>
      </c>
      <c r="I130" s="106">
        <v>88</v>
      </c>
      <c r="J130" s="106">
        <v>91.9</v>
      </c>
      <c r="K130" s="106">
        <v>72.2</v>
      </c>
      <c r="L130" s="106">
        <v>79.099999999999994</v>
      </c>
      <c r="M130" s="106">
        <v>87.2</v>
      </c>
      <c r="N130" s="106">
        <v>87.8</v>
      </c>
      <c r="O130" s="106">
        <v>87.8</v>
      </c>
      <c r="P130" s="106">
        <v>77.900000000000006</v>
      </c>
      <c r="Q130" s="106">
        <v>100.8</v>
      </c>
      <c r="R130" s="106">
        <v>102</v>
      </c>
      <c r="S130" s="106">
        <v>102.3</v>
      </c>
      <c r="T130" s="106">
        <v>106.3</v>
      </c>
      <c r="U130" s="106">
        <v>98.1</v>
      </c>
      <c r="V130" s="106">
        <v>88.4</v>
      </c>
      <c r="W130" s="106">
        <v>98.8</v>
      </c>
      <c r="X130" s="106"/>
      <c r="Y130" s="106">
        <v>113.3</v>
      </c>
      <c r="Z130" s="106">
        <v>109.6</v>
      </c>
      <c r="AA130" s="106">
        <v>107.9</v>
      </c>
      <c r="AB130" s="106">
        <v>107.9</v>
      </c>
      <c r="AC130" s="106">
        <v>101</v>
      </c>
      <c r="AD130" s="106">
        <v>101</v>
      </c>
      <c r="AE130" s="106">
        <v>98</v>
      </c>
      <c r="AF130" s="106">
        <v>90</v>
      </c>
      <c r="AG130" s="114"/>
      <c r="AH130" s="47">
        <f t="shared" si="36"/>
        <v>113.3</v>
      </c>
      <c r="AI130" s="48">
        <f t="shared" si="37"/>
        <v>57.8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376</v>
      </c>
      <c r="B132" s="225">
        <v>1983.55</v>
      </c>
      <c r="C132" s="225">
        <v>1983.9</v>
      </c>
      <c r="D132" s="225">
        <v>1984.25</v>
      </c>
      <c r="E132" s="225">
        <v>1984.57</v>
      </c>
      <c r="F132" s="225"/>
      <c r="G132" s="225"/>
      <c r="H132" s="225"/>
      <c r="I132" s="225"/>
      <c r="J132" s="225"/>
      <c r="K132" s="225"/>
      <c r="L132" s="225"/>
      <c r="M132" s="151"/>
      <c r="N132" s="151"/>
      <c r="O132" s="151"/>
      <c r="P132" s="151"/>
      <c r="Q132" s="151"/>
      <c r="R132" s="151"/>
      <c r="S132" s="151">
        <v>1984.49</v>
      </c>
      <c r="T132" s="151">
        <v>1984.75</v>
      </c>
      <c r="U132" s="151">
        <v>1984.99</v>
      </c>
      <c r="V132" s="151">
        <v>1985.2</v>
      </c>
      <c r="W132" s="151"/>
      <c r="X132" s="151">
        <v>1984.92</v>
      </c>
      <c r="Y132" s="151"/>
      <c r="Z132" s="151">
        <v>1984.35</v>
      </c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243</v>
      </c>
      <c r="B133" s="226">
        <v>520.48</v>
      </c>
      <c r="C133" s="226">
        <v>520.94000000000005</v>
      </c>
      <c r="D133" s="226">
        <v>521.36</v>
      </c>
      <c r="E133" s="226">
        <v>521.74</v>
      </c>
      <c r="F133" s="226"/>
      <c r="G133" s="226"/>
      <c r="H133" s="226"/>
      <c r="I133" s="226"/>
      <c r="J133" s="226"/>
      <c r="K133" s="226"/>
      <c r="L133" s="226"/>
      <c r="M133" s="155"/>
      <c r="N133" s="155"/>
      <c r="O133" s="155"/>
      <c r="P133" s="155"/>
      <c r="Q133" s="155"/>
      <c r="R133" s="155"/>
      <c r="S133" s="155">
        <v>520.83000000000004</v>
      </c>
      <c r="T133" s="155">
        <v>520.85</v>
      </c>
      <c r="U133" s="155">
        <v>520.82000000000005</v>
      </c>
      <c r="V133" s="155">
        <v>520.76</v>
      </c>
      <c r="W133" s="155"/>
      <c r="X133" s="155">
        <v>520.76</v>
      </c>
      <c r="Y133" s="155"/>
      <c r="Z133" s="155">
        <v>520.4</v>
      </c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244</v>
      </c>
      <c r="B134" s="226">
        <v>622.57000000000005</v>
      </c>
      <c r="C134" s="226">
        <v>623.11</v>
      </c>
      <c r="D134" s="226">
        <v>623.6</v>
      </c>
      <c r="E134" s="226">
        <v>624.1</v>
      </c>
      <c r="F134" s="226"/>
      <c r="G134" s="226"/>
      <c r="H134" s="226"/>
      <c r="I134" s="226"/>
      <c r="J134" s="226"/>
      <c r="K134" s="226"/>
      <c r="L134" s="226"/>
      <c r="M134" s="155"/>
      <c r="N134" s="155"/>
      <c r="O134" s="155"/>
      <c r="P134" s="155"/>
      <c r="Q134" s="155"/>
      <c r="R134" s="155"/>
      <c r="S134" s="155">
        <v>623.16999999999996</v>
      </c>
      <c r="T134" s="155">
        <v>622.99</v>
      </c>
      <c r="U134" s="155">
        <v>622.79999999999995</v>
      </c>
      <c r="V134" s="155">
        <v>622.70000000000005</v>
      </c>
      <c r="W134" s="155"/>
      <c r="X134" s="155">
        <v>622.72</v>
      </c>
      <c r="Y134" s="155"/>
      <c r="Z134" s="155">
        <v>622.44000000000005</v>
      </c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x14ac:dyDescent="0.25">
      <c r="A135" s="199" t="s">
        <v>245</v>
      </c>
      <c r="B135" s="226">
        <v>335.84</v>
      </c>
      <c r="C135" s="226">
        <v>336.34</v>
      </c>
      <c r="D135" s="226">
        <v>336.74</v>
      </c>
      <c r="E135" s="226">
        <v>337.05</v>
      </c>
      <c r="F135" s="226"/>
      <c r="G135" s="226"/>
      <c r="H135" s="226"/>
      <c r="I135" s="226"/>
      <c r="J135" s="226"/>
      <c r="K135" s="226"/>
      <c r="L135" s="226"/>
      <c r="M135" s="155"/>
      <c r="N135" s="155"/>
      <c r="O135" s="155"/>
      <c r="P135" s="155"/>
      <c r="Q135" s="155"/>
      <c r="R135" s="155"/>
      <c r="S135" s="155">
        <v>335.31</v>
      </c>
      <c r="T135" s="155">
        <v>335.45</v>
      </c>
      <c r="U135" s="155">
        <v>335.52</v>
      </c>
      <c r="V135" s="155">
        <v>335.55</v>
      </c>
      <c r="W135" s="155"/>
      <c r="X135" s="155">
        <v>335.57</v>
      </c>
      <c r="Y135" s="155"/>
      <c r="Z135" s="155">
        <v>335.54</v>
      </c>
      <c r="AA135" s="155"/>
      <c r="AB135" s="155"/>
      <c r="AC135" s="155"/>
      <c r="AD135" s="155"/>
      <c r="AE135" s="155"/>
      <c r="AF135" s="156"/>
      <c r="AG135" s="153"/>
      <c r="AH135" s="47"/>
      <c r="AI135" s="48"/>
    </row>
    <row r="136" spans="1:37" x14ac:dyDescent="0.25">
      <c r="A136" s="199" t="s">
        <v>415</v>
      </c>
      <c r="B136" s="226">
        <v>884.7</v>
      </c>
      <c r="C136" s="226">
        <v>885.3</v>
      </c>
      <c r="D136" s="226">
        <v>886.1</v>
      </c>
      <c r="E136" s="226">
        <v>886.7</v>
      </c>
      <c r="F136" s="226"/>
      <c r="G136" s="226"/>
      <c r="H136" s="226"/>
      <c r="I136" s="226"/>
      <c r="J136" s="226"/>
      <c r="K136" s="226"/>
      <c r="L136" s="226"/>
      <c r="M136" s="155"/>
      <c r="N136" s="155"/>
      <c r="O136" s="155"/>
      <c r="P136" s="155"/>
      <c r="Q136" s="155"/>
      <c r="R136" s="155"/>
      <c r="S136" s="155">
        <v>884.5</v>
      </c>
      <c r="T136" s="155">
        <v>884.4</v>
      </c>
      <c r="U136" s="155">
        <v>884.2</v>
      </c>
      <c r="V136" s="155">
        <v>884</v>
      </c>
      <c r="W136" s="155"/>
      <c r="X136" s="155">
        <v>884.4</v>
      </c>
      <c r="Y136" s="155"/>
      <c r="Z136" s="155">
        <v>884.1</v>
      </c>
      <c r="AA136" s="155"/>
      <c r="AB136" s="155"/>
      <c r="AC136" s="155"/>
      <c r="AD136" s="155"/>
      <c r="AE136" s="155"/>
      <c r="AF136" s="156"/>
      <c r="AG136" s="153"/>
      <c r="AH136" s="47"/>
      <c r="AI136" s="48"/>
    </row>
    <row r="137" spans="1:37" ht="15.75" thickBot="1" x14ac:dyDescent="0.3">
      <c r="A137" s="199" t="s">
        <v>246</v>
      </c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9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124">SUM(B139:B243)</f>
        <v>0</v>
      </c>
      <c r="C244" s="137">
        <f t="shared" si="124"/>
        <v>0</v>
      </c>
      <c r="D244" s="137">
        <f t="shared" si="124"/>
        <v>0</v>
      </c>
      <c r="E244" s="137">
        <f t="shared" si="124"/>
        <v>0</v>
      </c>
      <c r="F244" s="137">
        <f t="shared" si="124"/>
        <v>0</v>
      </c>
      <c r="G244" s="137">
        <f t="shared" si="124"/>
        <v>0</v>
      </c>
      <c r="H244" s="137">
        <f t="shared" si="124"/>
        <v>0</v>
      </c>
      <c r="I244" s="137">
        <f t="shared" si="124"/>
        <v>0</v>
      </c>
      <c r="J244" s="137">
        <f t="shared" si="124"/>
        <v>0</v>
      </c>
      <c r="K244" s="137">
        <f t="shared" si="124"/>
        <v>0</v>
      </c>
      <c r="L244" s="137">
        <f t="shared" si="124"/>
        <v>0</v>
      </c>
      <c r="M244" s="137">
        <f t="shared" si="124"/>
        <v>0</v>
      </c>
      <c r="N244" s="137">
        <f t="shared" si="124"/>
        <v>0</v>
      </c>
      <c r="O244" s="137">
        <f t="shared" si="124"/>
        <v>0</v>
      </c>
      <c r="P244" s="137">
        <f t="shared" si="124"/>
        <v>0</v>
      </c>
      <c r="Q244" s="137">
        <f t="shared" si="124"/>
        <v>0</v>
      </c>
      <c r="R244" s="137">
        <f t="shared" si="124"/>
        <v>0</v>
      </c>
      <c r="S244" s="137">
        <f t="shared" si="124"/>
        <v>0</v>
      </c>
      <c r="T244" s="137">
        <f t="shared" si="124"/>
        <v>0</v>
      </c>
      <c r="U244" s="137">
        <f t="shared" si="124"/>
        <v>0</v>
      </c>
      <c r="V244" s="137">
        <f t="shared" si="124"/>
        <v>0</v>
      </c>
      <c r="W244" s="137">
        <f t="shared" si="124"/>
        <v>0</v>
      </c>
      <c r="X244" s="137">
        <f t="shared" si="124"/>
        <v>0</v>
      </c>
      <c r="Y244" s="137">
        <f t="shared" si="124"/>
        <v>0</v>
      </c>
      <c r="Z244" s="137">
        <f t="shared" si="124"/>
        <v>0</v>
      </c>
      <c r="AA244" s="137">
        <f t="shared" si="124"/>
        <v>0</v>
      </c>
      <c r="AB244" s="137">
        <f t="shared" si="124"/>
        <v>0</v>
      </c>
      <c r="AC244" s="137">
        <f t="shared" si="124"/>
        <v>0</v>
      </c>
      <c r="AD244" s="137">
        <f t="shared" si="124"/>
        <v>0</v>
      </c>
      <c r="AE244" s="137">
        <f t="shared" si="124"/>
        <v>0</v>
      </c>
      <c r="AF244" s="138">
        <f t="shared" si="124"/>
        <v>0</v>
      </c>
      <c r="AG244" s="139">
        <f t="shared" si="12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125">AF246</f>
        <v>0.3</v>
      </c>
      <c r="C246" s="141">
        <v>0.3</v>
      </c>
      <c r="D246" s="141">
        <f t="shared" ref="D246:S251" si="126">C246</f>
        <v>0.3</v>
      </c>
      <c r="E246" s="141">
        <f t="shared" si="126"/>
        <v>0.3</v>
      </c>
      <c r="F246" s="141">
        <f t="shared" si="126"/>
        <v>0.3</v>
      </c>
      <c r="G246" s="141">
        <f t="shared" si="126"/>
        <v>0.3</v>
      </c>
      <c r="H246" s="141">
        <f t="shared" si="126"/>
        <v>0.3</v>
      </c>
      <c r="I246" s="141">
        <f t="shared" si="126"/>
        <v>0.3</v>
      </c>
      <c r="J246" s="141">
        <f t="shared" si="126"/>
        <v>0.3</v>
      </c>
      <c r="K246" s="141">
        <f t="shared" si="126"/>
        <v>0.3</v>
      </c>
      <c r="L246" s="141">
        <f t="shared" si="126"/>
        <v>0.3</v>
      </c>
      <c r="M246" s="141">
        <f t="shared" si="126"/>
        <v>0.3</v>
      </c>
      <c r="N246" s="141">
        <f t="shared" si="126"/>
        <v>0.3</v>
      </c>
      <c r="O246" s="141">
        <f t="shared" si="126"/>
        <v>0.3</v>
      </c>
      <c r="P246" s="141">
        <f t="shared" si="126"/>
        <v>0.3</v>
      </c>
      <c r="Q246" s="141">
        <f t="shared" si="126"/>
        <v>0.3</v>
      </c>
      <c r="R246" s="141">
        <f t="shared" si="126"/>
        <v>0.3</v>
      </c>
      <c r="S246" s="141">
        <f t="shared" si="126"/>
        <v>0.3</v>
      </c>
      <c r="T246" s="141">
        <f t="shared" ref="T246:AF251" si="127">S246</f>
        <v>0.3</v>
      </c>
      <c r="U246" s="141">
        <f t="shared" si="127"/>
        <v>0.3</v>
      </c>
      <c r="V246" s="141">
        <f t="shared" si="127"/>
        <v>0.3</v>
      </c>
      <c r="W246" s="141">
        <f t="shared" si="127"/>
        <v>0.3</v>
      </c>
      <c r="X246" s="141">
        <f t="shared" si="127"/>
        <v>0.3</v>
      </c>
      <c r="Y246" s="141">
        <f t="shared" si="127"/>
        <v>0.3</v>
      </c>
      <c r="Z246" s="141">
        <f t="shared" si="127"/>
        <v>0.3</v>
      </c>
      <c r="AA246" s="141">
        <f t="shared" si="127"/>
        <v>0.3</v>
      </c>
      <c r="AB246" s="141">
        <f t="shared" si="127"/>
        <v>0.3</v>
      </c>
      <c r="AC246" s="141">
        <f t="shared" si="127"/>
        <v>0.3</v>
      </c>
      <c r="AD246" s="141">
        <f t="shared" si="127"/>
        <v>0.3</v>
      </c>
      <c r="AE246" s="141">
        <f t="shared" si="127"/>
        <v>0.3</v>
      </c>
      <c r="AF246" s="141">
        <f t="shared" si="127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125"/>
        <v>0.4</v>
      </c>
      <c r="C247" s="129">
        <v>0.4</v>
      </c>
      <c r="D247" s="129">
        <f t="shared" si="126"/>
        <v>0.4</v>
      </c>
      <c r="E247" s="129">
        <f t="shared" si="126"/>
        <v>0.4</v>
      </c>
      <c r="F247" s="129">
        <f t="shared" si="126"/>
        <v>0.4</v>
      </c>
      <c r="G247" s="129">
        <f t="shared" si="126"/>
        <v>0.4</v>
      </c>
      <c r="H247" s="129">
        <f t="shared" si="126"/>
        <v>0.4</v>
      </c>
      <c r="I247" s="129">
        <f t="shared" si="126"/>
        <v>0.4</v>
      </c>
      <c r="J247" s="129">
        <f t="shared" si="126"/>
        <v>0.4</v>
      </c>
      <c r="K247" s="129">
        <f t="shared" si="126"/>
        <v>0.4</v>
      </c>
      <c r="L247" s="129">
        <f t="shared" si="126"/>
        <v>0.4</v>
      </c>
      <c r="M247" s="129">
        <f t="shared" si="126"/>
        <v>0.4</v>
      </c>
      <c r="N247" s="129">
        <f t="shared" si="126"/>
        <v>0.4</v>
      </c>
      <c r="O247" s="129">
        <f t="shared" si="126"/>
        <v>0.4</v>
      </c>
      <c r="P247" s="129">
        <f t="shared" si="126"/>
        <v>0.4</v>
      </c>
      <c r="Q247" s="129">
        <f t="shared" si="126"/>
        <v>0.4</v>
      </c>
      <c r="R247" s="129">
        <f t="shared" si="126"/>
        <v>0.4</v>
      </c>
      <c r="S247" s="129">
        <f t="shared" si="126"/>
        <v>0.4</v>
      </c>
      <c r="T247" s="129">
        <f t="shared" si="127"/>
        <v>0.4</v>
      </c>
      <c r="U247" s="129">
        <f t="shared" si="127"/>
        <v>0.4</v>
      </c>
      <c r="V247" s="129">
        <f t="shared" si="127"/>
        <v>0.4</v>
      </c>
      <c r="W247" s="129">
        <f t="shared" si="127"/>
        <v>0.4</v>
      </c>
      <c r="X247" s="129">
        <f t="shared" si="127"/>
        <v>0.4</v>
      </c>
      <c r="Y247" s="129">
        <f t="shared" si="127"/>
        <v>0.4</v>
      </c>
      <c r="Z247" s="129">
        <f t="shared" si="127"/>
        <v>0.4</v>
      </c>
      <c r="AA247" s="129">
        <f t="shared" si="127"/>
        <v>0.4</v>
      </c>
      <c r="AB247" s="129">
        <f t="shared" si="127"/>
        <v>0.4</v>
      </c>
      <c r="AC247" s="129">
        <f t="shared" si="127"/>
        <v>0.4</v>
      </c>
      <c r="AD247" s="129">
        <f t="shared" si="127"/>
        <v>0.4</v>
      </c>
      <c r="AE247" s="129">
        <f t="shared" si="127"/>
        <v>0.4</v>
      </c>
      <c r="AF247" s="129">
        <f t="shared" si="127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125"/>
        <v>1.5</v>
      </c>
      <c r="C248" s="129">
        <v>1.5</v>
      </c>
      <c r="D248" s="129">
        <f t="shared" si="126"/>
        <v>1.5</v>
      </c>
      <c r="E248" s="129">
        <f t="shared" si="126"/>
        <v>1.5</v>
      </c>
      <c r="F248" s="129">
        <f t="shared" si="126"/>
        <v>1.5</v>
      </c>
      <c r="G248" s="129">
        <f t="shared" si="126"/>
        <v>1.5</v>
      </c>
      <c r="H248" s="129">
        <f t="shared" si="126"/>
        <v>1.5</v>
      </c>
      <c r="I248" s="129">
        <f t="shared" si="126"/>
        <v>1.5</v>
      </c>
      <c r="J248" s="129">
        <f t="shared" si="126"/>
        <v>1.5</v>
      </c>
      <c r="K248" s="129">
        <f t="shared" si="126"/>
        <v>1.5</v>
      </c>
      <c r="L248" s="129">
        <f t="shared" si="126"/>
        <v>1.5</v>
      </c>
      <c r="M248" s="129">
        <f t="shared" si="126"/>
        <v>1.5</v>
      </c>
      <c r="N248" s="129">
        <f t="shared" si="126"/>
        <v>1.5</v>
      </c>
      <c r="O248" s="129">
        <f t="shared" si="126"/>
        <v>1.5</v>
      </c>
      <c r="P248" s="129">
        <f t="shared" si="126"/>
        <v>1.5</v>
      </c>
      <c r="Q248" s="129">
        <f t="shared" si="126"/>
        <v>1.5</v>
      </c>
      <c r="R248" s="129">
        <f t="shared" si="126"/>
        <v>1.5</v>
      </c>
      <c r="S248" s="129">
        <f t="shared" si="126"/>
        <v>1.5</v>
      </c>
      <c r="T248" s="129">
        <f t="shared" si="127"/>
        <v>1.5</v>
      </c>
      <c r="U248" s="129">
        <f t="shared" si="127"/>
        <v>1.5</v>
      </c>
      <c r="V248" s="129">
        <f t="shared" si="127"/>
        <v>1.5</v>
      </c>
      <c r="W248" s="129">
        <f t="shared" si="127"/>
        <v>1.5</v>
      </c>
      <c r="X248" s="129">
        <f t="shared" si="127"/>
        <v>1.5</v>
      </c>
      <c r="Y248" s="129">
        <f t="shared" si="127"/>
        <v>1.5</v>
      </c>
      <c r="Z248" s="129">
        <f t="shared" si="127"/>
        <v>1.5</v>
      </c>
      <c r="AA248" s="129">
        <f t="shared" si="127"/>
        <v>1.5</v>
      </c>
      <c r="AB248" s="129">
        <f t="shared" si="127"/>
        <v>1.5</v>
      </c>
      <c r="AC248" s="129">
        <f t="shared" si="127"/>
        <v>1.5</v>
      </c>
      <c r="AD248" s="129">
        <f t="shared" si="127"/>
        <v>1.5</v>
      </c>
      <c r="AE248" s="129">
        <f t="shared" si="127"/>
        <v>1.5</v>
      </c>
      <c r="AF248" s="129">
        <f t="shared" si="127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125"/>
        <v>0.3</v>
      </c>
      <c r="C249" s="129">
        <v>0.3</v>
      </c>
      <c r="D249" s="129">
        <f t="shared" si="126"/>
        <v>0.3</v>
      </c>
      <c r="E249" s="129">
        <f t="shared" si="126"/>
        <v>0.3</v>
      </c>
      <c r="F249" s="129">
        <f t="shared" si="126"/>
        <v>0.3</v>
      </c>
      <c r="G249" s="129">
        <f t="shared" si="126"/>
        <v>0.3</v>
      </c>
      <c r="H249" s="129">
        <f t="shared" si="126"/>
        <v>0.3</v>
      </c>
      <c r="I249" s="129">
        <f t="shared" si="126"/>
        <v>0.3</v>
      </c>
      <c r="J249" s="129">
        <f t="shared" si="126"/>
        <v>0.3</v>
      </c>
      <c r="K249" s="129">
        <f t="shared" si="126"/>
        <v>0.3</v>
      </c>
      <c r="L249" s="129">
        <f t="shared" si="126"/>
        <v>0.3</v>
      </c>
      <c r="M249" s="129">
        <f t="shared" si="126"/>
        <v>0.3</v>
      </c>
      <c r="N249" s="129">
        <f t="shared" si="126"/>
        <v>0.3</v>
      </c>
      <c r="O249" s="129">
        <f t="shared" si="126"/>
        <v>0.3</v>
      </c>
      <c r="P249" s="129">
        <f t="shared" si="126"/>
        <v>0.3</v>
      </c>
      <c r="Q249" s="129">
        <f t="shared" si="126"/>
        <v>0.3</v>
      </c>
      <c r="R249" s="129">
        <f t="shared" si="126"/>
        <v>0.3</v>
      </c>
      <c r="S249" s="129">
        <f t="shared" si="126"/>
        <v>0.3</v>
      </c>
      <c r="T249" s="129">
        <f t="shared" si="127"/>
        <v>0.3</v>
      </c>
      <c r="U249" s="129">
        <f t="shared" si="127"/>
        <v>0.3</v>
      </c>
      <c r="V249" s="129">
        <f t="shared" si="127"/>
        <v>0.3</v>
      </c>
      <c r="W249" s="129">
        <f t="shared" si="127"/>
        <v>0.3</v>
      </c>
      <c r="X249" s="129">
        <f t="shared" si="127"/>
        <v>0.3</v>
      </c>
      <c r="Y249" s="129">
        <f t="shared" si="127"/>
        <v>0.3</v>
      </c>
      <c r="Z249" s="129">
        <f t="shared" si="127"/>
        <v>0.3</v>
      </c>
      <c r="AA249" s="129">
        <f t="shared" si="127"/>
        <v>0.3</v>
      </c>
      <c r="AB249" s="129">
        <f t="shared" si="127"/>
        <v>0.3</v>
      </c>
      <c r="AC249" s="129">
        <f t="shared" si="127"/>
        <v>0.3</v>
      </c>
      <c r="AD249" s="129">
        <f t="shared" si="127"/>
        <v>0.3</v>
      </c>
      <c r="AE249" s="129">
        <f t="shared" si="127"/>
        <v>0.3</v>
      </c>
      <c r="AF249" s="129">
        <f t="shared" si="127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125"/>
        <v>0.4</v>
      </c>
      <c r="C250" s="129">
        <v>0.4</v>
      </c>
      <c r="D250" s="129">
        <f t="shared" si="126"/>
        <v>0.4</v>
      </c>
      <c r="E250" s="129">
        <f t="shared" si="126"/>
        <v>0.4</v>
      </c>
      <c r="F250" s="129">
        <f t="shared" si="126"/>
        <v>0.4</v>
      </c>
      <c r="G250" s="129">
        <f t="shared" si="126"/>
        <v>0.4</v>
      </c>
      <c r="H250" s="129">
        <f t="shared" si="126"/>
        <v>0.4</v>
      </c>
      <c r="I250" s="129">
        <f t="shared" si="126"/>
        <v>0.4</v>
      </c>
      <c r="J250" s="129">
        <f t="shared" si="126"/>
        <v>0.4</v>
      </c>
      <c r="K250" s="129">
        <f t="shared" si="126"/>
        <v>0.4</v>
      </c>
      <c r="L250" s="129">
        <f t="shared" si="126"/>
        <v>0.4</v>
      </c>
      <c r="M250" s="129">
        <f t="shared" si="126"/>
        <v>0.4</v>
      </c>
      <c r="N250" s="129">
        <f t="shared" si="126"/>
        <v>0.4</v>
      </c>
      <c r="O250" s="129">
        <f t="shared" si="126"/>
        <v>0.4</v>
      </c>
      <c r="P250" s="129">
        <f t="shared" si="126"/>
        <v>0.4</v>
      </c>
      <c r="Q250" s="129">
        <f t="shared" si="126"/>
        <v>0.4</v>
      </c>
      <c r="R250" s="129">
        <f t="shared" si="126"/>
        <v>0.4</v>
      </c>
      <c r="S250" s="129">
        <f t="shared" si="126"/>
        <v>0.4</v>
      </c>
      <c r="T250" s="129">
        <f t="shared" si="127"/>
        <v>0.4</v>
      </c>
      <c r="U250" s="129">
        <f t="shared" si="127"/>
        <v>0.4</v>
      </c>
      <c r="V250" s="129">
        <f t="shared" si="127"/>
        <v>0.4</v>
      </c>
      <c r="W250" s="129">
        <f t="shared" si="127"/>
        <v>0.4</v>
      </c>
      <c r="X250" s="129">
        <f t="shared" si="127"/>
        <v>0.4</v>
      </c>
      <c r="Y250" s="129">
        <f t="shared" si="127"/>
        <v>0.4</v>
      </c>
      <c r="Z250" s="129">
        <f t="shared" si="127"/>
        <v>0.4</v>
      </c>
      <c r="AA250" s="129">
        <f t="shared" si="127"/>
        <v>0.4</v>
      </c>
      <c r="AB250" s="129">
        <f t="shared" si="127"/>
        <v>0.4</v>
      </c>
      <c r="AC250" s="129">
        <f t="shared" si="127"/>
        <v>0.4</v>
      </c>
      <c r="AD250" s="129">
        <f t="shared" si="127"/>
        <v>0.4</v>
      </c>
      <c r="AE250" s="129">
        <f t="shared" si="127"/>
        <v>0.4</v>
      </c>
      <c r="AF250" s="129">
        <f t="shared" si="127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125"/>
        <v>0.64</v>
      </c>
      <c r="C251" s="133">
        <v>0.64</v>
      </c>
      <c r="D251" s="133">
        <f t="shared" si="126"/>
        <v>0.64</v>
      </c>
      <c r="E251" s="133">
        <f t="shared" si="126"/>
        <v>0.64</v>
      </c>
      <c r="F251" s="133">
        <f t="shared" si="126"/>
        <v>0.64</v>
      </c>
      <c r="G251" s="133">
        <f t="shared" si="126"/>
        <v>0.64</v>
      </c>
      <c r="H251" s="133">
        <f t="shared" si="126"/>
        <v>0.64</v>
      </c>
      <c r="I251" s="133">
        <f t="shared" si="126"/>
        <v>0.64</v>
      </c>
      <c r="J251" s="133">
        <f t="shared" si="126"/>
        <v>0.64</v>
      </c>
      <c r="K251" s="133">
        <f t="shared" si="126"/>
        <v>0.64</v>
      </c>
      <c r="L251" s="133">
        <f t="shared" si="126"/>
        <v>0.64</v>
      </c>
      <c r="M251" s="133">
        <f t="shared" si="126"/>
        <v>0.64</v>
      </c>
      <c r="N251" s="133">
        <f t="shared" si="126"/>
        <v>0.64</v>
      </c>
      <c r="O251" s="133">
        <f t="shared" si="126"/>
        <v>0.64</v>
      </c>
      <c r="P251" s="133">
        <f t="shared" si="126"/>
        <v>0.64</v>
      </c>
      <c r="Q251" s="133">
        <f t="shared" si="126"/>
        <v>0.64</v>
      </c>
      <c r="R251" s="133">
        <f t="shared" si="126"/>
        <v>0.64</v>
      </c>
      <c r="S251" s="133">
        <f t="shared" si="126"/>
        <v>0.64</v>
      </c>
      <c r="T251" s="133">
        <f t="shared" si="127"/>
        <v>0.64</v>
      </c>
      <c r="U251" s="133">
        <f t="shared" si="127"/>
        <v>0.64</v>
      </c>
      <c r="V251" s="133">
        <f t="shared" si="127"/>
        <v>0.64</v>
      </c>
      <c r="W251" s="133">
        <f t="shared" si="127"/>
        <v>0.64</v>
      </c>
      <c r="X251" s="133">
        <f t="shared" si="127"/>
        <v>0.64</v>
      </c>
      <c r="Y251" s="133">
        <f t="shared" si="127"/>
        <v>0.64</v>
      </c>
      <c r="Z251" s="133">
        <f t="shared" si="127"/>
        <v>0.64</v>
      </c>
      <c r="AA251" s="133">
        <f t="shared" si="127"/>
        <v>0.64</v>
      </c>
      <c r="AB251" s="133">
        <f t="shared" si="127"/>
        <v>0.64</v>
      </c>
      <c r="AC251" s="133">
        <f t="shared" si="127"/>
        <v>0.64</v>
      </c>
      <c r="AD251" s="133">
        <f t="shared" si="127"/>
        <v>0.64</v>
      </c>
      <c r="AE251" s="133">
        <f t="shared" si="127"/>
        <v>0.64</v>
      </c>
      <c r="AF251" s="133">
        <f t="shared" si="127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128">SUM(B246:B251)</f>
        <v>3.54</v>
      </c>
      <c r="C252" s="137">
        <f t="shared" si="128"/>
        <v>3.54</v>
      </c>
      <c r="D252" s="137">
        <f t="shared" si="128"/>
        <v>3.54</v>
      </c>
      <c r="E252" s="137">
        <f t="shared" si="128"/>
        <v>3.54</v>
      </c>
      <c r="F252" s="137">
        <f t="shared" si="128"/>
        <v>3.54</v>
      </c>
      <c r="G252" s="137">
        <f t="shared" si="128"/>
        <v>3.54</v>
      </c>
      <c r="H252" s="137">
        <f t="shared" si="128"/>
        <v>3.54</v>
      </c>
      <c r="I252" s="137">
        <f t="shared" si="128"/>
        <v>3.54</v>
      </c>
      <c r="J252" s="137">
        <f t="shared" si="128"/>
        <v>3.54</v>
      </c>
      <c r="K252" s="137">
        <f t="shared" si="128"/>
        <v>3.54</v>
      </c>
      <c r="L252" s="137">
        <f t="shared" si="128"/>
        <v>3.54</v>
      </c>
      <c r="M252" s="137">
        <f t="shared" si="128"/>
        <v>3.54</v>
      </c>
      <c r="N252" s="137">
        <f t="shared" si="128"/>
        <v>3.54</v>
      </c>
      <c r="O252" s="137">
        <f t="shared" si="128"/>
        <v>3.54</v>
      </c>
      <c r="P252" s="137">
        <f t="shared" si="128"/>
        <v>3.54</v>
      </c>
      <c r="Q252" s="137">
        <f t="shared" si="128"/>
        <v>3.54</v>
      </c>
      <c r="R252" s="137">
        <f t="shared" si="128"/>
        <v>3.54</v>
      </c>
      <c r="S252" s="137">
        <f t="shared" si="128"/>
        <v>3.54</v>
      </c>
      <c r="T252" s="137">
        <f t="shared" si="128"/>
        <v>3.54</v>
      </c>
      <c r="U252" s="137">
        <f t="shared" si="128"/>
        <v>3.54</v>
      </c>
      <c r="V252" s="137">
        <f t="shared" si="128"/>
        <v>3.54</v>
      </c>
      <c r="W252" s="137">
        <f t="shared" si="128"/>
        <v>3.54</v>
      </c>
      <c r="X252" s="137">
        <f t="shared" si="128"/>
        <v>3.54</v>
      </c>
      <c r="Y252" s="137">
        <f t="shared" si="128"/>
        <v>3.54</v>
      </c>
      <c r="Z252" s="137">
        <f t="shared" si="128"/>
        <v>3.54</v>
      </c>
      <c r="AA252" s="137">
        <f t="shared" si="128"/>
        <v>3.54</v>
      </c>
      <c r="AB252" s="137">
        <f t="shared" si="128"/>
        <v>3.54</v>
      </c>
      <c r="AC252" s="137">
        <f t="shared" si="128"/>
        <v>3.54</v>
      </c>
      <c r="AD252" s="137">
        <f t="shared" si="128"/>
        <v>3.54</v>
      </c>
      <c r="AE252" s="137">
        <f t="shared" si="128"/>
        <v>3.54</v>
      </c>
      <c r="AF252" s="137">
        <f t="shared" si="128"/>
        <v>3.54</v>
      </c>
      <c r="AG252" s="146">
        <f t="shared" si="12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1502.7400000000002</v>
      </c>
      <c r="C256" s="162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29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str">
        <f ca="1">"Pie Chart of Daily Peak Demand(Inclusive of Export) of Nepal ("&amp;A4&amp;" "&amp;B4&amp;")"</f>
        <v>Pie Chart of Daily Peak Demand(Inclusive of Export) of Nepal (Nepali Date: 2080/09/29)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str">
        <f ca="1">"Daily Load Curve(Excluding of Export) of Nepal ("&amp;A4&amp;" "&amp;B4&amp;")"</f>
        <v>Daily Load Curve(Excluding of Export) of Nepal (Nepali Date: 2080/09/29)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129">B99</f>
        <v>1137.2399999999998</v>
      </c>
      <c r="U261" s="171">
        <f t="shared" si="129"/>
        <v>1092.94</v>
      </c>
      <c r="V261" s="171">
        <f t="shared" si="129"/>
        <v>1069.54</v>
      </c>
      <c r="W261" s="171">
        <f t="shared" si="129"/>
        <v>1047.3400000000001</v>
      </c>
      <c r="X261" s="171">
        <f t="shared" si="129"/>
        <v>1069.24</v>
      </c>
      <c r="Y261" s="171">
        <f t="shared" si="129"/>
        <v>1144.9399999999998</v>
      </c>
      <c r="Z261" s="171">
        <f t="shared" si="129"/>
        <v>1224.5400000000002</v>
      </c>
      <c r="AA261" s="171">
        <f t="shared" si="129"/>
        <v>1366.3400000000001</v>
      </c>
      <c r="AB261" s="171">
        <f t="shared" si="129"/>
        <v>1413.3400000000001</v>
      </c>
      <c r="AC261" s="171">
        <f t="shared" si="129"/>
        <v>1409.14</v>
      </c>
      <c r="AD261" s="171">
        <f t="shared" si="129"/>
        <v>1502.7400000000002</v>
      </c>
      <c r="AE261" s="171">
        <f t="shared" si="129"/>
        <v>1453.8400000000001</v>
      </c>
      <c r="AF261" s="171">
        <f t="shared" si="129"/>
        <v>1451.8400000000001</v>
      </c>
      <c r="AG261" s="171">
        <f t="shared" si="129"/>
        <v>1421.5400000000002</v>
      </c>
      <c r="AH261" s="171">
        <f t="shared" si="129"/>
        <v>1416.74</v>
      </c>
      <c r="AI261" s="171">
        <f t="shared" si="129"/>
        <v>1491.7400000000002</v>
      </c>
      <c r="AJ261" s="171">
        <f t="shared" si="129"/>
        <v>1490.9</v>
      </c>
      <c r="AK261" s="171">
        <f t="shared" si="129"/>
        <v>1499.8400000000001</v>
      </c>
      <c r="AL261" s="171">
        <f t="shared" si="129"/>
        <v>1492.84</v>
      </c>
      <c r="AM261" s="171">
        <f t="shared" si="129"/>
        <v>1471.8400000000001</v>
      </c>
      <c r="AN261" s="171">
        <f t="shared" si="129"/>
        <v>1446.54</v>
      </c>
      <c r="AO261" s="171">
        <f t="shared" si="129"/>
        <v>1544.94</v>
      </c>
      <c r="AP261" s="171">
        <f t="shared" si="129"/>
        <v>1545.74</v>
      </c>
      <c r="AQ261" s="171">
        <f t="shared" si="129"/>
        <v>1580.8400000000001</v>
      </c>
      <c r="AR261" s="171">
        <f t="shared" si="129"/>
        <v>1716.34</v>
      </c>
      <c r="AS261" s="171">
        <f t="shared" si="129"/>
        <v>1668.3400000000001</v>
      </c>
      <c r="AT261" s="171">
        <f t="shared" si="129"/>
        <v>1598.94</v>
      </c>
      <c r="AU261" s="171">
        <f t="shared" si="129"/>
        <v>1586.44</v>
      </c>
      <c r="AV261" s="171">
        <f t="shared" si="129"/>
        <v>1393.64</v>
      </c>
      <c r="AW261" s="171">
        <f t="shared" si="129"/>
        <v>1359.64</v>
      </c>
      <c r="AX261" s="171">
        <f t="shared" si="129"/>
        <v>1231.6399999999999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130">C251</f>
        <v>0.64</v>
      </c>
      <c r="C282" s="174">
        <f t="shared" si="130"/>
        <v>0.64</v>
      </c>
      <c r="D282" s="174">
        <f t="shared" si="130"/>
        <v>0.64</v>
      </c>
      <c r="E282" s="174">
        <f t="shared" si="130"/>
        <v>0.64</v>
      </c>
      <c r="F282" s="174">
        <f t="shared" si="130"/>
        <v>0.64</v>
      </c>
      <c r="G282" s="174">
        <f t="shared" si="130"/>
        <v>0.64</v>
      </c>
      <c r="H282" s="174">
        <f t="shared" si="130"/>
        <v>0.64</v>
      </c>
      <c r="I282" s="174">
        <f t="shared" si="130"/>
        <v>0.64</v>
      </c>
      <c r="J282" s="174">
        <f t="shared" si="130"/>
        <v>0.64</v>
      </c>
      <c r="K282" s="174">
        <f t="shared" si="130"/>
        <v>0.64</v>
      </c>
      <c r="L282" s="174">
        <f t="shared" si="130"/>
        <v>0.64</v>
      </c>
      <c r="M282" s="174">
        <f t="shared" si="130"/>
        <v>0.64</v>
      </c>
      <c r="N282" s="174">
        <f t="shared" si="130"/>
        <v>0.64</v>
      </c>
      <c r="O282" s="174">
        <f t="shared" si="130"/>
        <v>0.64</v>
      </c>
      <c r="P282" s="174">
        <f t="shared" si="130"/>
        <v>0.64</v>
      </c>
      <c r="Q282" s="174">
        <f t="shared" si="130"/>
        <v>0.64</v>
      </c>
      <c r="R282" s="174">
        <f t="shared" si="130"/>
        <v>0.64</v>
      </c>
      <c r="S282" s="174">
        <f t="shared" si="130"/>
        <v>0.64</v>
      </c>
      <c r="T282" s="174">
        <f t="shared" si="130"/>
        <v>0.64</v>
      </c>
      <c r="U282" s="174">
        <f t="shared" si="130"/>
        <v>0.64</v>
      </c>
      <c r="V282" s="174">
        <f t="shared" si="130"/>
        <v>0.64</v>
      </c>
      <c r="W282" s="174">
        <f t="shared" si="130"/>
        <v>0.64</v>
      </c>
      <c r="X282" s="174">
        <f t="shared" si="130"/>
        <v>0.64</v>
      </c>
      <c r="Y282" s="174">
        <f t="shared" si="130"/>
        <v>0.64</v>
      </c>
      <c r="Z282" s="174">
        <f t="shared" si="130"/>
        <v>0.64</v>
      </c>
      <c r="AA282" s="174">
        <f t="shared" si="130"/>
        <v>0.64</v>
      </c>
      <c r="AB282" s="174">
        <f t="shared" si="130"/>
        <v>0.64</v>
      </c>
      <c r="AC282" s="174">
        <f t="shared" si="130"/>
        <v>0.64</v>
      </c>
      <c r="AD282" s="174">
        <f t="shared" si="130"/>
        <v>0.64</v>
      </c>
      <c r="AE282" s="174">
        <f t="shared" si="130"/>
        <v>0.64</v>
      </c>
      <c r="AF282" s="174">
        <f>B251</f>
        <v>0.64</v>
      </c>
      <c r="AG282" s="43"/>
      <c r="AH282" s="43"/>
    </row>
    <row r="283" spans="1:34" x14ac:dyDescent="0.25">
      <c r="A283" s="175" t="e">
        <f>#REF!</f>
        <v>#REF!</v>
      </c>
      <c r="B283" s="175" t="e">
        <f>IF(#REF!&lt;100,"",#REF!-520)</f>
        <v>#REF!</v>
      </c>
      <c r="C283" s="175" t="e">
        <f>IF(#REF!&lt;100,"",#REF!-520)</f>
        <v>#REF!</v>
      </c>
      <c r="D283" s="175" t="e">
        <f>IF(#REF!&lt;100,"",#REF!-520)</f>
        <v>#REF!</v>
      </c>
      <c r="E283" s="175" t="e">
        <f>IF(#REF!&lt;100,"",#REF!-520)</f>
        <v>#REF!</v>
      </c>
      <c r="F283" s="175" t="e">
        <f>IF(#REF!&lt;100,"",#REF!-520)</f>
        <v>#REF!</v>
      </c>
      <c r="G283" s="175" t="e">
        <f>IF(#REF!&lt;100,"",#REF!-520)</f>
        <v>#REF!</v>
      </c>
      <c r="H283" s="175" t="e">
        <f>IF(#REF!&lt;100,"",#REF!-520)</f>
        <v>#REF!</v>
      </c>
      <c r="I283" s="175" t="e">
        <f>IF(#REF!&lt;100,"",#REF!-520)</f>
        <v>#REF!</v>
      </c>
      <c r="J283" s="175" t="e">
        <f>IF(#REF!&lt;100,"",#REF!-520)</f>
        <v>#REF!</v>
      </c>
      <c r="K283" s="175" t="e">
        <f>IF(#REF!&lt;100,"",#REF!-520)</f>
        <v>#REF!</v>
      </c>
      <c r="L283" s="175" t="e">
        <f>IF(#REF!&lt;100,"",#REF!-520)</f>
        <v>#REF!</v>
      </c>
      <c r="M283" s="175" t="e">
        <f>IF(#REF!&lt;100,"",#REF!-520)</f>
        <v>#REF!</v>
      </c>
      <c r="N283" s="175" t="e">
        <f>IF(#REF!&lt;100,"",#REF!-520)</f>
        <v>#REF!</v>
      </c>
      <c r="O283" s="175" t="e">
        <f>IF(#REF!&lt;100,"",#REF!-520)</f>
        <v>#REF!</v>
      </c>
      <c r="P283" s="175" t="e">
        <f>IF(#REF!&lt;100,"",#REF!-520)</f>
        <v>#REF!</v>
      </c>
      <c r="Q283" s="175" t="e">
        <f>IF(#REF!&lt;100,"",#REF!-520)</f>
        <v>#REF!</v>
      </c>
      <c r="R283" s="175" t="e">
        <f>IF(#REF!&lt;100,"",#REF!-520)</f>
        <v>#REF!</v>
      </c>
      <c r="S283" s="175" t="e">
        <f>IF(#REF!&lt;100,"",#REF!-520)</f>
        <v>#REF!</v>
      </c>
      <c r="T283" s="175" t="e">
        <f>IF(#REF!&lt;100,"",#REF!-520)</f>
        <v>#REF!</v>
      </c>
      <c r="U283" s="175" t="e">
        <f>IF(#REF!&lt;100,"",#REF!-520)</f>
        <v>#REF!</v>
      </c>
      <c r="V283" s="175" t="e">
        <f>IF(#REF!&lt;100,"",#REF!-520)</f>
        <v>#REF!</v>
      </c>
      <c r="W283" s="175" t="e">
        <f>IF(#REF!&lt;100,"",#REF!-520)</f>
        <v>#REF!</v>
      </c>
      <c r="X283" s="175" t="e">
        <f>IF(#REF!&lt;100,"",#REF!-520)</f>
        <v>#REF!</v>
      </c>
      <c r="Y283" s="175" t="e">
        <f>IF(#REF!&lt;100,"",#REF!-520)</f>
        <v>#REF!</v>
      </c>
      <c r="Z283" s="175" t="e">
        <f>IF(#REF!&lt;100,"",#REF!-520)</f>
        <v>#REF!</v>
      </c>
      <c r="AA283" s="175" t="e">
        <f>IF(#REF!&lt;100,"",#REF!-520)</f>
        <v>#REF!</v>
      </c>
      <c r="AB283" s="175" t="e">
        <f>IF(#REF!&lt;100,"",#REF!-520)</f>
        <v>#REF!</v>
      </c>
      <c r="AC283" s="175" t="e">
        <f>IF(#REF!&lt;100,"",#REF!-520)</f>
        <v>#REF!</v>
      </c>
      <c r="AD283" s="175" t="e">
        <f>IF(#REF!&lt;100,"",#REF!-520)</f>
        <v>#REF!</v>
      </c>
      <c r="AE283" s="175" t="e">
        <f>IF(#REF!&lt;100,"",#REF!-520)</f>
        <v>#REF!</v>
      </c>
      <c r="AF283" s="175" t="e">
        <f>IF(#REF!&lt;100,"",#REF!-520)</f>
        <v>#REF!</v>
      </c>
      <c r="AG283" s="43"/>
      <c r="AH283" s="43"/>
    </row>
    <row r="284" spans="1:34" x14ac:dyDescent="0.25">
      <c r="A284" s="175" t="e">
        <f>#REF!</f>
        <v>#REF!</v>
      </c>
      <c r="B284" s="175" t="e">
        <f>IF(#REF!&lt;100,"",#REF!-620)</f>
        <v>#REF!</v>
      </c>
      <c r="C284" s="175" t="e">
        <f>IF(#REF!&lt;100,"",#REF!-620)</f>
        <v>#REF!</v>
      </c>
      <c r="D284" s="175" t="e">
        <f>IF(#REF!&lt;100,"",#REF!-620)</f>
        <v>#REF!</v>
      </c>
      <c r="E284" s="175" t="e">
        <f>IF(#REF!&lt;100,"",#REF!-620)</f>
        <v>#REF!</v>
      </c>
      <c r="F284" s="175" t="e">
        <f>IF(#REF!&lt;100,"",#REF!-620)</f>
        <v>#REF!</v>
      </c>
      <c r="G284" s="175" t="e">
        <f>IF(#REF!&lt;100,"",#REF!-620)</f>
        <v>#REF!</v>
      </c>
      <c r="H284" s="175" t="e">
        <f>IF(#REF!&lt;100,"",#REF!-620)</f>
        <v>#REF!</v>
      </c>
      <c r="I284" s="175" t="e">
        <f>IF(#REF!&lt;100,"",#REF!-620)</f>
        <v>#REF!</v>
      </c>
      <c r="J284" s="175" t="e">
        <f>IF(#REF!&lt;100,"",#REF!-620)</f>
        <v>#REF!</v>
      </c>
      <c r="K284" s="175" t="e">
        <f>IF(#REF!&lt;100,"",#REF!-620)</f>
        <v>#REF!</v>
      </c>
      <c r="L284" s="175" t="e">
        <f>IF(#REF!&lt;100,"",#REF!-620)</f>
        <v>#REF!</v>
      </c>
      <c r="M284" s="175" t="e">
        <f>IF(#REF!&lt;100,"",#REF!-620)</f>
        <v>#REF!</v>
      </c>
      <c r="N284" s="175" t="e">
        <f>IF(#REF!&lt;100,"",#REF!-620)</f>
        <v>#REF!</v>
      </c>
      <c r="O284" s="175" t="e">
        <f>IF(#REF!&lt;100,"",#REF!-620)</f>
        <v>#REF!</v>
      </c>
      <c r="P284" s="175" t="e">
        <f>IF(#REF!&lt;100,"",#REF!-620)</f>
        <v>#REF!</v>
      </c>
      <c r="Q284" s="175" t="e">
        <f>IF(#REF!&lt;100,"",#REF!-620)</f>
        <v>#REF!</v>
      </c>
      <c r="R284" s="175" t="e">
        <f>IF(#REF!&lt;100,"",#REF!-620)</f>
        <v>#REF!</v>
      </c>
      <c r="S284" s="175" t="e">
        <f>IF(#REF!&lt;100,"",#REF!-620)</f>
        <v>#REF!</v>
      </c>
      <c r="T284" s="175" t="e">
        <f>IF(#REF!&lt;100,"",#REF!-620)</f>
        <v>#REF!</v>
      </c>
      <c r="U284" s="175" t="e">
        <f>IF(#REF!&lt;100,"",#REF!-620)</f>
        <v>#REF!</v>
      </c>
      <c r="V284" s="175" t="e">
        <f>IF(#REF!&lt;100,"",#REF!-620)</f>
        <v>#REF!</v>
      </c>
      <c r="W284" s="175" t="e">
        <f>IF(#REF!&lt;100,"",#REF!-620)</f>
        <v>#REF!</v>
      </c>
      <c r="X284" s="175" t="e">
        <f>IF(#REF!&lt;100,"",#REF!-620)</f>
        <v>#REF!</v>
      </c>
      <c r="Y284" s="175" t="e">
        <f>IF(#REF!&lt;100,"",#REF!-620)</f>
        <v>#REF!</v>
      </c>
      <c r="Z284" s="175" t="e">
        <f>IF(#REF!&lt;100,"",#REF!-620)</f>
        <v>#REF!</v>
      </c>
      <c r="AA284" s="175" t="e">
        <f>IF(#REF!&lt;100,"",#REF!-620)</f>
        <v>#REF!</v>
      </c>
      <c r="AB284" s="175" t="e">
        <f>IF(#REF!&lt;100,"",#REF!-620)</f>
        <v>#REF!</v>
      </c>
      <c r="AC284" s="175" t="e">
        <f>IF(#REF!&lt;100,"",#REF!-620)</f>
        <v>#REF!</v>
      </c>
      <c r="AD284" s="175" t="e">
        <f>IF(#REF!&lt;100,"",#REF!-620)</f>
        <v>#REF!</v>
      </c>
      <c r="AE284" s="175" t="e">
        <f>IF(#REF!&lt;100,"",#REF!-620)</f>
        <v>#REF!</v>
      </c>
      <c r="AF284" s="175" t="e">
        <f>IF(#REF!&lt;100,"",#REF!-620)</f>
        <v>#REF!</v>
      </c>
      <c r="AG284" s="43"/>
      <c r="AH284" s="43"/>
    </row>
    <row r="285" spans="1:34" x14ac:dyDescent="0.25">
      <c r="A285" s="175" t="e">
        <f>#REF!</f>
        <v>#REF!</v>
      </c>
      <c r="B285" s="175" t="e">
        <f>IF(#REF!&lt;100,"",#REF!-330)</f>
        <v>#REF!</v>
      </c>
      <c r="C285" s="175" t="e">
        <f>IF(#REF!&lt;100,"",#REF!-330)</f>
        <v>#REF!</v>
      </c>
      <c r="D285" s="175" t="e">
        <f>IF(#REF!&lt;100,"",#REF!-330)</f>
        <v>#REF!</v>
      </c>
      <c r="E285" s="175" t="e">
        <f>IF(#REF!&lt;100,"",#REF!-330)</f>
        <v>#REF!</v>
      </c>
      <c r="F285" s="175" t="e">
        <f>IF(#REF!&lt;100,"",#REF!-330)</f>
        <v>#REF!</v>
      </c>
      <c r="G285" s="175" t="e">
        <f>IF(#REF!&lt;100,"",#REF!-330)</f>
        <v>#REF!</v>
      </c>
      <c r="H285" s="175" t="e">
        <f>IF(#REF!&lt;100,"",#REF!-330)</f>
        <v>#REF!</v>
      </c>
      <c r="I285" s="175" t="e">
        <f>IF(#REF!&lt;100,"",#REF!-330)</f>
        <v>#REF!</v>
      </c>
      <c r="J285" s="175" t="e">
        <f>IF(#REF!&lt;100,"",#REF!-330)</f>
        <v>#REF!</v>
      </c>
      <c r="K285" s="175" t="e">
        <f>IF(#REF!&lt;100,"",#REF!-330)</f>
        <v>#REF!</v>
      </c>
      <c r="L285" s="175" t="e">
        <f>IF(#REF!&lt;100,"",#REF!-330)</f>
        <v>#REF!</v>
      </c>
      <c r="M285" s="175" t="e">
        <f>IF(#REF!&lt;100,"",#REF!-330)</f>
        <v>#REF!</v>
      </c>
      <c r="N285" s="175" t="e">
        <f>IF(#REF!&lt;100,"",#REF!-330)</f>
        <v>#REF!</v>
      </c>
      <c r="O285" s="175" t="e">
        <f>IF(#REF!&lt;100,"",#REF!-330)</f>
        <v>#REF!</v>
      </c>
      <c r="P285" s="175" t="e">
        <f>IF(#REF!&lt;100,"",#REF!-330)</f>
        <v>#REF!</v>
      </c>
      <c r="Q285" s="175" t="e">
        <f>IF(#REF!&lt;100,"",#REF!-330)</f>
        <v>#REF!</v>
      </c>
      <c r="R285" s="175" t="e">
        <f>IF(#REF!&lt;100,"",#REF!-330)</f>
        <v>#REF!</v>
      </c>
      <c r="S285" s="175" t="e">
        <f>IF(#REF!&lt;100,"",#REF!-330)</f>
        <v>#REF!</v>
      </c>
      <c r="T285" s="175" t="e">
        <f>IF(#REF!&lt;100,"",#REF!-330)</f>
        <v>#REF!</v>
      </c>
      <c r="U285" s="175" t="e">
        <f>IF(#REF!&lt;100,"",#REF!-330)</f>
        <v>#REF!</v>
      </c>
      <c r="V285" s="175" t="e">
        <f>IF(#REF!&lt;100,"",#REF!-330)</f>
        <v>#REF!</v>
      </c>
      <c r="W285" s="175" t="e">
        <f>IF(#REF!&lt;100,"",#REF!-330)</f>
        <v>#REF!</v>
      </c>
      <c r="X285" s="175" t="e">
        <f>IF(#REF!&lt;100,"",#REF!-330)</f>
        <v>#REF!</v>
      </c>
      <c r="Y285" s="175" t="e">
        <f>IF(#REF!&lt;100,"",#REF!-330)</f>
        <v>#REF!</v>
      </c>
      <c r="Z285" s="175" t="e">
        <f>IF(#REF!&lt;100,"",#REF!-330)</f>
        <v>#REF!</v>
      </c>
      <c r="AA285" s="175" t="e">
        <f>IF(#REF!&lt;100,"",#REF!-330)</f>
        <v>#REF!</v>
      </c>
      <c r="AB285" s="175" t="e">
        <f>IF(#REF!&lt;100,"",#REF!-330)</f>
        <v>#REF!</v>
      </c>
      <c r="AC285" s="175" t="e">
        <f>IF(#REF!&lt;100,"",#REF!-330)</f>
        <v>#REF!</v>
      </c>
      <c r="AD285" s="175" t="e">
        <f>IF(#REF!&lt;100,"",#REF!-330)</f>
        <v>#REF!</v>
      </c>
      <c r="AE285" s="175" t="e">
        <f>IF(#REF!&lt;100,"",#REF!-330)</f>
        <v>#REF!</v>
      </c>
      <c r="AF285" s="175" t="e">
        <f>IF(#REF!&lt;100,"",#REF!-330)</f>
        <v>#REF!</v>
      </c>
      <c r="AG285" s="43"/>
      <c r="AH285" s="43"/>
    </row>
    <row r="286" spans="1:34" x14ac:dyDescent="0.25">
      <c r="A286" s="175" t="e">
        <f>#REF!</f>
        <v>#REF!</v>
      </c>
      <c r="B286" s="175" t="e">
        <f>IF(#REF!&lt;100,"",#REF!-1500)</f>
        <v>#REF!</v>
      </c>
      <c r="C286" s="175" t="e">
        <f>IF(#REF!&lt;100,"",#REF!-1500)</f>
        <v>#REF!</v>
      </c>
      <c r="D286" s="175" t="e">
        <f>IF(#REF!&lt;100,"",#REF!-1500)</f>
        <v>#REF!</v>
      </c>
      <c r="E286" s="175" t="e">
        <f>IF(#REF!&lt;100,"",#REF!-1500)</f>
        <v>#REF!</v>
      </c>
      <c r="F286" s="175" t="e">
        <f>IF(#REF!&lt;100,"",#REF!-1500)</f>
        <v>#REF!</v>
      </c>
      <c r="G286" s="175" t="e">
        <f>IF(#REF!&lt;100,"",#REF!-1500)</f>
        <v>#REF!</v>
      </c>
      <c r="H286" s="175" t="e">
        <f>IF(#REF!&lt;100,"",#REF!-1500)</f>
        <v>#REF!</v>
      </c>
      <c r="I286" s="175" t="e">
        <f>IF(#REF!&lt;100,"",#REF!-1500)</f>
        <v>#REF!</v>
      </c>
      <c r="J286" s="175" t="e">
        <f>IF(#REF!&lt;100,"",#REF!-1500)</f>
        <v>#REF!</v>
      </c>
      <c r="K286" s="175" t="e">
        <f>IF(#REF!&lt;100,"",#REF!-1500)</f>
        <v>#REF!</v>
      </c>
      <c r="L286" s="175" t="e">
        <f>IF(#REF!&lt;100,"",#REF!-1500)</f>
        <v>#REF!</v>
      </c>
      <c r="M286" s="175" t="e">
        <f>IF(#REF!&lt;100,"",#REF!-1500)</f>
        <v>#REF!</v>
      </c>
      <c r="N286" s="175" t="e">
        <f>IF(#REF!&lt;100,"",#REF!-1500)</f>
        <v>#REF!</v>
      </c>
      <c r="O286" s="175" t="e">
        <f>IF(#REF!&lt;100,"",#REF!-1500)</f>
        <v>#REF!</v>
      </c>
      <c r="P286" s="175" t="e">
        <f>IF(#REF!&lt;100,"",#REF!-1500)</f>
        <v>#REF!</v>
      </c>
      <c r="Q286" s="175" t="e">
        <f>IF(#REF!&lt;100,"",#REF!-1500)</f>
        <v>#REF!</v>
      </c>
      <c r="R286" s="175" t="e">
        <f>IF(#REF!&lt;100,"",#REF!-1500)</f>
        <v>#REF!</v>
      </c>
      <c r="S286" s="175" t="e">
        <f>IF(#REF!&lt;100,"",#REF!-1500)</f>
        <v>#REF!</v>
      </c>
      <c r="T286" s="175" t="e">
        <f>IF(#REF!&lt;100,"",#REF!-1500)</f>
        <v>#REF!</v>
      </c>
      <c r="U286" s="175" t="e">
        <f>IF(#REF!&lt;100,"",#REF!-1500)</f>
        <v>#REF!</v>
      </c>
      <c r="V286" s="175" t="e">
        <f>IF(#REF!&lt;100,"",#REF!-1500)</f>
        <v>#REF!</v>
      </c>
      <c r="W286" s="175" t="e">
        <f>IF(#REF!&lt;100,"",#REF!-1500)</f>
        <v>#REF!</v>
      </c>
      <c r="X286" s="175" t="e">
        <f>IF(#REF!&lt;100,"",#REF!-1500)</f>
        <v>#REF!</v>
      </c>
      <c r="Y286" s="175" t="e">
        <f>IF(#REF!&lt;100,"",#REF!-1500)</f>
        <v>#REF!</v>
      </c>
      <c r="Z286" s="175" t="e">
        <f>IF(#REF!&lt;100,"",#REF!-1500)</f>
        <v>#REF!</v>
      </c>
      <c r="AA286" s="175" t="e">
        <f>IF(#REF!&lt;100,"",#REF!-1500)</f>
        <v>#REF!</v>
      </c>
      <c r="AB286" s="175" t="e">
        <f>IF(#REF!&lt;100,"",#REF!-1500)</f>
        <v>#REF!</v>
      </c>
      <c r="AC286" s="175" t="e">
        <f>IF(#REF!&lt;100,"",#REF!-1500)</f>
        <v>#REF!</v>
      </c>
      <c r="AD286" s="175" t="e">
        <f>IF(#REF!&lt;100,"",#REF!-1500)</f>
        <v>#REF!</v>
      </c>
      <c r="AE286" s="175" t="e">
        <f>IF(#REF!&lt;100,"",#REF!-1500)</f>
        <v>#REF!</v>
      </c>
      <c r="AF286" s="175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63" priority="58">
      <formula>$AH11=0</formula>
    </cfRule>
  </conditionalFormatting>
  <conditionalFormatting sqref="A132:A253">
    <cfRule type="expression" dxfId="362" priority="9">
      <formula>$AH132=0</formula>
    </cfRule>
  </conditionalFormatting>
  <conditionalFormatting sqref="B8 M8 S8 AB8">
    <cfRule type="expression" dxfId="361" priority="120">
      <formula>C$9&lt;8/24</formula>
    </cfRule>
    <cfRule type="expression" dxfId="360" priority="118">
      <formula>AND(C$9&gt;=14/24,C$9&lt;20/24)</formula>
    </cfRule>
    <cfRule type="expression" dxfId="359" priority="119">
      <formula>AND(C$9&gt;=8/24,C$9&lt;14/24)</formula>
    </cfRule>
  </conditionalFormatting>
  <conditionalFormatting sqref="B63:I74 K64:K67 J64:J74 K69:W74">
    <cfRule type="expression" dxfId="358" priority="24">
      <formula>B$9&gt;=20/24</formula>
    </cfRule>
    <cfRule type="expression" dxfId="357" priority="25">
      <formula>AND(B$9&gt;=14/24,B$9&lt;20/24)</formula>
    </cfRule>
    <cfRule type="expression" dxfId="356" priority="26">
      <formula>AND(B$9&gt;=8/24,B$9&lt;14/24)</formula>
    </cfRule>
    <cfRule type="expression" dxfId="355" priority="27">
      <formula>B$9&lt;8/24</formula>
    </cfRule>
  </conditionalFormatting>
  <conditionalFormatting sqref="B51:W54">
    <cfRule type="expression" dxfId="354" priority="18">
      <formula>B51&gt;$AG51</formula>
    </cfRule>
  </conditionalFormatting>
  <conditionalFormatting sqref="B53:W54">
    <cfRule type="expression" dxfId="353" priority="17">
      <formula>B$9&lt;8/24</formula>
    </cfRule>
  </conditionalFormatting>
  <conditionalFormatting sqref="B55:W55">
    <cfRule type="expression" dxfId="352" priority="38">
      <formula>B55&gt;$AG55</formula>
    </cfRule>
  </conditionalFormatting>
  <conditionalFormatting sqref="B9:AF52">
    <cfRule type="expression" dxfId="351" priority="29">
      <formula>B$9&gt;=20/24</formula>
    </cfRule>
    <cfRule type="expression" dxfId="350" priority="30">
      <formula>AND(B$9&gt;=14/24,B$9&lt;20/24)</formula>
    </cfRule>
    <cfRule type="expression" dxfId="349" priority="31">
      <formula>AND(B$9&gt;=8/24,B$9&lt;14/24)</formula>
    </cfRule>
    <cfRule type="expression" dxfId="348" priority="32">
      <formula>B$9&lt;8/24</formula>
    </cfRule>
  </conditionalFormatting>
  <conditionalFormatting sqref="B53:AF54">
    <cfRule type="expression" dxfId="347" priority="14">
      <formula>B$9&gt;=20/24</formula>
    </cfRule>
    <cfRule type="expression" dxfId="346" priority="15">
      <formula>AND(B$9&gt;=14/24,B$9&lt;20/24)</formula>
    </cfRule>
    <cfRule type="expression" dxfId="345" priority="16">
      <formula>AND(B$9&gt;=8/24,B$9&lt;14/24)</formula>
    </cfRule>
  </conditionalFormatting>
  <conditionalFormatting sqref="B55:AF57">
    <cfRule type="expression" dxfId="344" priority="35">
      <formula>AND(B$9&gt;=14/24,B$9&lt;20/24)</formula>
    </cfRule>
    <cfRule type="expression" dxfId="343" priority="34">
      <formula>B$9&gt;=20/24</formula>
    </cfRule>
    <cfRule type="expression" dxfId="342" priority="36">
      <formula>AND(B$9&gt;=8/24,B$9&lt;14/24)</formula>
    </cfRule>
  </conditionalFormatting>
  <conditionalFormatting sqref="B56:AF61">
    <cfRule type="expression" dxfId="341" priority="33">
      <formula>B56&gt;$AG56</formula>
    </cfRule>
  </conditionalFormatting>
  <conditionalFormatting sqref="B59:AF61">
    <cfRule type="expression" dxfId="340" priority="47">
      <formula>B$9&lt;8/24</formula>
    </cfRule>
    <cfRule type="expression" dxfId="339" priority="46">
      <formula>AND(B$9&gt;=8/24,B$9&lt;14/24)</formula>
    </cfRule>
    <cfRule type="expression" dxfId="338" priority="45">
      <formula>AND(B$9&gt;=14/24,B$9&lt;20/24)</formula>
    </cfRule>
    <cfRule type="expression" dxfId="337" priority="44">
      <formula>B$9&gt;=20/24</formula>
    </cfRule>
  </conditionalFormatting>
  <conditionalFormatting sqref="B63:AF74">
    <cfRule type="expression" dxfId="336" priority="23">
      <formula>B63&gt;$AG63</formula>
    </cfRule>
  </conditionalFormatting>
  <conditionalFormatting sqref="B77:AF79">
    <cfRule type="expression" dxfId="335" priority="50">
      <formula>AND(B$9&gt;=14/24,B$9&lt;20/24)</formula>
    </cfRule>
    <cfRule type="expression" dxfId="334" priority="49">
      <formula>B$9&gt;=20/24</formula>
    </cfRule>
    <cfRule type="expression" dxfId="333" priority="48">
      <formula>B77&gt;$AG77</formula>
    </cfRule>
    <cfRule type="expression" dxfId="332" priority="51">
      <formula>AND(B$9&gt;=8/24,B$9&lt;14/24)</formula>
    </cfRule>
    <cfRule type="expression" dxfId="331" priority="52">
      <formula>B$9&lt;8/24</formula>
    </cfRule>
  </conditionalFormatting>
  <conditionalFormatting sqref="B81:AF99">
    <cfRule type="expression" dxfId="330" priority="19">
      <formula>B$9&gt;=20/24</formula>
    </cfRule>
    <cfRule type="expression" dxfId="329" priority="20">
      <formula>AND(B$9&gt;=14/24,B$9&lt;20/24)</formula>
    </cfRule>
    <cfRule type="expression" dxfId="328" priority="22">
      <formula>B$9&lt;8/24</formula>
    </cfRule>
    <cfRule type="expression" dxfId="327" priority="21">
      <formula>AND(B$9&gt;=8/24,B$9&lt;14/24)</formula>
    </cfRule>
  </conditionalFormatting>
  <conditionalFormatting sqref="B101:AF117">
    <cfRule type="expression" dxfId="326" priority="10">
      <formula>B$9&gt;=20/24</formula>
    </cfRule>
    <cfRule type="expression" dxfId="325" priority="11">
      <formula>AND(B$9&gt;=14/24,B$9&lt;20/24)</formula>
    </cfRule>
    <cfRule type="expression" dxfId="324" priority="12">
      <formula>AND(B$9&gt;=8/24,B$9&lt;14/24)</formula>
    </cfRule>
    <cfRule type="expression" dxfId="323" priority="13">
      <formula>B$9&lt;8/24</formula>
    </cfRule>
  </conditionalFormatting>
  <conditionalFormatting sqref="B119:AF137">
    <cfRule type="expression" dxfId="322" priority="5">
      <formula>B$9&gt;=20/24</formula>
    </cfRule>
    <cfRule type="expression" dxfId="321" priority="6">
      <formula>AND(B$9&gt;=14/24,B$9&lt;20/24)</formula>
    </cfRule>
    <cfRule type="expression" dxfId="320" priority="7">
      <formula>AND(B$9&gt;=8/24,B$9&lt;14/24)</formula>
    </cfRule>
    <cfRule type="expression" dxfId="319" priority="8">
      <formula>B$9&lt;8/24</formula>
    </cfRule>
  </conditionalFormatting>
  <conditionalFormatting sqref="B244:AF244 B246:B252 D246:AF252 U260:AF260">
    <cfRule type="expression" dxfId="318" priority="111">
      <formula>B$9&gt;=20/24</formula>
    </cfRule>
    <cfRule type="expression" dxfId="317" priority="114">
      <formula>B$9&lt;8/24</formula>
    </cfRule>
    <cfRule type="expression" dxfId="316" priority="113">
      <formula>AND(B$9&gt;=8/24,B$9&lt;14/24)</formula>
    </cfRule>
    <cfRule type="expression" dxfId="315" priority="112">
      <formula>AND(B$9&gt;=14/24,B$9&lt;20/24)</formula>
    </cfRule>
  </conditionalFormatting>
  <conditionalFormatting sqref="B62:AG62">
    <cfRule type="expression" dxfId="314" priority="54">
      <formula>B$9&gt;=20/24</formula>
    </cfRule>
    <cfRule type="expression" dxfId="313" priority="55">
      <formula>AND(B$9&gt;=14/24,B$9&lt;20/24)</formula>
    </cfRule>
    <cfRule type="expression" dxfId="312" priority="53">
      <formula>B62&gt;$AG62</formula>
    </cfRule>
    <cfRule type="expression" dxfId="311" priority="57">
      <formula>B$9&lt;8/24</formula>
    </cfRule>
    <cfRule type="expression" dxfId="310" priority="56">
      <formula>AND(B$9&gt;=8/24,B$9&lt;14/24)</formula>
    </cfRule>
  </conditionalFormatting>
  <conditionalFormatting sqref="B75:AG76 B80:AG80">
    <cfRule type="expression" dxfId="309" priority="39">
      <formula>B75&gt;$AG75</formula>
    </cfRule>
  </conditionalFormatting>
  <conditionalFormatting sqref="B80:AG80">
    <cfRule type="expression" dxfId="308" priority="42">
      <formula>AND(B$9&gt;=8/24,B$9&lt;14/24)</formula>
    </cfRule>
    <cfRule type="expression" dxfId="307" priority="43">
      <formula>B$9&lt;8/24</formula>
    </cfRule>
    <cfRule type="expression" dxfId="306" priority="41">
      <formula>AND(B$9&gt;=14/24,B$9&lt;20/24)</formula>
    </cfRule>
    <cfRule type="expression" dxfId="305" priority="40">
      <formula>B$9&gt;=20/24</formula>
    </cfRule>
  </conditionalFormatting>
  <conditionalFormatting sqref="I63:Q65">
    <cfRule type="expression" dxfId="304" priority="93">
      <formula>AND(I$9&gt;=14/24,I$9&lt;20/24)</formula>
    </cfRule>
    <cfRule type="expression" dxfId="303" priority="92">
      <formula>I$9&gt;=20/24</formula>
    </cfRule>
    <cfRule type="expression" dxfId="302" priority="95">
      <formula>I$9&lt;8/24</formula>
    </cfRule>
    <cfRule type="expression" dxfId="301" priority="94">
      <formula>AND(I$9&gt;=8/24,I$9&lt;14/24)</formula>
    </cfRule>
  </conditionalFormatting>
  <conditionalFormatting sqref="I68:S68">
    <cfRule type="expression" dxfId="300" priority="72">
      <formula>I$9&lt;8/24</formula>
    </cfRule>
    <cfRule type="expression" dxfId="299" priority="69">
      <formula>I$9&gt;=20/24</formula>
    </cfRule>
    <cfRule type="expression" dxfId="298" priority="70">
      <formula>AND(I$9&gt;=14/24,I$9&lt;20/24)</formula>
    </cfRule>
    <cfRule type="expression" dxfId="297" priority="71">
      <formula>AND(I$9&gt;=8/24,I$9&lt;14/24)</formula>
    </cfRule>
  </conditionalFormatting>
  <conditionalFormatting sqref="I69:AF74">
    <cfRule type="expression" dxfId="296" priority="59">
      <formula>I$9&gt;=20/24</formula>
    </cfRule>
    <cfRule type="expression" dxfId="295" priority="60">
      <formula>AND(I$9&gt;=14/24,I$9&lt;20/24)</formula>
    </cfRule>
    <cfRule type="expression" dxfId="294" priority="61">
      <formula>AND(I$9&gt;=8/24,I$9&lt;14/24)</formula>
    </cfRule>
    <cfRule type="expression" dxfId="293" priority="62">
      <formula>I$9&lt;8/24</formula>
    </cfRule>
  </conditionalFormatting>
  <conditionalFormatting sqref="M66:Q67">
    <cfRule type="expression" dxfId="292" priority="2">
      <formula>AND(M$9&gt;=14/24,M$9&lt;20/24)</formula>
    </cfRule>
    <cfRule type="expression" dxfId="291" priority="3">
      <formula>AND(M$9&gt;=8/24,M$9&lt;14/24)</formula>
    </cfRule>
    <cfRule type="expression" dxfId="290" priority="4">
      <formula>M$9&lt;8/24</formula>
    </cfRule>
    <cfRule type="expression" dxfId="289" priority="1">
      <formula>M$9&gt;=20/24</formula>
    </cfRule>
  </conditionalFormatting>
  <conditionalFormatting sqref="O3:P3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R63:R67">
    <cfRule type="expression" dxfId="288" priority="96">
      <formula>R$9&gt;=20/24</formula>
    </cfRule>
    <cfRule type="expression" dxfId="287" priority="97">
      <formula>AND(R$9&gt;=14/24,R$9&lt;20/24)</formula>
    </cfRule>
    <cfRule type="expression" dxfId="286" priority="98">
      <formula>AND(R$9&gt;=8/24,R$9&lt;14/24)</formula>
    </cfRule>
    <cfRule type="expression" dxfId="285" priority="99">
      <formula>R$9&lt;8/24</formula>
    </cfRule>
  </conditionalFormatting>
  <conditionalFormatting sqref="R55:W56 B55:Q57">
    <cfRule type="expression" dxfId="284" priority="37">
      <formula>B$9&lt;8/24</formula>
    </cfRule>
  </conditionalFormatting>
  <conditionalFormatting sqref="S8 AB8 B8 M8">
    <cfRule type="expression" dxfId="283" priority="117">
      <formula>C$9&gt;=20/24</formula>
    </cfRule>
  </conditionalFormatting>
  <conditionalFormatting sqref="S8">
    <cfRule type="expression" dxfId="282" priority="107">
      <formula>U$9&lt;8/24</formula>
    </cfRule>
    <cfRule type="expression" dxfId="281" priority="106">
      <formula>AND(U$9&gt;=8/24,U$9&lt;14/24)</formula>
    </cfRule>
    <cfRule type="expression" dxfId="280" priority="105">
      <formula>AND(U$9&gt;=14/24,U$9&lt;20/24)</formula>
    </cfRule>
    <cfRule type="expression" dxfId="279" priority="104">
      <formula>U$9&gt;=20/24</formula>
    </cfRule>
  </conditionalFormatting>
  <conditionalFormatting sqref="S63:AF68">
    <cfRule type="expression" dxfId="278" priority="64">
      <formula>AND(S$9&gt;=14/24,S$9&lt;20/24)</formula>
    </cfRule>
    <cfRule type="expression" dxfId="277" priority="65">
      <formula>AND(S$9&gt;=8/24,S$9&lt;14/24)</formula>
    </cfRule>
    <cfRule type="expression" dxfId="276" priority="63">
      <formula>S$9&gt;=20/24</formula>
    </cfRule>
    <cfRule type="expression" dxfId="275" priority="66">
      <formula>S$9&lt;8/24</formula>
    </cfRule>
  </conditionalFormatting>
  <conditionalFormatting sqref="T260">
    <cfRule type="expression" dxfId="274" priority="132">
      <formula>AX$9&lt;8/24</formula>
    </cfRule>
    <cfRule type="expression" dxfId="273" priority="129">
      <formula>AX$9&gt;=20/24</formula>
    </cfRule>
    <cfRule type="expression" dxfId="272" priority="130">
      <formula>AND(AX$9&gt;=14/24,AX$9&lt;20/24)</formula>
    </cfRule>
    <cfRule type="expression" dxfId="271" priority="131">
      <formula>AND(AX$9&gt;=8/24,AX$9&lt;14/24)</formula>
    </cfRule>
  </conditionalFormatting>
  <conditionalFormatting sqref="T11:AA11 B11:S50 AB11:AF52 T12:W50 X12:AA52">
    <cfRule type="expression" dxfId="270" priority="28">
      <formula>B11&gt;$AG11</formula>
    </cfRule>
  </conditionalFormatting>
  <conditionalFormatting sqref="V3 AB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X53:AA56 AB53:AF57 B56:W56 R57:AA57">
    <cfRule type="expression" dxfId="269" priority="67">
      <formula>B$9&lt;8/24</formula>
    </cfRule>
  </conditionalFormatting>
  <conditionalFormatting sqref="X53:AF55">
    <cfRule type="expression" dxfId="268" priority="68">
      <formula>X53&gt;$AG53</formula>
    </cfRule>
  </conditionalFormatting>
  <conditionalFormatting sqref="AB8">
    <cfRule type="expression" dxfId="267" priority="100">
      <formula>AD$9&gt;=20/24</formula>
    </cfRule>
    <cfRule type="expression" dxfId="266" priority="101">
      <formula>AND(AD$9&gt;=14/24,AD$9&lt;20/24)</formula>
    </cfRule>
    <cfRule type="expression" dxfId="265" priority="102">
      <formula>AND(AD$9&gt;=8/24,AD$9&lt;14/24)</formula>
    </cfRule>
    <cfRule type="expression" dxfId="264" priority="103">
      <formula>AD$9&lt;8/24</formula>
    </cfRule>
  </conditionalFormatting>
  <conditionalFormatting sqref="AG58">
    <cfRule type="expression" dxfId="263" priority="87">
      <formula>AG58&gt;$AG58</formula>
    </cfRule>
  </conditionalFormatting>
  <conditionalFormatting sqref="AG97">
    <cfRule type="expression" dxfId="262" priority="89">
      <formula>AND(AG$9&gt;=14/24,AG$9&lt;20/24)</formula>
    </cfRule>
    <cfRule type="expression" dxfId="261" priority="90">
      <formula>AND(AG$9&gt;=8/24,AG$9&lt;14/24)</formula>
    </cfRule>
    <cfRule type="expression" dxfId="260" priority="91">
      <formula>AG$9&lt;8/24</formula>
    </cfRule>
    <cfRule type="expression" dxfId="259" priority="88">
      <formula>AG$9&gt;=20/24</formula>
    </cfRule>
  </conditionalFormatting>
  <conditionalFormatting sqref="AG260">
    <cfRule type="expression" dxfId="258" priority="124">
      <formula>B$9&lt;8/24</formula>
    </cfRule>
    <cfRule type="expression" dxfId="257" priority="121">
      <formula>B$9&gt;=20/24</formula>
    </cfRule>
    <cfRule type="expression" dxfId="256" priority="122">
      <formula>AND(B$9&gt;=14/24,B$9&lt;20/24)</formula>
    </cfRule>
    <cfRule type="expression" dxfId="255" priority="123">
      <formula>AND(B$9&gt;=8/24,B$9&lt;14/24)</formula>
    </cfRule>
  </conditionalFormatting>
  <conditionalFormatting sqref="AH260:AX260">
    <cfRule type="expression" dxfId="254" priority="125">
      <formula>AG$9&gt;=20/24</formula>
    </cfRule>
    <cfRule type="expression" dxfId="253" priority="126">
      <formula>AND(AG$9&gt;=14/24,AG$9&lt;20/24)</formula>
    </cfRule>
    <cfRule type="expression" dxfId="252" priority="127">
      <formula>AND(AG$9&gt;=8/24,AG$9&lt;14/24)</formula>
    </cfRule>
    <cfRule type="expression" dxfId="251" priority="128">
      <formula>AG$9&lt;8/24</formula>
    </cfRule>
  </conditionalFormatting>
  <conditionalFormatting sqref="AL4:AL6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50" priority="134">
      <formula>AJ$9&gt;=20/24</formula>
    </cfRule>
    <cfRule type="expression" dxfId="249" priority="135">
      <formula>AND(AJ$9&gt;=14/24,AJ$9&lt;20/24)</formula>
    </cfRule>
    <cfRule type="expression" dxfId="248" priority="136">
      <formula>AND(AJ$9&gt;=8/24,AJ$9&lt;14/24)</formula>
    </cfRule>
    <cfRule type="expression" dxfId="247" priority="137">
      <formula>AJ$9&lt;8/24</formula>
    </cfRule>
  </conditionalFormatting>
  <conditionalFormatting sqref="AL88:AN88 AL94:AN94">
    <cfRule type="expression" dxfId="246" priority="81">
      <formula>AND(AL$9&gt;=14/24,AL$9&lt;20/24)</formula>
    </cfRule>
    <cfRule type="expression" dxfId="245" priority="80">
      <formula>AL$9&gt;=20/24</formula>
    </cfRule>
    <cfRule type="expression" dxfId="244" priority="83">
      <formula>AL$9&lt;8/24</formula>
    </cfRule>
    <cfRule type="expression" dxfId="243" priority="82">
      <formula>AND(AL$9&gt;=8/24,AL$9&lt;14/24)</formula>
    </cfRule>
  </conditionalFormatting>
  <conditionalFormatting sqref="AN89:AN92">
    <cfRule type="expression" dxfId="242" priority="79">
      <formula>AN$9&lt;8/24</formula>
    </cfRule>
    <cfRule type="expression" dxfId="241" priority="78">
      <formula>AND(AN$9&gt;=8/24,AN$9&lt;14/24)</formula>
    </cfRule>
    <cfRule type="expression" dxfId="240" priority="77">
      <formula>AND(AN$9&gt;=14/24,AN$9&lt;20/24)</formula>
    </cfRule>
    <cfRule type="expression" dxfId="239" priority="76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8C73-4D1F-4368-98C8-3DFE25774304}">
  <dimension ref="A1:CJ293"/>
  <sheetViews>
    <sheetView zoomScale="106" workbookViewId="0">
      <pane xSplit="1" ySplit="10" topLeftCell="B11" activePane="bottomRight" state="frozen"/>
      <selection activeCell="P118" sqref="P118"/>
      <selection pane="topRight" activeCell="P118" sqref="P118"/>
      <selection pane="bottomLeft" activeCell="P118" sqref="P118"/>
      <selection pane="bottomRight" activeCell="Z35" sqref="Z3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0.25" hidden="1" x14ac:dyDescent="0.25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46" t="e">
        <f ca="1">"2080/"&amp;"09/"&amp;INT(MID(CELL("filename",D6),FIND("]",CELL("filename",D6))+1,200))</f>
        <v>#VALUE!</v>
      </c>
      <c r="C4" s="246"/>
      <c r="D4" s="246"/>
      <c r="E4" s="247" t="e">
        <f ca="1">"2080/"&amp;"09/"&amp;INT(MID(CELL("filename",G6),FIND("]",CELL("filename",G6))+1,200))</f>
        <v>#VALUE!</v>
      </c>
      <c r="F4" s="247"/>
      <c r="G4" s="247"/>
      <c r="H4" s="247" t="e">
        <f ca="1">TEXT(E4,"dddd")</f>
        <v>#VALUE!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345</v>
      </c>
      <c r="C5" s="30">
        <f t="shared" si="0"/>
        <v>359.20000000000005</v>
      </c>
      <c r="D5" s="30">
        <f t="shared" si="0"/>
        <v>343</v>
      </c>
      <c r="E5" s="30">
        <f t="shared" si="0"/>
        <v>347.5</v>
      </c>
      <c r="F5" s="30">
        <f t="shared" si="0"/>
        <v>347.90000000000003</v>
      </c>
      <c r="G5" s="30">
        <f t="shared" si="0"/>
        <v>374.79999999999995</v>
      </c>
      <c r="H5" s="30">
        <f t="shared" si="0"/>
        <v>374.79999999999995</v>
      </c>
      <c r="I5" s="30">
        <f t="shared" si="0"/>
        <v>443</v>
      </c>
      <c r="J5" s="30">
        <f t="shared" si="0"/>
        <v>421.4</v>
      </c>
      <c r="K5" s="30">
        <f t="shared" si="0"/>
        <v>379.2</v>
      </c>
      <c r="L5" s="30">
        <f t="shared" si="0"/>
        <v>183.8</v>
      </c>
      <c r="M5" s="30">
        <f t="shared" si="0"/>
        <v>225.5</v>
      </c>
      <c r="N5" s="30">
        <f t="shared" si="0"/>
        <v>210.9</v>
      </c>
      <c r="O5" s="30">
        <f t="shared" si="0"/>
        <v>309.5</v>
      </c>
      <c r="P5" s="30">
        <f t="shared" si="0"/>
        <v>432.5</v>
      </c>
      <c r="Q5" s="30">
        <f t="shared" si="0"/>
        <v>422</v>
      </c>
      <c r="R5" s="30">
        <f t="shared" si="0"/>
        <v>417.1</v>
      </c>
      <c r="S5" s="30">
        <f t="shared" si="0"/>
        <v>411.5</v>
      </c>
      <c r="T5" s="30">
        <f t="shared" si="0"/>
        <v>404.6</v>
      </c>
      <c r="U5" s="30">
        <f t="shared" si="0"/>
        <v>375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318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1676MW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>B100</f>
        <v>1122.6399999999999</v>
      </c>
      <c r="C7" s="35">
        <f t="shared" ref="C7:AF7" si="1">C100</f>
        <v>1071.6399999999999</v>
      </c>
      <c r="D7" s="35">
        <f t="shared" si="1"/>
        <v>1084.8400000000001</v>
      </c>
      <c r="E7" s="35">
        <f t="shared" si="1"/>
        <v>1067.6399999999999</v>
      </c>
      <c r="F7" s="35">
        <f t="shared" si="1"/>
        <v>1071.1399999999999</v>
      </c>
      <c r="G7" s="35">
        <f t="shared" si="1"/>
        <v>1181.3400000000001</v>
      </c>
      <c r="H7" s="35">
        <f t="shared" si="1"/>
        <v>1271.6400000000001</v>
      </c>
      <c r="I7" s="35">
        <f t="shared" si="1"/>
        <v>1345.94</v>
      </c>
      <c r="J7" s="35">
        <f t="shared" si="1"/>
        <v>1452.04</v>
      </c>
      <c r="K7" s="35">
        <f t="shared" si="1"/>
        <v>1423.74</v>
      </c>
      <c r="L7" s="35">
        <f t="shared" si="1"/>
        <v>1660.5400000000002</v>
      </c>
      <c r="M7" s="35">
        <f t="shared" si="1"/>
        <v>1563.6100000000001</v>
      </c>
      <c r="N7" s="35">
        <f t="shared" si="1"/>
        <v>1495.71</v>
      </c>
      <c r="O7" s="35">
        <f t="shared" si="1"/>
        <v>1371.74</v>
      </c>
      <c r="P7" s="35">
        <f t="shared" si="1"/>
        <v>1341.64</v>
      </c>
      <c r="Q7" s="35">
        <f t="shared" si="1"/>
        <v>1241.1400000000001</v>
      </c>
      <c r="R7" s="35">
        <f t="shared" si="1"/>
        <v>1231.44</v>
      </c>
      <c r="S7" s="35">
        <f t="shared" si="1"/>
        <v>1169.04</v>
      </c>
      <c r="T7" s="35">
        <f t="shared" si="1"/>
        <v>1144.3400000000001</v>
      </c>
      <c r="U7" s="35">
        <f t="shared" si="1"/>
        <v>1134.8400000000001</v>
      </c>
      <c r="V7" s="35">
        <f t="shared" si="1"/>
        <v>1106.04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32.5</v>
      </c>
      <c r="C11" s="45">
        <v>32.5</v>
      </c>
      <c r="D11" s="45">
        <v>32.5</v>
      </c>
      <c r="E11" s="45">
        <v>32.5</v>
      </c>
      <c r="F11" s="45">
        <v>32.5</v>
      </c>
      <c r="G11" s="45">
        <v>32.5</v>
      </c>
      <c r="H11" s="45">
        <v>32.5</v>
      </c>
      <c r="I11" s="45">
        <v>32.5</v>
      </c>
      <c r="J11" s="45">
        <v>32.5</v>
      </c>
      <c r="K11" s="45">
        <v>32.5</v>
      </c>
      <c r="L11" s="45">
        <v>32.5</v>
      </c>
      <c r="M11" s="45">
        <v>32.5</v>
      </c>
      <c r="N11" s="45">
        <v>32.5</v>
      </c>
      <c r="O11" s="45">
        <v>32.5</v>
      </c>
      <c r="P11" s="45">
        <v>32.5</v>
      </c>
      <c r="Q11" s="45">
        <v>32.5</v>
      </c>
      <c r="R11" s="45">
        <v>32.5</v>
      </c>
      <c r="S11" s="45">
        <v>32.5</v>
      </c>
      <c r="T11" s="45">
        <v>33</v>
      </c>
      <c r="U11" s="45">
        <v>33</v>
      </c>
      <c r="V11" s="45">
        <v>33</v>
      </c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84" si="2">MAX(B11:AF11)</f>
        <v>33</v>
      </c>
      <c r="AI11" s="48">
        <f t="shared" ref="AI11:AI84" si="3">MIN(B11:AF11)</f>
        <v>32.5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>
        <v>11.5</v>
      </c>
      <c r="C12" s="45">
        <v>11.5</v>
      </c>
      <c r="D12" s="45">
        <v>11.5</v>
      </c>
      <c r="E12" s="45">
        <v>11.5</v>
      </c>
      <c r="F12" s="45">
        <v>11.5</v>
      </c>
      <c r="G12" s="45">
        <v>11.5</v>
      </c>
      <c r="H12" s="45">
        <v>11.5</v>
      </c>
      <c r="I12" s="45">
        <v>11.5</v>
      </c>
      <c r="J12" s="45">
        <v>11.5</v>
      </c>
      <c r="K12" s="45">
        <v>11.5</v>
      </c>
      <c r="L12" s="45">
        <v>11.5</v>
      </c>
      <c r="M12" s="45">
        <v>11.5</v>
      </c>
      <c r="N12" s="45">
        <v>11.5</v>
      </c>
      <c r="O12" s="45">
        <v>11.5</v>
      </c>
      <c r="P12" s="45">
        <v>11.5</v>
      </c>
      <c r="Q12" s="45">
        <v>11.5</v>
      </c>
      <c r="R12" s="45">
        <v>11.5</v>
      </c>
      <c r="S12" s="45">
        <v>11.5</v>
      </c>
      <c r="T12" s="45">
        <v>11.5</v>
      </c>
      <c r="U12" s="45">
        <v>11.5</v>
      </c>
      <c r="V12" s="45">
        <v>11.5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11.5</v>
      </c>
      <c r="AI12" s="48">
        <f t="shared" si="3"/>
        <v>11.5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16.100000000000001</v>
      </c>
      <c r="C14" s="45">
        <v>16.100000000000001</v>
      </c>
      <c r="D14" s="45">
        <v>16.100000000000001</v>
      </c>
      <c r="E14" s="45">
        <v>16.100000000000001</v>
      </c>
      <c r="F14" s="45">
        <v>16.100000000000001</v>
      </c>
      <c r="G14" s="45">
        <v>16.100000000000001</v>
      </c>
      <c r="H14" s="45">
        <v>16.100000000000001</v>
      </c>
      <c r="I14" s="45">
        <v>16.100000000000001</v>
      </c>
      <c r="J14" s="45">
        <v>16.100000000000001</v>
      </c>
      <c r="K14" s="45">
        <v>16.100000000000001</v>
      </c>
      <c r="L14" s="45">
        <v>16.100000000000001</v>
      </c>
      <c r="M14" s="45">
        <v>16.100000000000001</v>
      </c>
      <c r="N14" s="45">
        <v>16.100000000000001</v>
      </c>
      <c r="O14" s="45">
        <v>16.100000000000001</v>
      </c>
      <c r="P14" s="45">
        <v>16.100000000000001</v>
      </c>
      <c r="Q14" s="45">
        <v>16.100000000000001</v>
      </c>
      <c r="R14" s="45">
        <v>16.100000000000001</v>
      </c>
      <c r="S14" s="45">
        <v>16.100000000000001</v>
      </c>
      <c r="T14" s="45">
        <v>16.100000000000001</v>
      </c>
      <c r="U14" s="45">
        <v>16.100000000000001</v>
      </c>
      <c r="V14" s="45">
        <v>16.100000000000001</v>
      </c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6">
        <v>52.4</v>
      </c>
      <c r="AH14" s="47">
        <f t="shared" si="2"/>
        <v>16.100000000000001</v>
      </c>
      <c r="AI14" s="48">
        <f t="shared" si="3"/>
        <v>16.100000000000001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36.9</v>
      </c>
      <c r="C15" s="45">
        <v>36.9</v>
      </c>
      <c r="D15" s="45">
        <v>36.9</v>
      </c>
      <c r="E15" s="45">
        <v>36.9</v>
      </c>
      <c r="F15" s="45">
        <v>36.9</v>
      </c>
      <c r="G15" s="45">
        <v>36.9</v>
      </c>
      <c r="H15" s="45">
        <v>36.9</v>
      </c>
      <c r="I15" s="45">
        <v>36.9</v>
      </c>
      <c r="J15" s="45">
        <v>36.9</v>
      </c>
      <c r="K15" s="45">
        <v>36.9</v>
      </c>
      <c r="L15" s="45">
        <v>36.9</v>
      </c>
      <c r="M15" s="45">
        <v>36.9</v>
      </c>
      <c r="N15" s="45">
        <v>36.9</v>
      </c>
      <c r="O15" s="45">
        <v>36.9</v>
      </c>
      <c r="P15" s="45">
        <v>36.9</v>
      </c>
      <c r="Q15" s="45">
        <v>36.9</v>
      </c>
      <c r="R15" s="45">
        <v>36.9</v>
      </c>
      <c r="S15" s="45">
        <v>36.9</v>
      </c>
      <c r="T15" s="45">
        <v>36.9</v>
      </c>
      <c r="U15" s="45">
        <v>36.9</v>
      </c>
      <c r="V15" s="45">
        <v>36.9</v>
      </c>
      <c r="W15" s="51"/>
      <c r="X15" s="51"/>
      <c r="Y15" s="51"/>
      <c r="Z15" s="45"/>
      <c r="AA15" s="45"/>
      <c r="AB15" s="45"/>
      <c r="AC15" s="45"/>
      <c r="AD15" s="45"/>
      <c r="AE15" s="45"/>
      <c r="AF15" s="45"/>
      <c r="AG15" s="49">
        <v>50</v>
      </c>
      <c r="AH15" s="47">
        <f t="shared" si="2"/>
        <v>36.9</v>
      </c>
      <c r="AI15" s="48">
        <f t="shared" si="3"/>
        <v>36.9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17.8</v>
      </c>
      <c r="C16" s="45">
        <v>17.8</v>
      </c>
      <c r="D16" s="45">
        <v>17.8</v>
      </c>
      <c r="E16" s="45">
        <v>17.8</v>
      </c>
      <c r="F16" s="45">
        <v>17.8</v>
      </c>
      <c r="G16" s="45">
        <v>17.8</v>
      </c>
      <c r="H16" s="45">
        <v>17.8</v>
      </c>
      <c r="I16" s="45">
        <v>17.8</v>
      </c>
      <c r="J16" s="45">
        <v>17.8</v>
      </c>
      <c r="K16" s="45">
        <v>17.8</v>
      </c>
      <c r="L16" s="45">
        <v>17.8</v>
      </c>
      <c r="M16" s="45">
        <v>17.8</v>
      </c>
      <c r="N16" s="45">
        <v>17.8</v>
      </c>
      <c r="O16" s="45">
        <v>17.8</v>
      </c>
      <c r="P16" s="45">
        <v>17.8</v>
      </c>
      <c r="Q16" s="45">
        <v>17.8</v>
      </c>
      <c r="R16" s="45">
        <v>17.8</v>
      </c>
      <c r="S16" s="45">
        <v>17.8</v>
      </c>
      <c r="T16" s="45">
        <v>17.8</v>
      </c>
      <c r="U16" s="45">
        <v>17.8</v>
      </c>
      <c r="V16" s="45">
        <v>17.8</v>
      </c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45</v>
      </c>
      <c r="AH16" s="47">
        <f t="shared" si="2"/>
        <v>17.8</v>
      </c>
      <c r="AI16" s="48">
        <f t="shared" si="3"/>
        <v>17.8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</v>
      </c>
      <c r="C18" s="45">
        <v>9</v>
      </c>
      <c r="D18" s="45">
        <v>9</v>
      </c>
      <c r="E18" s="45">
        <v>9</v>
      </c>
      <c r="F18" s="45">
        <v>9</v>
      </c>
      <c r="G18" s="45">
        <v>9</v>
      </c>
      <c r="H18" s="45">
        <v>9</v>
      </c>
      <c r="I18" s="45">
        <v>9</v>
      </c>
      <c r="J18" s="45">
        <v>9</v>
      </c>
      <c r="K18" s="45">
        <v>9</v>
      </c>
      <c r="L18" s="45">
        <v>9</v>
      </c>
      <c r="M18" s="45">
        <v>9</v>
      </c>
      <c r="N18" s="45">
        <v>9</v>
      </c>
      <c r="O18" s="45">
        <v>9</v>
      </c>
      <c r="P18" s="45">
        <v>9</v>
      </c>
      <c r="Q18" s="45">
        <v>9</v>
      </c>
      <c r="R18" s="45">
        <v>9</v>
      </c>
      <c r="S18" s="45">
        <v>9</v>
      </c>
      <c r="T18" s="45">
        <v>9</v>
      </c>
      <c r="U18" s="45">
        <v>9</v>
      </c>
      <c r="V18" s="45">
        <v>9</v>
      </c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42</v>
      </c>
      <c r="AH18" s="47">
        <f t="shared" si="2"/>
        <v>9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9.9</v>
      </c>
      <c r="C22" s="45">
        <v>9.9</v>
      </c>
      <c r="D22" s="45">
        <v>9.9</v>
      </c>
      <c r="E22" s="45">
        <v>9.9</v>
      </c>
      <c r="F22" s="45">
        <v>9.9</v>
      </c>
      <c r="G22" s="45">
        <v>9.9</v>
      </c>
      <c r="H22" s="45">
        <v>9.9</v>
      </c>
      <c r="I22" s="45">
        <v>9.9</v>
      </c>
      <c r="J22" s="45">
        <v>9.9</v>
      </c>
      <c r="K22" s="45">
        <v>9.9</v>
      </c>
      <c r="L22" s="45">
        <v>9.9</v>
      </c>
      <c r="M22" s="45">
        <v>9.9</v>
      </c>
      <c r="N22" s="45">
        <v>9.9</v>
      </c>
      <c r="O22" s="45">
        <v>9.9</v>
      </c>
      <c r="P22" s="45">
        <v>9.9</v>
      </c>
      <c r="Q22" s="45">
        <v>9.9</v>
      </c>
      <c r="R22" s="45">
        <v>9.9</v>
      </c>
      <c r="S22" s="45">
        <v>9.9</v>
      </c>
      <c r="T22" s="45">
        <v>9.9</v>
      </c>
      <c r="U22" s="45">
        <v>9.9</v>
      </c>
      <c r="V22" s="45">
        <v>9.9</v>
      </c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2">
        <v>30</v>
      </c>
      <c r="AH22" s="47">
        <f t="shared" si="2"/>
        <v>9.9</v>
      </c>
      <c r="AI22" s="48">
        <f t="shared" si="3"/>
        <v>9.9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11.6</v>
      </c>
      <c r="C24" s="45">
        <v>11.6</v>
      </c>
      <c r="D24" s="45">
        <v>11.6</v>
      </c>
      <c r="E24" s="45">
        <v>11.6</v>
      </c>
      <c r="F24" s="45">
        <v>11.6</v>
      </c>
      <c r="G24" s="45">
        <v>11.6</v>
      </c>
      <c r="H24" s="45">
        <v>11.6</v>
      </c>
      <c r="I24" s="45">
        <v>11.6</v>
      </c>
      <c r="J24" s="45">
        <v>11.6</v>
      </c>
      <c r="K24" s="45">
        <v>11.6</v>
      </c>
      <c r="L24" s="45">
        <v>11.6</v>
      </c>
      <c r="M24" s="45">
        <v>11.6</v>
      </c>
      <c r="N24" s="45">
        <v>11.6</v>
      </c>
      <c r="O24" s="45">
        <v>11.6</v>
      </c>
      <c r="P24" s="45">
        <v>11.6</v>
      </c>
      <c r="Q24" s="45">
        <v>11.6</v>
      </c>
      <c r="R24" s="45">
        <v>11.6</v>
      </c>
      <c r="S24" s="45">
        <v>11.6</v>
      </c>
      <c r="T24" s="45">
        <v>11.6</v>
      </c>
      <c r="U24" s="45">
        <v>11.6</v>
      </c>
      <c r="V24" s="45">
        <v>11.6</v>
      </c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28</v>
      </c>
      <c r="AH24" s="47">
        <f t="shared" si="2"/>
        <v>11.6</v>
      </c>
      <c r="AI24" s="48">
        <f t="shared" si="3"/>
        <v>11.6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8.8000000000000007</v>
      </c>
      <c r="C25" s="45">
        <v>8.8000000000000007</v>
      </c>
      <c r="D25" s="45">
        <v>8.8000000000000007</v>
      </c>
      <c r="E25" s="45">
        <v>8.8000000000000007</v>
      </c>
      <c r="F25" s="45">
        <v>8.8000000000000007</v>
      </c>
      <c r="G25" s="45">
        <v>8.8000000000000007</v>
      </c>
      <c r="H25" s="45">
        <v>8.8000000000000007</v>
      </c>
      <c r="I25" s="45">
        <v>8.8000000000000007</v>
      </c>
      <c r="J25" s="45">
        <v>8.8000000000000007</v>
      </c>
      <c r="K25" s="45">
        <v>8.8000000000000007</v>
      </c>
      <c r="L25" s="45">
        <v>8.8000000000000007</v>
      </c>
      <c r="M25" s="45">
        <v>8.8000000000000007</v>
      </c>
      <c r="N25" s="45">
        <v>8.8000000000000007</v>
      </c>
      <c r="O25" s="45">
        <v>8.8000000000000007</v>
      </c>
      <c r="P25" s="45">
        <v>8.8000000000000007</v>
      </c>
      <c r="Q25" s="45">
        <v>8.8000000000000007</v>
      </c>
      <c r="R25" s="45">
        <v>8.8000000000000007</v>
      </c>
      <c r="S25" s="45">
        <v>8.8000000000000007</v>
      </c>
      <c r="T25" s="45">
        <v>8.8000000000000007</v>
      </c>
      <c r="U25" s="45">
        <v>8.8000000000000007</v>
      </c>
      <c r="V25" s="45">
        <v>8.8000000000000007</v>
      </c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2">
        <v>30</v>
      </c>
      <c r="AH25" s="47">
        <f t="shared" si="2"/>
        <v>8.8000000000000007</v>
      </c>
      <c r="AI25" s="48">
        <f t="shared" si="3"/>
        <v>8.8000000000000007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10.5</v>
      </c>
      <c r="C26" s="45">
        <v>10.5</v>
      </c>
      <c r="D26" s="45">
        <v>10.5</v>
      </c>
      <c r="E26" s="45">
        <v>10.5</v>
      </c>
      <c r="F26" s="45">
        <v>10.5</v>
      </c>
      <c r="G26" s="45">
        <v>10.5</v>
      </c>
      <c r="H26" s="45">
        <v>10.5</v>
      </c>
      <c r="I26" s="45">
        <v>10.5</v>
      </c>
      <c r="J26" s="45">
        <v>10.5</v>
      </c>
      <c r="K26" s="45">
        <v>10.5</v>
      </c>
      <c r="L26" s="45">
        <v>10.5</v>
      </c>
      <c r="M26" s="45">
        <v>10.5</v>
      </c>
      <c r="N26" s="45">
        <v>10.5</v>
      </c>
      <c r="O26" s="45">
        <v>10.5</v>
      </c>
      <c r="P26" s="45">
        <v>10.5</v>
      </c>
      <c r="Q26" s="45">
        <v>10.5</v>
      </c>
      <c r="R26" s="45">
        <v>10.5</v>
      </c>
      <c r="S26" s="45">
        <v>10.5</v>
      </c>
      <c r="T26" s="45">
        <v>10.5</v>
      </c>
      <c r="U26" s="45">
        <v>10.5</v>
      </c>
      <c r="V26" s="45">
        <v>10.5</v>
      </c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2"/>
        <v>10.5</v>
      </c>
      <c r="AI26" s="48">
        <f t="shared" si="3"/>
        <v>10.5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9.5</v>
      </c>
      <c r="C29" s="45">
        <v>9.5</v>
      </c>
      <c r="D29" s="45">
        <v>9.5</v>
      </c>
      <c r="E29" s="45">
        <v>9.5</v>
      </c>
      <c r="F29" s="45">
        <v>9.5</v>
      </c>
      <c r="G29" s="45">
        <v>9.5</v>
      </c>
      <c r="H29" s="45">
        <v>9.5</v>
      </c>
      <c r="I29" s="45">
        <v>9.5</v>
      </c>
      <c r="J29" s="45">
        <v>9.5</v>
      </c>
      <c r="K29" s="45">
        <v>9.5</v>
      </c>
      <c r="L29" s="45">
        <v>9.5</v>
      </c>
      <c r="M29" s="45">
        <v>9.5</v>
      </c>
      <c r="N29" s="45">
        <v>9.5</v>
      </c>
      <c r="O29" s="45">
        <v>9.5</v>
      </c>
      <c r="P29" s="45">
        <v>9.5</v>
      </c>
      <c r="Q29" s="45">
        <v>9.5</v>
      </c>
      <c r="R29" s="45">
        <v>9.5</v>
      </c>
      <c r="S29" s="45">
        <v>9.5</v>
      </c>
      <c r="T29" s="45">
        <v>9.5</v>
      </c>
      <c r="U29" s="45">
        <v>9.5</v>
      </c>
      <c r="V29" s="45">
        <v>9.5</v>
      </c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25</v>
      </c>
      <c r="AH29" s="47">
        <f t="shared" si="2"/>
        <v>9.5</v>
      </c>
      <c r="AI29" s="48">
        <f t="shared" si="3"/>
        <v>9.5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9.1999999999999993</v>
      </c>
      <c r="C30" s="45">
        <v>9.1999999999999993</v>
      </c>
      <c r="D30" s="45">
        <v>9.1999999999999993</v>
      </c>
      <c r="E30" s="45">
        <v>9.1999999999999993</v>
      </c>
      <c r="F30" s="45">
        <v>9.1999999999999993</v>
      </c>
      <c r="G30" s="45">
        <v>9.1999999999999993</v>
      </c>
      <c r="H30" s="45">
        <v>9.1999999999999993</v>
      </c>
      <c r="I30" s="45">
        <v>9.1999999999999993</v>
      </c>
      <c r="J30" s="45">
        <v>9.1999999999999993</v>
      </c>
      <c r="K30" s="45">
        <v>9.1999999999999993</v>
      </c>
      <c r="L30" s="45">
        <v>9.1999999999999993</v>
      </c>
      <c r="M30" s="45">
        <v>9.1999999999999993</v>
      </c>
      <c r="N30" s="45">
        <v>9.1999999999999993</v>
      </c>
      <c r="O30" s="45">
        <v>9.1999999999999993</v>
      </c>
      <c r="P30" s="45">
        <v>9.1999999999999993</v>
      </c>
      <c r="Q30" s="45">
        <v>9.1999999999999993</v>
      </c>
      <c r="R30" s="45">
        <v>9.1999999999999993</v>
      </c>
      <c r="S30" s="45">
        <v>9.1999999999999993</v>
      </c>
      <c r="T30" s="45">
        <v>9.1999999999999993</v>
      </c>
      <c r="U30" s="45">
        <v>9.1999999999999993</v>
      </c>
      <c r="V30" s="45">
        <v>9.1999999999999993</v>
      </c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23.5</v>
      </c>
      <c r="AH30" s="47">
        <f t="shared" si="2"/>
        <v>9.1999999999999993</v>
      </c>
      <c r="AI30" s="48">
        <f t="shared" si="3"/>
        <v>9.1999999999999993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9.9</v>
      </c>
      <c r="C34" s="45">
        <v>9.9</v>
      </c>
      <c r="D34" s="45">
        <v>9.9</v>
      </c>
      <c r="E34" s="45">
        <v>9.9</v>
      </c>
      <c r="F34" s="45">
        <v>9.9</v>
      </c>
      <c r="G34" s="45">
        <v>9.9</v>
      </c>
      <c r="H34" s="45">
        <v>9.9</v>
      </c>
      <c r="I34" s="45">
        <v>9.9</v>
      </c>
      <c r="J34" s="45">
        <v>9.9</v>
      </c>
      <c r="K34" s="45">
        <v>9.9</v>
      </c>
      <c r="L34" s="45">
        <v>9.9</v>
      </c>
      <c r="M34" s="45">
        <v>9.9</v>
      </c>
      <c r="N34" s="45">
        <v>9.9</v>
      </c>
      <c r="O34" s="45">
        <v>9.9</v>
      </c>
      <c r="P34" s="45">
        <v>9.9</v>
      </c>
      <c r="Q34" s="45">
        <v>9.9</v>
      </c>
      <c r="R34" s="45">
        <v>9.9</v>
      </c>
      <c r="S34" s="45">
        <v>9.9</v>
      </c>
      <c r="T34" s="45">
        <v>9.9</v>
      </c>
      <c r="U34" s="45">
        <v>9.9</v>
      </c>
      <c r="V34" s="45">
        <v>9.9</v>
      </c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22</v>
      </c>
      <c r="AH34" s="47">
        <f t="shared" si="2"/>
        <v>9.9</v>
      </c>
      <c r="AI34" s="48">
        <f t="shared" si="3"/>
        <v>9.9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552</v>
      </c>
      <c r="C58" s="60">
        <f t="shared" si="4"/>
        <v>552</v>
      </c>
      <c r="D58" s="60">
        <f t="shared" ref="D58:E58" si="5">SUM(D11:D56)</f>
        <v>552</v>
      </c>
      <c r="E58" s="60">
        <f t="shared" si="5"/>
        <v>552</v>
      </c>
      <c r="F58" s="60">
        <f t="shared" ref="F58:G58" si="6">SUM(F11:F56)</f>
        <v>552</v>
      </c>
      <c r="G58" s="60">
        <f t="shared" si="6"/>
        <v>552</v>
      </c>
      <c r="H58" s="60">
        <f t="shared" ref="H58:I58" si="7">SUM(H11:H56)</f>
        <v>552</v>
      </c>
      <c r="I58" s="60">
        <f t="shared" si="7"/>
        <v>552</v>
      </c>
      <c r="J58" s="60">
        <f t="shared" ref="J58:K58" si="8">SUM(J11:J56)</f>
        <v>552</v>
      </c>
      <c r="K58" s="60">
        <f t="shared" si="8"/>
        <v>552</v>
      </c>
      <c r="L58" s="60">
        <f t="shared" ref="L58" si="9">SUM(L11:L56)</f>
        <v>552</v>
      </c>
      <c r="M58" s="60">
        <f t="shared" ref="M58:AF58" si="10">SUM(M11:M56)</f>
        <v>552</v>
      </c>
      <c r="N58" s="60">
        <f t="shared" ref="N58" si="11">SUM(N11:N56)</f>
        <v>552</v>
      </c>
      <c r="O58" s="60">
        <f t="shared" si="10"/>
        <v>552</v>
      </c>
      <c r="P58" s="60">
        <f t="shared" si="10"/>
        <v>552</v>
      </c>
      <c r="Q58" s="60">
        <f t="shared" si="10"/>
        <v>552</v>
      </c>
      <c r="R58" s="60">
        <f t="shared" si="10"/>
        <v>552</v>
      </c>
      <c r="S58" s="60">
        <f t="shared" si="10"/>
        <v>552</v>
      </c>
      <c r="T58" s="60">
        <f t="shared" si="10"/>
        <v>552.5</v>
      </c>
      <c r="U58" s="60">
        <f t="shared" si="10"/>
        <v>552.5</v>
      </c>
      <c r="V58" s="60">
        <f t="shared" si="10"/>
        <v>552.5</v>
      </c>
      <c r="W58" s="60">
        <f t="shared" si="10"/>
        <v>0</v>
      </c>
      <c r="X58" s="60">
        <f t="shared" si="10"/>
        <v>0</v>
      </c>
      <c r="Y58" s="60">
        <f t="shared" si="10"/>
        <v>0</v>
      </c>
      <c r="Z58" s="60">
        <f t="shared" si="10"/>
        <v>0</v>
      </c>
      <c r="AA58" s="60">
        <f t="shared" si="10"/>
        <v>0</v>
      </c>
      <c r="AB58" s="60">
        <f t="shared" si="10"/>
        <v>0</v>
      </c>
      <c r="AC58" s="60">
        <f t="shared" si="10"/>
        <v>0</v>
      </c>
      <c r="AD58" s="60">
        <f t="shared" si="10"/>
        <v>0</v>
      </c>
      <c r="AE58" s="60">
        <f t="shared" si="10"/>
        <v>0</v>
      </c>
      <c r="AF58" s="60">
        <f t="shared" si="10"/>
        <v>0</v>
      </c>
      <c r="AG58" s="61">
        <f>SUM(AG14:AG56)</f>
        <v>1042.4000000000001</v>
      </c>
      <c r="AH58" s="47">
        <f t="shared" si="2"/>
        <v>552.5</v>
      </c>
      <c r="AI58" s="48">
        <f t="shared" si="3"/>
        <v>0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12</v>
      </c>
      <c r="I59" s="45">
        <v>50</v>
      </c>
      <c r="J59" s="45">
        <v>35</v>
      </c>
      <c r="K59" s="45">
        <v>35</v>
      </c>
      <c r="L59" s="45">
        <v>235</v>
      </c>
      <c r="M59" s="45">
        <v>315</v>
      </c>
      <c r="N59" s="45">
        <v>300</v>
      </c>
      <c r="O59" s="63">
        <v>270</v>
      </c>
      <c r="P59" s="63">
        <v>210</v>
      </c>
      <c r="Q59" s="63">
        <v>0</v>
      </c>
      <c r="R59" s="63">
        <v>0</v>
      </c>
      <c r="S59" s="63">
        <v>0</v>
      </c>
      <c r="T59" s="63">
        <v>0</v>
      </c>
      <c r="U59" s="45">
        <v>0</v>
      </c>
      <c r="V59" s="45">
        <v>0</v>
      </c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456</v>
      </c>
      <c r="AH59" s="47">
        <f t="shared" si="2"/>
        <v>315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</v>
      </c>
      <c r="C60" s="65">
        <v>34</v>
      </c>
      <c r="D60" s="65">
        <v>34</v>
      </c>
      <c r="E60" s="65">
        <v>34</v>
      </c>
      <c r="F60" s="65">
        <v>34</v>
      </c>
      <c r="G60" s="65">
        <v>34</v>
      </c>
      <c r="H60" s="65">
        <v>34</v>
      </c>
      <c r="I60" s="65">
        <v>34</v>
      </c>
      <c r="J60" s="65">
        <v>34</v>
      </c>
      <c r="K60" s="65">
        <v>34</v>
      </c>
      <c r="L60" s="65">
        <v>34</v>
      </c>
      <c r="M60" s="65">
        <v>34</v>
      </c>
      <c r="N60" s="65">
        <v>34</v>
      </c>
      <c r="O60" s="65">
        <v>34</v>
      </c>
      <c r="P60" s="65">
        <v>34</v>
      </c>
      <c r="Q60" s="65">
        <v>34</v>
      </c>
      <c r="R60" s="65">
        <v>34</v>
      </c>
      <c r="S60" s="65">
        <v>34</v>
      </c>
      <c r="T60" s="65">
        <v>34</v>
      </c>
      <c r="U60" s="65">
        <v>34</v>
      </c>
      <c r="V60" s="65">
        <v>34</v>
      </c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60</v>
      </c>
      <c r="AH60" s="47">
        <f t="shared" si="2"/>
        <v>34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18.100000000000001</v>
      </c>
      <c r="C61" s="67">
        <v>18.100000000000001</v>
      </c>
      <c r="D61" s="67">
        <v>18.100000000000001</v>
      </c>
      <c r="E61" s="67">
        <v>18.100000000000001</v>
      </c>
      <c r="F61" s="67">
        <v>18.100000000000001</v>
      </c>
      <c r="G61" s="67">
        <v>18.100000000000001</v>
      </c>
      <c r="H61" s="67">
        <v>18.100000000000001</v>
      </c>
      <c r="I61" s="67">
        <v>18.100000000000001</v>
      </c>
      <c r="J61" s="67">
        <v>18.100000000000001</v>
      </c>
      <c r="K61" s="67">
        <v>18.100000000000001</v>
      </c>
      <c r="L61" s="67">
        <v>18.100000000000001</v>
      </c>
      <c r="M61" s="67">
        <v>18.100000000000001</v>
      </c>
      <c r="N61" s="67">
        <v>13.2</v>
      </c>
      <c r="O61" s="67">
        <v>13.2</v>
      </c>
      <c r="P61" s="67">
        <v>13.2</v>
      </c>
      <c r="Q61" s="67">
        <v>13.2</v>
      </c>
      <c r="R61" s="67">
        <v>13.1</v>
      </c>
      <c r="S61" s="67">
        <v>13.1</v>
      </c>
      <c r="T61" s="67">
        <v>13.1</v>
      </c>
      <c r="U61" s="67">
        <v>13.2</v>
      </c>
      <c r="V61" s="67">
        <v>13.2</v>
      </c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22.1</v>
      </c>
      <c r="AH61" s="47">
        <f t="shared" si="2"/>
        <v>18.100000000000001</v>
      </c>
      <c r="AI61" s="48">
        <f t="shared" si="3"/>
        <v>13.1</v>
      </c>
      <c r="AK61" s="50"/>
    </row>
    <row r="62" spans="1:88" ht="15.75" thickBot="1" x14ac:dyDescent="0.3">
      <c r="A62" s="69" t="s">
        <v>62</v>
      </c>
      <c r="B62" s="60">
        <f t="shared" ref="B62:C62" si="12">SUM(B59:B61)</f>
        <v>52.1</v>
      </c>
      <c r="C62" s="60">
        <f t="shared" si="12"/>
        <v>52.1</v>
      </c>
      <c r="D62" s="60">
        <f t="shared" ref="D62:E62" si="13">SUM(D59:D61)</f>
        <v>52.1</v>
      </c>
      <c r="E62" s="60">
        <f t="shared" si="13"/>
        <v>52.1</v>
      </c>
      <c r="F62" s="60">
        <f t="shared" ref="F62:G62" si="14">SUM(F59:F61)</f>
        <v>52.1</v>
      </c>
      <c r="G62" s="60">
        <f t="shared" si="14"/>
        <v>52.1</v>
      </c>
      <c r="H62" s="60">
        <f t="shared" ref="H62:I62" si="15">SUM(H59:H61)</f>
        <v>64.099999999999994</v>
      </c>
      <c r="I62" s="60">
        <f t="shared" si="15"/>
        <v>102.1</v>
      </c>
      <c r="J62" s="60">
        <f t="shared" ref="J62:K62" si="16">SUM(J59:J61)</f>
        <v>87.1</v>
      </c>
      <c r="K62" s="60">
        <f t="shared" si="16"/>
        <v>87.1</v>
      </c>
      <c r="L62" s="60">
        <f t="shared" ref="L62" si="17">SUM(L59:L61)</f>
        <v>287.10000000000002</v>
      </c>
      <c r="M62" s="60">
        <f t="shared" ref="M62:AG62" si="18">SUM(M59:M61)</f>
        <v>367.1</v>
      </c>
      <c r="N62" s="60">
        <f t="shared" ref="N62" si="19">SUM(N59:N61)</f>
        <v>347.2</v>
      </c>
      <c r="O62" s="60">
        <f t="shared" si="18"/>
        <v>317.2</v>
      </c>
      <c r="P62" s="60">
        <f t="shared" si="18"/>
        <v>257.2</v>
      </c>
      <c r="Q62" s="60">
        <f t="shared" si="18"/>
        <v>47.2</v>
      </c>
      <c r="R62" s="60">
        <f t="shared" si="18"/>
        <v>47.1</v>
      </c>
      <c r="S62" s="60">
        <f t="shared" si="18"/>
        <v>47.1</v>
      </c>
      <c r="T62" s="60">
        <f t="shared" si="18"/>
        <v>47.1</v>
      </c>
      <c r="U62" s="60">
        <f t="shared" si="18"/>
        <v>47.2</v>
      </c>
      <c r="V62" s="60">
        <f t="shared" si="18"/>
        <v>47.2</v>
      </c>
      <c r="W62" s="60">
        <f t="shared" si="18"/>
        <v>0</v>
      </c>
      <c r="X62" s="60">
        <f t="shared" si="18"/>
        <v>0</v>
      </c>
      <c r="Y62" s="60">
        <f t="shared" si="18"/>
        <v>0</v>
      </c>
      <c r="Z62" s="60">
        <f t="shared" si="18"/>
        <v>0</v>
      </c>
      <c r="AA62" s="60">
        <f t="shared" si="18"/>
        <v>0</v>
      </c>
      <c r="AB62" s="60">
        <f t="shared" si="18"/>
        <v>0</v>
      </c>
      <c r="AC62" s="60">
        <f t="shared" si="18"/>
        <v>0</v>
      </c>
      <c r="AD62" s="60">
        <f t="shared" si="18"/>
        <v>0</v>
      </c>
      <c r="AE62" s="60">
        <f t="shared" si="18"/>
        <v>0</v>
      </c>
      <c r="AF62" s="60">
        <f t="shared" si="18"/>
        <v>0</v>
      </c>
      <c r="AG62" s="61">
        <f t="shared" si="18"/>
        <v>538.1</v>
      </c>
      <c r="AH62" s="47">
        <f t="shared" si="2"/>
        <v>367.1</v>
      </c>
      <c r="AI62" s="48">
        <f t="shared" si="3"/>
        <v>0</v>
      </c>
      <c r="AK62" s="50"/>
    </row>
    <row r="63" spans="1:88" x14ac:dyDescent="0.25">
      <c r="A63" s="44" t="s">
        <v>63</v>
      </c>
      <c r="B63" s="45">
        <v>30</v>
      </c>
      <c r="C63" s="45">
        <v>0</v>
      </c>
      <c r="D63" s="45">
        <v>0</v>
      </c>
      <c r="E63" s="45">
        <v>0</v>
      </c>
      <c r="F63" s="45">
        <v>0</v>
      </c>
      <c r="G63" s="45">
        <v>47.5</v>
      </c>
      <c r="H63" s="45">
        <v>61.2</v>
      </c>
      <c r="I63" s="45">
        <v>98.5</v>
      </c>
      <c r="J63" s="45">
        <v>144.30000000000001</v>
      </c>
      <c r="K63" s="45">
        <v>144.30000000000001</v>
      </c>
      <c r="L63" s="45">
        <v>144.30000000000001</v>
      </c>
      <c r="M63" s="45">
        <v>81.7</v>
      </c>
      <c r="N63" s="45">
        <v>0</v>
      </c>
      <c r="O63" s="45">
        <v>61</v>
      </c>
      <c r="P63" s="45">
        <v>79.8</v>
      </c>
      <c r="Q63" s="45">
        <v>61.3</v>
      </c>
      <c r="R63" s="45">
        <v>61</v>
      </c>
      <c r="S63" s="45">
        <v>30.2</v>
      </c>
      <c r="T63" s="45">
        <v>30.2</v>
      </c>
      <c r="U63" s="45">
        <v>30.4</v>
      </c>
      <c r="V63" s="45">
        <v>30.7</v>
      </c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144</v>
      </c>
      <c r="AH63" s="47">
        <f t="shared" si="2"/>
        <v>144.30000000000001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35</v>
      </c>
      <c r="C64" s="65">
        <v>0</v>
      </c>
      <c r="D64" s="65">
        <v>0</v>
      </c>
      <c r="E64" s="65">
        <v>0</v>
      </c>
      <c r="F64" s="65">
        <v>0</v>
      </c>
      <c r="G64" s="65">
        <v>35.299999999999997</v>
      </c>
      <c r="H64" s="65">
        <v>60</v>
      </c>
      <c r="I64" s="65">
        <v>60</v>
      </c>
      <c r="J64" s="65">
        <v>65.400000000000006</v>
      </c>
      <c r="K64" s="65">
        <v>59.7</v>
      </c>
      <c r="L64" s="65">
        <v>59.7</v>
      </c>
      <c r="M64" s="65">
        <v>69</v>
      </c>
      <c r="N64" s="65">
        <v>69</v>
      </c>
      <c r="O64" s="65">
        <v>21.8</v>
      </c>
      <c r="P64" s="65">
        <v>23</v>
      </c>
      <c r="Q64" s="65">
        <v>21.3</v>
      </c>
      <c r="R64" s="65">
        <v>24</v>
      </c>
      <c r="S64" s="65">
        <v>0</v>
      </c>
      <c r="T64" s="65">
        <v>0</v>
      </c>
      <c r="U64" s="45">
        <v>0</v>
      </c>
      <c r="V64" s="45">
        <v>0</v>
      </c>
      <c r="W64" s="45"/>
      <c r="X64" s="45"/>
      <c r="Y64" s="45"/>
      <c r="Z64" s="45"/>
      <c r="AA64" s="45"/>
      <c r="AB64" s="45"/>
      <c r="AC64" s="45"/>
      <c r="AD64" s="65"/>
      <c r="AE64" s="45"/>
      <c r="AF64" s="45"/>
      <c r="AG64" s="55">
        <v>70</v>
      </c>
      <c r="AH64" s="47">
        <f t="shared" si="2"/>
        <v>69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45</v>
      </c>
      <c r="C65" s="65">
        <v>33</v>
      </c>
      <c r="D65" s="65">
        <v>33</v>
      </c>
      <c r="E65" s="65">
        <v>33</v>
      </c>
      <c r="F65" s="65">
        <v>33</v>
      </c>
      <c r="G65" s="65">
        <v>46</v>
      </c>
      <c r="H65" s="65">
        <v>46</v>
      </c>
      <c r="I65" s="65">
        <v>46</v>
      </c>
      <c r="J65" s="65">
        <v>48.7</v>
      </c>
      <c r="K65" s="65">
        <v>48.7</v>
      </c>
      <c r="L65" s="65">
        <v>48.7</v>
      </c>
      <c r="M65" s="65">
        <v>65.47</v>
      </c>
      <c r="N65" s="65">
        <v>65.47</v>
      </c>
      <c r="O65" s="65">
        <v>0</v>
      </c>
      <c r="P65" s="65">
        <v>0</v>
      </c>
      <c r="Q65" s="65">
        <v>16</v>
      </c>
      <c r="R65" s="65">
        <v>16.100000000000001</v>
      </c>
      <c r="S65" s="65">
        <v>16.100000000000001</v>
      </c>
      <c r="T65" s="65">
        <v>0</v>
      </c>
      <c r="U65" s="45">
        <v>0</v>
      </c>
      <c r="V65" s="45">
        <v>0</v>
      </c>
      <c r="W65" s="45"/>
      <c r="X65" s="45"/>
      <c r="Y65" s="45"/>
      <c r="Z65" s="45"/>
      <c r="AA65" s="45"/>
      <c r="AB65" s="45"/>
      <c r="AC65" s="45"/>
      <c r="AD65" s="65"/>
      <c r="AE65" s="45"/>
      <c r="AF65" s="45"/>
      <c r="AG65" s="55">
        <v>69</v>
      </c>
      <c r="AH65" s="47">
        <f t="shared" si="2"/>
        <v>65.47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49.4</v>
      </c>
      <c r="C66" s="65">
        <v>49.4</v>
      </c>
      <c r="D66" s="65">
        <v>49.4</v>
      </c>
      <c r="E66" s="65">
        <v>49.4</v>
      </c>
      <c r="F66" s="65">
        <v>49.4</v>
      </c>
      <c r="G66" s="65">
        <v>49.4</v>
      </c>
      <c r="H66" s="65">
        <v>49.4</v>
      </c>
      <c r="I66" s="65">
        <v>49.4</v>
      </c>
      <c r="J66" s="65">
        <v>49.4</v>
      </c>
      <c r="K66" s="65">
        <v>49.4</v>
      </c>
      <c r="L66" s="65">
        <v>49.4</v>
      </c>
      <c r="M66" s="65">
        <v>50.2</v>
      </c>
      <c r="N66" s="65">
        <v>50.2</v>
      </c>
      <c r="O66" s="65">
        <v>47.9</v>
      </c>
      <c r="P66" s="65">
        <v>48.9</v>
      </c>
      <c r="Q66" s="65">
        <v>48.9</v>
      </c>
      <c r="R66" s="65">
        <v>48.9</v>
      </c>
      <c r="S66" s="65">
        <v>48.9</v>
      </c>
      <c r="T66" s="65">
        <v>48.9</v>
      </c>
      <c r="U66" s="65">
        <v>48.9</v>
      </c>
      <c r="V66" s="45">
        <v>44.3</v>
      </c>
      <c r="W66" s="45"/>
      <c r="X66" s="45"/>
      <c r="Y66" s="45"/>
      <c r="Z66" s="45"/>
      <c r="AA66" s="45"/>
      <c r="AB66" s="45"/>
      <c r="AC66" s="45"/>
      <c r="AD66" s="65"/>
      <c r="AE66" s="45"/>
      <c r="AF66" s="45"/>
      <c r="AG66" s="55">
        <v>60</v>
      </c>
      <c r="AH66" s="47">
        <f t="shared" si="2"/>
        <v>50.2</v>
      </c>
      <c r="AI66" s="48">
        <f t="shared" si="3"/>
        <v>44.3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15</v>
      </c>
      <c r="H67" s="65">
        <v>29</v>
      </c>
      <c r="I67" s="65">
        <v>29</v>
      </c>
      <c r="J67" s="65">
        <v>29</v>
      </c>
      <c r="K67" s="65">
        <v>29</v>
      </c>
      <c r="L67" s="65">
        <v>29</v>
      </c>
      <c r="M67" s="65">
        <v>29</v>
      </c>
      <c r="N67" s="65">
        <v>15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45">
        <v>10</v>
      </c>
      <c r="W67" s="45"/>
      <c r="X67" s="45"/>
      <c r="Y67" s="45"/>
      <c r="Z67" s="45"/>
      <c r="AA67" s="45"/>
      <c r="AB67" s="45"/>
      <c r="AC67" s="45"/>
      <c r="AD67" s="65"/>
      <c r="AE67" s="45"/>
      <c r="AF67" s="45"/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65">
        <v>2</v>
      </c>
      <c r="N68" s="65">
        <v>8</v>
      </c>
      <c r="O68" s="65">
        <v>10</v>
      </c>
      <c r="P68" s="65">
        <v>15.1</v>
      </c>
      <c r="Q68" s="65">
        <v>15.8</v>
      </c>
      <c r="R68" s="65">
        <v>14.2</v>
      </c>
      <c r="S68" s="65">
        <v>11.5</v>
      </c>
      <c r="T68" s="65">
        <v>8</v>
      </c>
      <c r="U68" s="65">
        <v>5.0999999999999996</v>
      </c>
      <c r="V68" s="45">
        <v>0.5</v>
      </c>
      <c r="W68" s="45"/>
      <c r="X68" s="45"/>
      <c r="Y68" s="45"/>
      <c r="Z68" s="45"/>
      <c r="AA68" s="45"/>
      <c r="AB68" s="45"/>
      <c r="AC68" s="45"/>
      <c r="AD68" s="65"/>
      <c r="AE68" s="45"/>
      <c r="AF68" s="45"/>
      <c r="AG68" s="55">
        <v>25</v>
      </c>
      <c r="AH68" s="47">
        <f t="shared" si="2"/>
        <v>15.8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</v>
      </c>
      <c r="C71" s="65">
        <v>10</v>
      </c>
      <c r="D71" s="65">
        <v>10</v>
      </c>
      <c r="E71" s="65">
        <v>10</v>
      </c>
      <c r="F71" s="65">
        <v>10</v>
      </c>
      <c r="G71" s="65">
        <v>10</v>
      </c>
      <c r="H71" s="65">
        <v>10</v>
      </c>
      <c r="I71" s="65">
        <v>10</v>
      </c>
      <c r="J71" s="65">
        <v>10</v>
      </c>
      <c r="K71" s="65">
        <v>10</v>
      </c>
      <c r="L71" s="65">
        <v>10</v>
      </c>
      <c r="M71" s="65">
        <v>10</v>
      </c>
      <c r="N71" s="65">
        <v>10</v>
      </c>
      <c r="O71" s="65">
        <v>10</v>
      </c>
      <c r="P71" s="65">
        <v>10</v>
      </c>
      <c r="Q71" s="65">
        <v>10</v>
      </c>
      <c r="R71" s="65">
        <v>10</v>
      </c>
      <c r="S71" s="65">
        <v>10</v>
      </c>
      <c r="T71" s="65">
        <v>10</v>
      </c>
      <c r="U71" s="65">
        <v>10</v>
      </c>
      <c r="V71" s="65">
        <v>10</v>
      </c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55">
        <v>14.1</v>
      </c>
      <c r="AH71" s="47">
        <f t="shared" si="2"/>
        <v>10</v>
      </c>
      <c r="AI71" s="48">
        <f t="shared" si="3"/>
        <v>10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5.0999999999999996</v>
      </c>
      <c r="C72" s="65">
        <v>5.0999999999999996</v>
      </c>
      <c r="D72" s="65">
        <v>5.0999999999999996</v>
      </c>
      <c r="E72" s="65">
        <v>5.0999999999999996</v>
      </c>
      <c r="F72" s="65">
        <v>5.0999999999999996</v>
      </c>
      <c r="G72" s="65">
        <v>5.0999999999999996</v>
      </c>
      <c r="H72" s="65">
        <v>5.0999999999999996</v>
      </c>
      <c r="I72" s="65">
        <v>5.0999999999999996</v>
      </c>
      <c r="J72" s="65">
        <v>5.0999999999999996</v>
      </c>
      <c r="K72" s="65">
        <v>5.0999999999999996</v>
      </c>
      <c r="L72" s="65">
        <v>5.0999999999999996</v>
      </c>
      <c r="M72" s="65">
        <v>5.0999999999999996</v>
      </c>
      <c r="N72" s="65">
        <v>5.0999999999999996</v>
      </c>
      <c r="O72" s="65">
        <v>5.0999999999999996</v>
      </c>
      <c r="P72" s="65">
        <v>5.0999999999999996</v>
      </c>
      <c r="Q72" s="65">
        <v>5.0999999999999996</v>
      </c>
      <c r="R72" s="65">
        <v>5.0999999999999996</v>
      </c>
      <c r="S72" s="65">
        <v>5.0999999999999996</v>
      </c>
      <c r="T72" s="65">
        <v>5.0999999999999996</v>
      </c>
      <c r="U72" s="65">
        <v>5.0999999999999996</v>
      </c>
      <c r="V72" s="65">
        <v>4.8</v>
      </c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55">
        <v>14</v>
      </c>
      <c r="AH72" s="47">
        <f t="shared" si="2"/>
        <v>5.0999999999999996</v>
      </c>
      <c r="AI72" s="48">
        <f t="shared" si="3"/>
        <v>4.8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20">SUM(B63:B75)</f>
        <v>205.54</v>
      </c>
      <c r="C76" s="60">
        <f t="shared" si="20"/>
        <v>128.54</v>
      </c>
      <c r="D76" s="60">
        <f t="shared" ref="D76:E76" si="21">SUM(D63:D75)</f>
        <v>128.54</v>
      </c>
      <c r="E76" s="60">
        <f t="shared" si="21"/>
        <v>128.54</v>
      </c>
      <c r="F76" s="60">
        <f t="shared" ref="F76:G76" si="22">SUM(F63:F75)</f>
        <v>128.54</v>
      </c>
      <c r="G76" s="60">
        <f t="shared" si="22"/>
        <v>239.34</v>
      </c>
      <c r="H76" s="60">
        <f t="shared" ref="H76:I76" si="23">SUM(H63:H75)</f>
        <v>291.74000000000007</v>
      </c>
      <c r="I76" s="60">
        <f t="shared" si="23"/>
        <v>329.04</v>
      </c>
      <c r="J76" s="60">
        <f t="shared" ref="J76:K76" si="24">SUM(J63:J75)</f>
        <v>382.94000000000005</v>
      </c>
      <c r="K76" s="60">
        <f t="shared" si="24"/>
        <v>377.24</v>
      </c>
      <c r="L76" s="60">
        <f t="shared" ref="L76" si="25">SUM(L63:L75)</f>
        <v>377.24</v>
      </c>
      <c r="M76" s="60">
        <f t="shared" ref="M76:AG76" si="26">SUM(M63:M75)</f>
        <v>343.51000000000005</v>
      </c>
      <c r="N76" s="60">
        <f t="shared" ref="N76" si="27">SUM(N63:N75)</f>
        <v>253.81</v>
      </c>
      <c r="O76" s="60">
        <f t="shared" si="26"/>
        <v>186.83999999999997</v>
      </c>
      <c r="P76" s="60">
        <f t="shared" si="26"/>
        <v>212.93999999999997</v>
      </c>
      <c r="Q76" s="60">
        <f t="shared" si="26"/>
        <v>209.44</v>
      </c>
      <c r="R76" s="60">
        <f t="shared" si="26"/>
        <v>210.33999999999997</v>
      </c>
      <c r="S76" s="60">
        <f t="shared" si="26"/>
        <v>152.83999999999997</v>
      </c>
      <c r="T76" s="60">
        <f t="shared" si="26"/>
        <v>133.23999999999998</v>
      </c>
      <c r="U76" s="60">
        <f t="shared" si="26"/>
        <v>130.54</v>
      </c>
      <c r="V76" s="60">
        <f t="shared" si="26"/>
        <v>131.34</v>
      </c>
      <c r="W76" s="60">
        <f t="shared" si="26"/>
        <v>3.54</v>
      </c>
      <c r="X76" s="60">
        <f t="shared" si="26"/>
        <v>3.54</v>
      </c>
      <c r="Y76" s="60">
        <f t="shared" si="26"/>
        <v>3.54</v>
      </c>
      <c r="Z76" s="60">
        <f t="shared" si="26"/>
        <v>3.54</v>
      </c>
      <c r="AA76" s="60">
        <f t="shared" si="26"/>
        <v>3.54</v>
      </c>
      <c r="AB76" s="60">
        <f t="shared" si="26"/>
        <v>3.54</v>
      </c>
      <c r="AC76" s="60">
        <f t="shared" si="26"/>
        <v>3.54</v>
      </c>
      <c r="AD76" s="60">
        <f t="shared" si="26"/>
        <v>3.54</v>
      </c>
      <c r="AE76" s="60">
        <f t="shared" si="26"/>
        <v>3.54</v>
      </c>
      <c r="AF76" s="60">
        <f t="shared" si="26"/>
        <v>3.54</v>
      </c>
      <c r="AG76" s="61">
        <f t="shared" si="26"/>
        <v>489.91</v>
      </c>
      <c r="AH76" s="47">
        <f t="shared" si="2"/>
        <v>382.94000000000005</v>
      </c>
      <c r="AI76" s="48">
        <f t="shared" si="3"/>
        <v>3.54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28.8</v>
      </c>
      <c r="N77" s="45">
        <v>28.8</v>
      </c>
      <c r="O77" s="45">
        <v>14</v>
      </c>
      <c r="P77" s="45">
        <v>10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28.8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6.2</v>
      </c>
      <c r="N78" s="65">
        <v>6.2</v>
      </c>
      <c r="O78" s="65">
        <v>7.9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7.9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2.2000000000000002</v>
      </c>
      <c r="N79" s="67">
        <v>2.2000000000000002</v>
      </c>
      <c r="O79" s="67">
        <v>2.9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0</v>
      </c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2.9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28">B77+B78+B79</f>
        <v>0</v>
      </c>
      <c r="C80" s="60">
        <f t="shared" si="28"/>
        <v>0</v>
      </c>
      <c r="D80" s="60">
        <f t="shared" ref="D80:E80" si="29">D77+D78+D79</f>
        <v>0</v>
      </c>
      <c r="E80" s="60">
        <f t="shared" si="29"/>
        <v>0</v>
      </c>
      <c r="F80" s="60">
        <f t="shared" ref="F80:G80" si="30">F77+F78+F79</f>
        <v>0</v>
      </c>
      <c r="G80" s="60">
        <f t="shared" si="30"/>
        <v>0</v>
      </c>
      <c r="H80" s="60">
        <f t="shared" ref="H80:I80" si="31">H77+H78+H79</f>
        <v>0</v>
      </c>
      <c r="I80" s="60">
        <f t="shared" si="31"/>
        <v>0</v>
      </c>
      <c r="J80" s="60">
        <f t="shared" ref="J80:K80" si="32">J77+J78+J79</f>
        <v>0</v>
      </c>
      <c r="K80" s="60">
        <f t="shared" si="32"/>
        <v>0</v>
      </c>
      <c r="L80" s="60">
        <f t="shared" ref="L80" si="33">L77+L78+L79</f>
        <v>0</v>
      </c>
      <c r="M80" s="60">
        <f t="shared" ref="M80:AF80" si="34">M77+M78+M79</f>
        <v>37.200000000000003</v>
      </c>
      <c r="N80" s="60">
        <f t="shared" ref="N80" si="35">N77+N78+N79</f>
        <v>37.200000000000003</v>
      </c>
      <c r="O80" s="60">
        <f t="shared" si="34"/>
        <v>24.799999999999997</v>
      </c>
      <c r="P80" s="60">
        <f t="shared" si="34"/>
        <v>10</v>
      </c>
      <c r="Q80" s="60">
        <f t="shared" si="34"/>
        <v>0</v>
      </c>
      <c r="R80" s="60">
        <f t="shared" si="34"/>
        <v>0</v>
      </c>
      <c r="S80" s="60">
        <f t="shared" si="34"/>
        <v>0</v>
      </c>
      <c r="T80" s="60">
        <f t="shared" si="34"/>
        <v>0</v>
      </c>
      <c r="U80" s="60">
        <f t="shared" si="34"/>
        <v>0</v>
      </c>
      <c r="V80" s="60">
        <f t="shared" si="34"/>
        <v>0</v>
      </c>
      <c r="W80" s="60">
        <f t="shared" si="34"/>
        <v>0</v>
      </c>
      <c r="X80" s="60">
        <f t="shared" si="34"/>
        <v>0</v>
      </c>
      <c r="Y80" s="60">
        <f t="shared" si="34"/>
        <v>0</v>
      </c>
      <c r="Z80" s="60">
        <f t="shared" si="34"/>
        <v>0</v>
      </c>
      <c r="AA80" s="60">
        <f t="shared" si="34"/>
        <v>0</v>
      </c>
      <c r="AB80" s="60">
        <f t="shared" si="34"/>
        <v>0</v>
      </c>
      <c r="AC80" s="60">
        <f t="shared" si="34"/>
        <v>0</v>
      </c>
      <c r="AD80" s="60">
        <f t="shared" si="34"/>
        <v>0</v>
      </c>
      <c r="AE80" s="60">
        <f t="shared" si="34"/>
        <v>0</v>
      </c>
      <c r="AF80" s="60">
        <f t="shared" si="34"/>
        <v>0</v>
      </c>
      <c r="AG80" s="61">
        <f>SUM(AG77:AG79)</f>
        <v>106</v>
      </c>
      <c r="AH80" s="47">
        <f t="shared" si="2"/>
        <v>37.200000000000003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48</v>
      </c>
      <c r="C81" s="45">
        <v>55</v>
      </c>
      <c r="D81" s="45">
        <v>63.1</v>
      </c>
      <c r="E81" s="45">
        <v>58.9</v>
      </c>
      <c r="F81" s="45">
        <v>60</v>
      </c>
      <c r="G81" s="45">
        <v>59.1</v>
      </c>
      <c r="H81" s="45">
        <v>49.9</v>
      </c>
      <c r="I81" s="45">
        <v>49.9</v>
      </c>
      <c r="J81" s="45">
        <v>61.4</v>
      </c>
      <c r="K81" s="45">
        <v>48.9</v>
      </c>
      <c r="L81" s="45">
        <v>50.3</v>
      </c>
      <c r="M81" s="45">
        <v>35.799999999999997</v>
      </c>
      <c r="N81" s="45">
        <v>56.5</v>
      </c>
      <c r="O81" s="45">
        <v>49</v>
      </c>
      <c r="P81" s="45">
        <v>54.5</v>
      </c>
      <c r="Q81" s="45">
        <v>51</v>
      </c>
      <c r="R81" s="45">
        <v>52</v>
      </c>
      <c r="S81" s="45">
        <v>48.1</v>
      </c>
      <c r="T81" s="45">
        <v>54.5</v>
      </c>
      <c r="U81" s="45">
        <v>61.3</v>
      </c>
      <c r="V81" s="45">
        <v>40</v>
      </c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52"/>
      <c r="AH81" s="47">
        <f t="shared" si="2"/>
        <v>63.1</v>
      </c>
      <c r="AI81" s="48">
        <f t="shared" si="3"/>
        <v>35.799999999999997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270</v>
      </c>
      <c r="C83" s="65">
        <v>290</v>
      </c>
      <c r="D83" s="65">
        <v>296.10000000000002</v>
      </c>
      <c r="E83" s="65">
        <v>284.10000000000002</v>
      </c>
      <c r="F83" s="65">
        <v>287.5</v>
      </c>
      <c r="G83" s="65">
        <v>288.8</v>
      </c>
      <c r="H83" s="65">
        <v>324.89999999999998</v>
      </c>
      <c r="I83" s="65">
        <v>324.89999999999998</v>
      </c>
      <c r="J83" s="65">
        <v>381.6</v>
      </c>
      <c r="K83" s="65">
        <v>372.5</v>
      </c>
      <c r="L83" s="65">
        <v>328.9</v>
      </c>
      <c r="M83" s="65">
        <v>148</v>
      </c>
      <c r="N83" s="65">
        <v>169</v>
      </c>
      <c r="O83" s="65">
        <v>161.9</v>
      </c>
      <c r="P83" s="65">
        <v>255</v>
      </c>
      <c r="Q83" s="65">
        <v>381.5</v>
      </c>
      <c r="R83" s="65">
        <v>370</v>
      </c>
      <c r="S83" s="65">
        <v>369</v>
      </c>
      <c r="T83" s="65">
        <v>357</v>
      </c>
      <c r="U83" s="65">
        <v>343.3</v>
      </c>
      <c r="V83" s="65">
        <v>335</v>
      </c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75"/>
      <c r="AH83" s="47">
        <f t="shared" si="2"/>
        <v>381.6</v>
      </c>
      <c r="AI83" s="48">
        <f t="shared" si="3"/>
        <v>148</v>
      </c>
      <c r="AK83" s="50"/>
    </row>
    <row r="84" spans="1:40" x14ac:dyDescent="0.25">
      <c r="A84" s="54" t="s">
        <v>84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76"/>
      <c r="N84" s="76"/>
      <c r="O84" s="76"/>
      <c r="P84" s="76"/>
      <c r="Q84" s="76"/>
      <c r="R84" s="76"/>
      <c r="S84" s="76">
        <v>0</v>
      </c>
      <c r="T84" s="76">
        <v>0</v>
      </c>
      <c r="U84" s="76">
        <v>0</v>
      </c>
      <c r="V84" s="76">
        <v>0</v>
      </c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>
        <v>0</v>
      </c>
      <c r="T85" s="45">
        <v>0</v>
      </c>
      <c r="U85" s="45">
        <v>0</v>
      </c>
      <c r="V85" s="45">
        <v>0</v>
      </c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6">MAX(B85:AF85)</f>
        <v>0</v>
      </c>
      <c r="AI85" s="48">
        <f t="shared" ref="AI85:AI130" si="37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>
        <v>0</v>
      </c>
      <c r="T86" s="77">
        <v>0</v>
      </c>
      <c r="U86" s="77">
        <v>0</v>
      </c>
      <c r="V86" s="77">
        <v>0</v>
      </c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6"/>
        <v>0</v>
      </c>
      <c r="AI86" s="48">
        <f t="shared" si="37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>
        <v>0</v>
      </c>
      <c r="T87" s="77">
        <v>0</v>
      </c>
      <c r="U87" s="77">
        <v>0</v>
      </c>
      <c r="V87" s="77">
        <v>0</v>
      </c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6"/>
        <v>0</v>
      </c>
      <c r="AI87" s="48">
        <f t="shared" si="3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>
        <v>0</v>
      </c>
      <c r="T88" s="77">
        <v>0</v>
      </c>
      <c r="U88" s="77">
        <v>0</v>
      </c>
      <c r="V88" s="77">
        <v>0</v>
      </c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6"/>
        <v>0</v>
      </c>
      <c r="AI88" s="48">
        <f t="shared" si="3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>
        <v>0</v>
      </c>
      <c r="T89" s="77">
        <v>0</v>
      </c>
      <c r="U89" s="77">
        <v>0</v>
      </c>
      <c r="V89" s="77">
        <v>0</v>
      </c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6"/>
        <v>0</v>
      </c>
      <c r="AI89" s="48">
        <f t="shared" si="3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>
        <v>0</v>
      </c>
      <c r="T90" s="77">
        <v>0</v>
      </c>
      <c r="U90" s="77">
        <v>0</v>
      </c>
      <c r="V90" s="77">
        <v>0</v>
      </c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6"/>
        <v>0</v>
      </c>
      <c r="AI90" s="48">
        <f t="shared" si="3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>
        <v>0</v>
      </c>
      <c r="T91" s="77">
        <v>0</v>
      </c>
      <c r="U91" s="77">
        <v>0</v>
      </c>
      <c r="V91" s="77">
        <v>0</v>
      </c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6"/>
        <v>0</v>
      </c>
      <c r="AI91" s="48">
        <f t="shared" si="37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38">SUMIF(B81:B91,"&gt;0")</f>
        <v>318</v>
      </c>
      <c r="C92" s="60">
        <f t="shared" si="38"/>
        <v>345</v>
      </c>
      <c r="D92" s="60">
        <f t="shared" ref="D92:E92" si="39">SUMIF(D81:D91,"&gt;0")</f>
        <v>359.20000000000005</v>
      </c>
      <c r="E92" s="60">
        <f t="shared" si="39"/>
        <v>343</v>
      </c>
      <c r="F92" s="60">
        <f t="shared" ref="F92:G92" si="40">SUMIF(F81:F91,"&gt;0")</f>
        <v>347.5</v>
      </c>
      <c r="G92" s="60">
        <f t="shared" si="40"/>
        <v>347.90000000000003</v>
      </c>
      <c r="H92" s="60">
        <f t="shared" ref="H92:I92" si="41">SUMIF(H81:H91,"&gt;0")</f>
        <v>374.79999999999995</v>
      </c>
      <c r="I92" s="60">
        <f t="shared" si="41"/>
        <v>374.79999999999995</v>
      </c>
      <c r="J92" s="60">
        <f t="shared" ref="J92:K92" si="42">SUMIF(J81:J91,"&gt;0")</f>
        <v>443</v>
      </c>
      <c r="K92" s="60">
        <f t="shared" si="42"/>
        <v>421.4</v>
      </c>
      <c r="L92" s="60">
        <f t="shared" ref="L92" si="43">SUMIF(L81:L91,"&gt;0")</f>
        <v>379.2</v>
      </c>
      <c r="M92" s="60">
        <f t="shared" ref="M92:AF92" si="44">SUMIF(M81:M91,"&gt;0")</f>
        <v>183.8</v>
      </c>
      <c r="N92" s="60">
        <f t="shared" si="44"/>
        <v>225.5</v>
      </c>
      <c r="O92" s="60">
        <f t="shared" si="44"/>
        <v>210.9</v>
      </c>
      <c r="P92" s="60">
        <f t="shared" si="44"/>
        <v>309.5</v>
      </c>
      <c r="Q92" s="60">
        <f t="shared" si="44"/>
        <v>432.5</v>
      </c>
      <c r="R92" s="60">
        <f t="shared" si="44"/>
        <v>422</v>
      </c>
      <c r="S92" s="60">
        <f t="shared" si="44"/>
        <v>417.1</v>
      </c>
      <c r="T92" s="60">
        <f t="shared" si="44"/>
        <v>411.5</v>
      </c>
      <c r="U92" s="60">
        <f t="shared" si="44"/>
        <v>404.6</v>
      </c>
      <c r="V92" s="60">
        <f t="shared" si="44"/>
        <v>375</v>
      </c>
      <c r="W92" s="60">
        <f t="shared" si="44"/>
        <v>0</v>
      </c>
      <c r="X92" s="60">
        <f t="shared" si="44"/>
        <v>0</v>
      </c>
      <c r="Y92" s="60">
        <f t="shared" si="44"/>
        <v>0</v>
      </c>
      <c r="Z92" s="60">
        <f t="shared" si="44"/>
        <v>0</v>
      </c>
      <c r="AA92" s="60">
        <f t="shared" si="44"/>
        <v>0</v>
      </c>
      <c r="AB92" s="60">
        <f t="shared" si="44"/>
        <v>0</v>
      </c>
      <c r="AC92" s="60">
        <f t="shared" si="44"/>
        <v>0</v>
      </c>
      <c r="AD92" s="60">
        <f t="shared" si="44"/>
        <v>0</v>
      </c>
      <c r="AE92" s="60">
        <f t="shared" si="44"/>
        <v>0</v>
      </c>
      <c r="AF92" s="60">
        <f t="shared" si="44"/>
        <v>0</v>
      </c>
      <c r="AG92" s="88">
        <f>SUM(AG81:AG91)</f>
        <v>0</v>
      </c>
      <c r="AH92" s="47">
        <f t="shared" si="36"/>
        <v>443</v>
      </c>
      <c r="AI92" s="48">
        <f t="shared" si="37"/>
        <v>0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6"/>
        <v>0</v>
      </c>
      <c r="AI93" s="48">
        <f t="shared" si="37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6"/>
        <v>0</v>
      </c>
      <c r="AI94" s="48">
        <f t="shared" si="37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6"/>
        <v>0</v>
      </c>
      <c r="AI95" s="48">
        <f t="shared" si="37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6"/>
        <v>0</v>
      </c>
      <c r="AI96" s="48">
        <f t="shared" si="37"/>
        <v>0</v>
      </c>
    </row>
    <row r="97" spans="1:37" ht="15.75" thickBot="1" x14ac:dyDescent="0.3">
      <c r="A97" s="74" t="s">
        <v>100</v>
      </c>
      <c r="B97" s="95">
        <f t="shared" ref="B97:C97" si="45">B58+B62+B80+B76+B92+B96</f>
        <v>1127.6399999999999</v>
      </c>
      <c r="C97" s="95">
        <f t="shared" si="45"/>
        <v>1077.6399999999999</v>
      </c>
      <c r="D97" s="95">
        <f t="shared" ref="D97:E97" si="46">D58+D62+D80+D76+D92+D96</f>
        <v>1091.8400000000001</v>
      </c>
      <c r="E97" s="95">
        <f t="shared" si="46"/>
        <v>1075.6399999999999</v>
      </c>
      <c r="F97" s="95">
        <f t="shared" ref="F97:G97" si="47">F58+F62+F80+F76+F92+F96</f>
        <v>1080.1399999999999</v>
      </c>
      <c r="G97" s="95">
        <f t="shared" si="47"/>
        <v>1191.3400000000001</v>
      </c>
      <c r="H97" s="95">
        <f t="shared" ref="H97:I97" si="48">H58+H62+H80+H76+H92+H96</f>
        <v>1282.6400000000001</v>
      </c>
      <c r="I97" s="95">
        <f t="shared" si="48"/>
        <v>1357.94</v>
      </c>
      <c r="J97" s="95">
        <f t="shared" ref="J97:K97" si="49">J58+J62+J80+J76+J92+J96</f>
        <v>1465.04</v>
      </c>
      <c r="K97" s="95">
        <f t="shared" si="49"/>
        <v>1437.74</v>
      </c>
      <c r="L97" s="95">
        <f t="shared" ref="L97" si="50">L58+L62+L80+L76+L92+L96</f>
        <v>1595.5400000000002</v>
      </c>
      <c r="M97" s="95">
        <f t="shared" ref="M97:AG97" si="51">M58+M62+M80+M76+M92+M96</f>
        <v>1483.6100000000001</v>
      </c>
      <c r="N97" s="95">
        <f t="shared" si="51"/>
        <v>1415.71</v>
      </c>
      <c r="O97" s="95">
        <f t="shared" si="51"/>
        <v>1291.74</v>
      </c>
      <c r="P97" s="95">
        <f t="shared" si="51"/>
        <v>1341.64</v>
      </c>
      <c r="Q97" s="95">
        <f t="shared" si="51"/>
        <v>1241.1400000000001</v>
      </c>
      <c r="R97" s="95">
        <f t="shared" si="51"/>
        <v>1231.44</v>
      </c>
      <c r="S97" s="95">
        <f t="shared" si="51"/>
        <v>1169.04</v>
      </c>
      <c r="T97" s="95">
        <f t="shared" si="51"/>
        <v>1144.3400000000001</v>
      </c>
      <c r="U97" s="95">
        <f t="shared" si="51"/>
        <v>1134.8400000000001</v>
      </c>
      <c r="V97" s="95">
        <f t="shared" si="51"/>
        <v>1106.04</v>
      </c>
      <c r="W97" s="95">
        <f t="shared" si="51"/>
        <v>3.54</v>
      </c>
      <c r="X97" s="95">
        <f t="shared" si="51"/>
        <v>3.54</v>
      </c>
      <c r="Y97" s="95">
        <f t="shared" si="51"/>
        <v>3.54</v>
      </c>
      <c r="Z97" s="95">
        <f t="shared" si="51"/>
        <v>3.54</v>
      </c>
      <c r="AA97" s="95">
        <f t="shared" si="51"/>
        <v>3.54</v>
      </c>
      <c r="AB97" s="95">
        <f t="shared" si="51"/>
        <v>3.54</v>
      </c>
      <c r="AC97" s="95">
        <f t="shared" si="51"/>
        <v>3.54</v>
      </c>
      <c r="AD97" s="95">
        <f t="shared" si="51"/>
        <v>3.54</v>
      </c>
      <c r="AE97" s="95">
        <f t="shared" si="51"/>
        <v>3.54</v>
      </c>
      <c r="AF97" s="95">
        <f t="shared" si="51"/>
        <v>3.54</v>
      </c>
      <c r="AG97" s="61">
        <f t="shared" si="51"/>
        <v>2231.81</v>
      </c>
      <c r="AH97" s="47">
        <f t="shared" si="36"/>
        <v>1595.5400000000002</v>
      </c>
      <c r="AI97" s="48">
        <f t="shared" si="37"/>
        <v>3.54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>
        <v>0</v>
      </c>
      <c r="F98" s="97">
        <v>0</v>
      </c>
      <c r="G98" s="97">
        <v>0</v>
      </c>
      <c r="H98" s="97">
        <v>0</v>
      </c>
      <c r="I98" s="97">
        <v>0</v>
      </c>
      <c r="J98" s="97">
        <v>0</v>
      </c>
      <c r="K98" s="97">
        <v>0</v>
      </c>
      <c r="L98" s="97">
        <v>80</v>
      </c>
      <c r="M98" s="97">
        <v>80</v>
      </c>
      <c r="N98" s="97">
        <v>80</v>
      </c>
      <c r="O98" s="97">
        <v>80</v>
      </c>
      <c r="P98" s="97">
        <v>0</v>
      </c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36"/>
        <v>80</v>
      </c>
      <c r="AI98" s="48">
        <f t="shared" si="37"/>
        <v>0</v>
      </c>
    </row>
    <row r="99" spans="1:37" ht="15.75" thickBot="1" x14ac:dyDescent="0.3">
      <c r="A99" s="74" t="s">
        <v>102</v>
      </c>
      <c r="B99" s="95">
        <f t="shared" ref="B99:C99" si="52">B97+B98</f>
        <v>1127.6399999999999</v>
      </c>
      <c r="C99" s="95">
        <f t="shared" si="52"/>
        <v>1077.6399999999999</v>
      </c>
      <c r="D99" s="95">
        <f t="shared" ref="D99:E99" si="53">D97+D98</f>
        <v>1091.8400000000001</v>
      </c>
      <c r="E99" s="95">
        <f t="shared" si="53"/>
        <v>1075.6399999999999</v>
      </c>
      <c r="F99" s="95">
        <f t="shared" ref="F99:G99" si="54">F97+F98</f>
        <v>1080.1399999999999</v>
      </c>
      <c r="G99" s="95">
        <f t="shared" si="54"/>
        <v>1191.3400000000001</v>
      </c>
      <c r="H99" s="95">
        <f t="shared" ref="H99:I99" si="55">H97+H98</f>
        <v>1282.6400000000001</v>
      </c>
      <c r="I99" s="95">
        <f t="shared" si="55"/>
        <v>1357.94</v>
      </c>
      <c r="J99" s="95">
        <f t="shared" ref="J99:K99" si="56">J97+J98</f>
        <v>1465.04</v>
      </c>
      <c r="K99" s="95">
        <f t="shared" si="56"/>
        <v>1437.74</v>
      </c>
      <c r="L99" s="95">
        <f t="shared" ref="L99" si="57">L97+L98</f>
        <v>1675.5400000000002</v>
      </c>
      <c r="M99" s="95">
        <f t="shared" ref="M99:AF99" si="58">M97+M98</f>
        <v>1563.6100000000001</v>
      </c>
      <c r="N99" s="95">
        <f t="shared" si="58"/>
        <v>1495.71</v>
      </c>
      <c r="O99" s="95">
        <f t="shared" si="58"/>
        <v>1371.74</v>
      </c>
      <c r="P99" s="95">
        <f t="shared" si="58"/>
        <v>1341.64</v>
      </c>
      <c r="Q99" s="95">
        <f t="shared" si="58"/>
        <v>1241.1400000000001</v>
      </c>
      <c r="R99" s="95">
        <f t="shared" si="58"/>
        <v>1231.44</v>
      </c>
      <c r="S99" s="95">
        <f t="shared" si="58"/>
        <v>1169.04</v>
      </c>
      <c r="T99" s="95">
        <f t="shared" si="58"/>
        <v>1144.3400000000001</v>
      </c>
      <c r="U99" s="95">
        <f t="shared" si="58"/>
        <v>1134.8400000000001</v>
      </c>
      <c r="V99" s="95">
        <f t="shared" si="58"/>
        <v>1106.04</v>
      </c>
      <c r="W99" s="95">
        <f t="shared" si="58"/>
        <v>3.54</v>
      </c>
      <c r="X99" s="95">
        <f t="shared" si="58"/>
        <v>3.54</v>
      </c>
      <c r="Y99" s="95">
        <f t="shared" si="58"/>
        <v>3.54</v>
      </c>
      <c r="Z99" s="95">
        <f t="shared" si="58"/>
        <v>3.54</v>
      </c>
      <c r="AA99" s="95">
        <f t="shared" si="58"/>
        <v>3.54</v>
      </c>
      <c r="AB99" s="95">
        <f t="shared" si="58"/>
        <v>3.54</v>
      </c>
      <c r="AC99" s="95">
        <f t="shared" si="58"/>
        <v>3.54</v>
      </c>
      <c r="AD99" s="95">
        <f t="shared" si="58"/>
        <v>3.54</v>
      </c>
      <c r="AE99" s="95">
        <f t="shared" si="58"/>
        <v>3.54</v>
      </c>
      <c r="AF99" s="95">
        <f t="shared" si="58"/>
        <v>3.54</v>
      </c>
      <c r="AG99" s="88">
        <f>AG96+AG92+AG80+AG76+AG58+AG98</f>
        <v>1693.71</v>
      </c>
      <c r="AH99" s="47">
        <f t="shared" si="36"/>
        <v>1675.5400000000002</v>
      </c>
      <c r="AI99" s="48">
        <f t="shared" si="37"/>
        <v>3.54</v>
      </c>
    </row>
    <row r="100" spans="1:37" ht="15.75" thickBot="1" x14ac:dyDescent="0.3">
      <c r="A100" s="74" t="s">
        <v>103</v>
      </c>
      <c r="B100" s="95">
        <f t="shared" ref="B100:C100" si="59">B99-(B107)</f>
        <v>1122.6399999999999</v>
      </c>
      <c r="C100" s="95">
        <f t="shared" si="59"/>
        <v>1071.6399999999999</v>
      </c>
      <c r="D100" s="95">
        <f t="shared" ref="D100:E100" si="60">D99-(D107)</f>
        <v>1084.8400000000001</v>
      </c>
      <c r="E100" s="95">
        <f t="shared" si="60"/>
        <v>1067.6399999999999</v>
      </c>
      <c r="F100" s="95">
        <f t="shared" ref="F100:G100" si="61">F99-(F107)</f>
        <v>1071.1399999999999</v>
      </c>
      <c r="G100" s="95">
        <f t="shared" si="61"/>
        <v>1181.3400000000001</v>
      </c>
      <c r="H100" s="95">
        <f t="shared" ref="H100:I100" si="62">H99-(H107)</f>
        <v>1271.6400000000001</v>
      </c>
      <c r="I100" s="95">
        <f t="shared" si="62"/>
        <v>1345.94</v>
      </c>
      <c r="J100" s="95">
        <f t="shared" ref="J100:K100" si="63">J99-(J107)</f>
        <v>1452.04</v>
      </c>
      <c r="K100" s="95">
        <f t="shared" si="63"/>
        <v>1423.74</v>
      </c>
      <c r="L100" s="95">
        <f t="shared" ref="L100" si="64">L99-(L107)</f>
        <v>1660.5400000000002</v>
      </c>
      <c r="M100" s="95">
        <f t="shared" ref="M100" si="65">M99-(M107)</f>
        <v>1563.6100000000001</v>
      </c>
      <c r="N100" s="95">
        <f>N99-(N107)</f>
        <v>1495.71</v>
      </c>
      <c r="O100" s="95">
        <f t="shared" ref="O100:AF100" si="66">O99-(O107)</f>
        <v>1371.74</v>
      </c>
      <c r="P100" s="95">
        <f t="shared" si="66"/>
        <v>1341.64</v>
      </c>
      <c r="Q100" s="95">
        <f t="shared" si="66"/>
        <v>1241.1400000000001</v>
      </c>
      <c r="R100" s="95">
        <f t="shared" si="66"/>
        <v>1231.44</v>
      </c>
      <c r="S100" s="95">
        <f t="shared" si="66"/>
        <v>1169.04</v>
      </c>
      <c r="T100" s="95">
        <f t="shared" si="66"/>
        <v>1144.3400000000001</v>
      </c>
      <c r="U100" s="95">
        <f t="shared" si="66"/>
        <v>1134.8400000000001</v>
      </c>
      <c r="V100" s="95">
        <f t="shared" si="66"/>
        <v>1106.04</v>
      </c>
      <c r="W100" s="95">
        <f t="shared" si="66"/>
        <v>3.54</v>
      </c>
      <c r="X100" s="95">
        <f t="shared" si="66"/>
        <v>3.54</v>
      </c>
      <c r="Y100" s="95">
        <f t="shared" si="66"/>
        <v>3.54</v>
      </c>
      <c r="Z100" s="95">
        <f t="shared" si="66"/>
        <v>3.54</v>
      </c>
      <c r="AA100" s="95">
        <f t="shared" si="66"/>
        <v>3.54</v>
      </c>
      <c r="AB100" s="95">
        <f t="shared" si="66"/>
        <v>3.54</v>
      </c>
      <c r="AC100" s="95">
        <f t="shared" si="66"/>
        <v>3.54</v>
      </c>
      <c r="AD100" s="95">
        <f t="shared" si="66"/>
        <v>3.54</v>
      </c>
      <c r="AE100" s="95">
        <f t="shared" si="66"/>
        <v>3.54</v>
      </c>
      <c r="AF100" s="95">
        <f t="shared" si="66"/>
        <v>3.54</v>
      </c>
      <c r="AG100" s="88"/>
      <c r="AH100" s="47">
        <f t="shared" si="36"/>
        <v>1660.5400000000002</v>
      </c>
      <c r="AI100" s="48">
        <f t="shared" si="37"/>
        <v>3.54</v>
      </c>
    </row>
    <row r="101" spans="1:37" x14ac:dyDescent="0.25">
      <c r="A101" s="44" t="s">
        <v>84</v>
      </c>
      <c r="B101" s="76">
        <f t="shared" ref="B101:C101" si="67">IF(B84&lt;0,B84*-1,0)</f>
        <v>0</v>
      </c>
      <c r="C101" s="76">
        <f t="shared" si="67"/>
        <v>0</v>
      </c>
      <c r="D101" s="76">
        <f t="shared" ref="D101:E101" si="68">IF(D84&lt;0,D84*-1,0)</f>
        <v>0</v>
      </c>
      <c r="E101" s="76">
        <f t="shared" si="68"/>
        <v>0</v>
      </c>
      <c r="F101" s="76">
        <f t="shared" ref="F101:G101" si="69">IF(F84&lt;0,F84*-1,0)</f>
        <v>0</v>
      </c>
      <c r="G101" s="76">
        <f t="shared" si="69"/>
        <v>0</v>
      </c>
      <c r="H101" s="76">
        <f t="shared" ref="H101:I101" si="70">IF(H84&lt;0,H84*-1,0)</f>
        <v>0</v>
      </c>
      <c r="I101" s="76">
        <f t="shared" si="70"/>
        <v>0</v>
      </c>
      <c r="J101" s="76">
        <f t="shared" ref="J101:K101" si="71">IF(J84&lt;0,J84*-1,0)</f>
        <v>0</v>
      </c>
      <c r="K101" s="76">
        <f t="shared" si="71"/>
        <v>0</v>
      </c>
      <c r="L101" s="76">
        <f t="shared" ref="L101" si="72">IF(L84&lt;0,L84*-1,0)</f>
        <v>0</v>
      </c>
      <c r="M101" s="76">
        <f t="shared" ref="M101:AF101" si="73">IF(M84&lt;0,M84*-1,0)</f>
        <v>0</v>
      </c>
      <c r="N101" s="76">
        <f t="shared" si="73"/>
        <v>0</v>
      </c>
      <c r="O101" s="76">
        <f t="shared" si="73"/>
        <v>0</v>
      </c>
      <c r="P101" s="76">
        <f t="shared" si="73"/>
        <v>0</v>
      </c>
      <c r="Q101" s="76">
        <f t="shared" si="73"/>
        <v>0</v>
      </c>
      <c r="R101" s="76">
        <f t="shared" si="73"/>
        <v>0</v>
      </c>
      <c r="S101" s="76">
        <f t="shared" si="73"/>
        <v>0</v>
      </c>
      <c r="T101" s="76">
        <f t="shared" si="73"/>
        <v>0</v>
      </c>
      <c r="U101" s="76">
        <f t="shared" si="73"/>
        <v>0</v>
      </c>
      <c r="V101" s="76">
        <f t="shared" si="73"/>
        <v>0</v>
      </c>
      <c r="W101" s="76">
        <f t="shared" si="73"/>
        <v>0</v>
      </c>
      <c r="X101" s="76">
        <f t="shared" si="73"/>
        <v>0</v>
      </c>
      <c r="Y101" s="76">
        <f t="shared" si="73"/>
        <v>0</v>
      </c>
      <c r="Z101" s="76">
        <f t="shared" si="73"/>
        <v>0</v>
      </c>
      <c r="AA101" s="76">
        <f t="shared" si="73"/>
        <v>0</v>
      </c>
      <c r="AB101" s="76">
        <f t="shared" si="73"/>
        <v>0</v>
      </c>
      <c r="AC101" s="76">
        <f t="shared" si="73"/>
        <v>0</v>
      </c>
      <c r="AD101" s="76">
        <f t="shared" si="73"/>
        <v>0</v>
      </c>
      <c r="AE101" s="76">
        <f t="shared" si="73"/>
        <v>0</v>
      </c>
      <c r="AF101" s="76">
        <f t="shared" si="73"/>
        <v>0</v>
      </c>
      <c r="AG101" s="52"/>
      <c r="AH101" s="47">
        <f t="shared" si="36"/>
        <v>0</v>
      </c>
      <c r="AI101" s="48">
        <f t="shared" si="37"/>
        <v>0</v>
      </c>
    </row>
    <row r="102" spans="1:37" x14ac:dyDescent="0.25">
      <c r="A102" s="54" t="s">
        <v>82</v>
      </c>
      <c r="B102" s="76">
        <f t="shared" ref="B102:C102" si="74">IF(B82&lt;0,B82*-1,0)</f>
        <v>0</v>
      </c>
      <c r="C102" s="76">
        <f t="shared" si="74"/>
        <v>0</v>
      </c>
      <c r="D102" s="76">
        <f t="shared" ref="D102:E102" si="75">IF(D82&lt;0,D82*-1,0)</f>
        <v>0</v>
      </c>
      <c r="E102" s="76">
        <f t="shared" si="75"/>
        <v>0</v>
      </c>
      <c r="F102" s="76">
        <f t="shared" ref="F102:G102" si="76">IF(F82&lt;0,F82*-1,0)</f>
        <v>0</v>
      </c>
      <c r="G102" s="76">
        <f t="shared" si="76"/>
        <v>0</v>
      </c>
      <c r="H102" s="76">
        <f t="shared" ref="H102:I102" si="77">IF(H82&lt;0,H82*-1,0)</f>
        <v>0</v>
      </c>
      <c r="I102" s="76">
        <f t="shared" si="77"/>
        <v>0</v>
      </c>
      <c r="J102" s="76">
        <f t="shared" ref="J102:K102" si="78">IF(J82&lt;0,J82*-1,0)</f>
        <v>0</v>
      </c>
      <c r="K102" s="76">
        <f t="shared" si="78"/>
        <v>0</v>
      </c>
      <c r="L102" s="76">
        <f t="shared" ref="L102" si="79">IF(L82&lt;0,L82*-1,0)</f>
        <v>0</v>
      </c>
      <c r="M102" s="76">
        <f t="shared" ref="M102:AF102" si="80">IF(M82&lt;0,M82*-1,0)</f>
        <v>0</v>
      </c>
      <c r="N102" s="76">
        <f t="shared" si="80"/>
        <v>0</v>
      </c>
      <c r="O102" s="76">
        <f t="shared" si="80"/>
        <v>0</v>
      </c>
      <c r="P102" s="76">
        <f t="shared" si="80"/>
        <v>0</v>
      </c>
      <c r="Q102" s="76">
        <f t="shared" si="80"/>
        <v>0</v>
      </c>
      <c r="R102" s="76">
        <f t="shared" si="80"/>
        <v>0</v>
      </c>
      <c r="S102" s="76">
        <f t="shared" si="80"/>
        <v>0</v>
      </c>
      <c r="T102" s="76">
        <f t="shared" si="80"/>
        <v>0</v>
      </c>
      <c r="U102" s="76">
        <f t="shared" si="80"/>
        <v>0</v>
      </c>
      <c r="V102" s="76">
        <f t="shared" si="80"/>
        <v>0</v>
      </c>
      <c r="W102" s="76">
        <f t="shared" si="80"/>
        <v>0</v>
      </c>
      <c r="X102" s="76">
        <f t="shared" si="80"/>
        <v>0</v>
      </c>
      <c r="Y102" s="76">
        <f t="shared" si="80"/>
        <v>0</v>
      </c>
      <c r="Z102" s="76">
        <f t="shared" si="80"/>
        <v>0</v>
      </c>
      <c r="AA102" s="76">
        <f t="shared" si="80"/>
        <v>0</v>
      </c>
      <c r="AB102" s="76">
        <f t="shared" si="80"/>
        <v>0</v>
      </c>
      <c r="AC102" s="76">
        <f t="shared" si="80"/>
        <v>0</v>
      </c>
      <c r="AD102" s="76">
        <f t="shared" si="80"/>
        <v>0</v>
      </c>
      <c r="AE102" s="76">
        <f t="shared" si="80"/>
        <v>0</v>
      </c>
      <c r="AF102" s="76">
        <f t="shared" si="80"/>
        <v>0</v>
      </c>
      <c r="AG102" s="55"/>
      <c r="AH102" s="47">
        <f t="shared" si="36"/>
        <v>0</v>
      </c>
      <c r="AI102" s="48">
        <f t="shared" si="37"/>
        <v>0</v>
      </c>
    </row>
    <row r="103" spans="1:37" x14ac:dyDescent="0.25">
      <c r="A103" s="84" t="s">
        <v>104</v>
      </c>
      <c r="B103" s="76">
        <f t="shared" ref="B103:C103" si="81">IF(B85&lt;0,B85*-1,0)</f>
        <v>0</v>
      </c>
      <c r="C103" s="76">
        <f t="shared" si="81"/>
        <v>0</v>
      </c>
      <c r="D103" s="76">
        <f t="shared" ref="D103:E103" si="82">IF(D85&lt;0,D85*-1,0)</f>
        <v>0</v>
      </c>
      <c r="E103" s="76">
        <f t="shared" si="82"/>
        <v>0</v>
      </c>
      <c r="F103" s="76">
        <f t="shared" ref="F103:G103" si="83">IF(F85&lt;0,F85*-1,0)</f>
        <v>0</v>
      </c>
      <c r="G103" s="76">
        <f t="shared" si="83"/>
        <v>0</v>
      </c>
      <c r="H103" s="76">
        <f t="shared" ref="H103:I103" si="84">IF(H85&lt;0,H85*-1,0)</f>
        <v>0</v>
      </c>
      <c r="I103" s="76">
        <f t="shared" si="84"/>
        <v>0</v>
      </c>
      <c r="J103" s="76">
        <f t="shared" ref="J103:K103" si="85">IF(J85&lt;0,J85*-1,0)</f>
        <v>0</v>
      </c>
      <c r="K103" s="76">
        <f t="shared" si="85"/>
        <v>0</v>
      </c>
      <c r="L103" s="76">
        <f t="shared" ref="L103" si="86">IF(L85&lt;0,L85*-1,0)</f>
        <v>0</v>
      </c>
      <c r="M103" s="76">
        <f t="shared" ref="M103:AF103" si="87">IF(M85&lt;0,M85*-1,0)</f>
        <v>0</v>
      </c>
      <c r="N103" s="76">
        <f t="shared" si="87"/>
        <v>0</v>
      </c>
      <c r="O103" s="76">
        <f t="shared" si="87"/>
        <v>0</v>
      </c>
      <c r="P103" s="76">
        <f t="shared" si="87"/>
        <v>0</v>
      </c>
      <c r="Q103" s="76">
        <f t="shared" si="87"/>
        <v>0</v>
      </c>
      <c r="R103" s="76">
        <f t="shared" si="87"/>
        <v>0</v>
      </c>
      <c r="S103" s="76">
        <f t="shared" si="87"/>
        <v>0</v>
      </c>
      <c r="T103" s="76">
        <f t="shared" si="87"/>
        <v>0</v>
      </c>
      <c r="U103" s="76">
        <f t="shared" si="87"/>
        <v>0</v>
      </c>
      <c r="V103" s="76">
        <f t="shared" si="87"/>
        <v>0</v>
      </c>
      <c r="W103" s="76">
        <f t="shared" si="87"/>
        <v>0</v>
      </c>
      <c r="X103" s="76">
        <f t="shared" si="87"/>
        <v>0</v>
      </c>
      <c r="Y103" s="76">
        <f t="shared" si="87"/>
        <v>0</v>
      </c>
      <c r="Z103" s="76">
        <f t="shared" si="87"/>
        <v>0</v>
      </c>
      <c r="AA103" s="76">
        <f t="shared" si="87"/>
        <v>0</v>
      </c>
      <c r="AB103" s="76">
        <f t="shared" si="87"/>
        <v>0</v>
      </c>
      <c r="AC103" s="76">
        <f t="shared" si="87"/>
        <v>0</v>
      </c>
      <c r="AD103" s="76">
        <f t="shared" si="87"/>
        <v>0</v>
      </c>
      <c r="AE103" s="76">
        <f t="shared" si="87"/>
        <v>0</v>
      </c>
      <c r="AF103" s="76">
        <f t="shared" si="87"/>
        <v>0</v>
      </c>
      <c r="AG103" s="98"/>
      <c r="AH103" s="47">
        <f t="shared" si="36"/>
        <v>0</v>
      </c>
      <c r="AI103" s="48">
        <f t="shared" si="37"/>
        <v>0</v>
      </c>
    </row>
    <row r="104" spans="1:37" x14ac:dyDescent="0.25">
      <c r="A104" s="84" t="s">
        <v>105</v>
      </c>
      <c r="B104" s="76">
        <f t="shared" ref="B104:C104" si="88">IF(B83&lt;0,B83*-1,0)</f>
        <v>0</v>
      </c>
      <c r="C104" s="76">
        <f t="shared" si="88"/>
        <v>0</v>
      </c>
      <c r="D104" s="76">
        <f t="shared" ref="D104:E104" si="89">IF(D83&lt;0,D83*-1,0)</f>
        <v>0</v>
      </c>
      <c r="E104" s="76">
        <f t="shared" si="89"/>
        <v>0</v>
      </c>
      <c r="F104" s="76">
        <f t="shared" ref="F104:G104" si="90">IF(F83&lt;0,F83*-1,0)</f>
        <v>0</v>
      </c>
      <c r="G104" s="76">
        <f t="shared" si="90"/>
        <v>0</v>
      </c>
      <c r="H104" s="76">
        <f t="shared" ref="H104:I104" si="91">IF(H83&lt;0,H83*-1,0)</f>
        <v>0</v>
      </c>
      <c r="I104" s="76">
        <f t="shared" si="91"/>
        <v>0</v>
      </c>
      <c r="J104" s="76">
        <f t="shared" ref="J104:K104" si="92">IF(J83&lt;0,J83*-1,0)</f>
        <v>0</v>
      </c>
      <c r="K104" s="76">
        <f t="shared" si="92"/>
        <v>0</v>
      </c>
      <c r="L104" s="76">
        <f t="shared" ref="L104" si="93">IF(L83&lt;0,L83*-1,0)</f>
        <v>0</v>
      </c>
      <c r="M104" s="76">
        <f t="shared" ref="M104:AF104" si="94">IF(M83&lt;0,M83*-1,0)</f>
        <v>0</v>
      </c>
      <c r="N104" s="76">
        <f t="shared" si="94"/>
        <v>0</v>
      </c>
      <c r="O104" s="76">
        <f t="shared" si="94"/>
        <v>0</v>
      </c>
      <c r="P104" s="76">
        <f t="shared" si="94"/>
        <v>0</v>
      </c>
      <c r="Q104" s="76">
        <f t="shared" si="94"/>
        <v>0</v>
      </c>
      <c r="R104" s="76">
        <f t="shared" si="94"/>
        <v>0</v>
      </c>
      <c r="S104" s="76">
        <f t="shared" si="94"/>
        <v>0</v>
      </c>
      <c r="T104" s="76">
        <f t="shared" si="94"/>
        <v>0</v>
      </c>
      <c r="U104" s="76">
        <f t="shared" si="94"/>
        <v>0</v>
      </c>
      <c r="V104" s="76">
        <f t="shared" si="94"/>
        <v>0</v>
      </c>
      <c r="W104" s="76">
        <f t="shared" si="94"/>
        <v>0</v>
      </c>
      <c r="X104" s="76">
        <f t="shared" si="94"/>
        <v>0</v>
      </c>
      <c r="Y104" s="76">
        <f t="shared" si="94"/>
        <v>0</v>
      </c>
      <c r="Z104" s="76">
        <f t="shared" si="94"/>
        <v>0</v>
      </c>
      <c r="AA104" s="76">
        <f t="shared" si="94"/>
        <v>0</v>
      </c>
      <c r="AB104" s="76">
        <f t="shared" si="94"/>
        <v>0</v>
      </c>
      <c r="AC104" s="76">
        <f t="shared" si="94"/>
        <v>0</v>
      </c>
      <c r="AD104" s="76">
        <f t="shared" si="94"/>
        <v>0</v>
      </c>
      <c r="AE104" s="76">
        <f t="shared" si="94"/>
        <v>0</v>
      </c>
      <c r="AF104" s="76">
        <f t="shared" si="94"/>
        <v>0</v>
      </c>
      <c r="AG104" s="98"/>
      <c r="AH104" s="47">
        <f t="shared" si="36"/>
        <v>0</v>
      </c>
      <c r="AI104" s="48">
        <f t="shared" si="37"/>
        <v>0</v>
      </c>
    </row>
    <row r="105" spans="1:37" x14ac:dyDescent="0.25">
      <c r="A105" s="84" t="s">
        <v>81</v>
      </c>
      <c r="B105" s="76">
        <f t="shared" ref="B105:C105" si="95">IF(B81&lt;0,B81*-1,0)</f>
        <v>0</v>
      </c>
      <c r="C105" s="76">
        <f t="shared" si="95"/>
        <v>0</v>
      </c>
      <c r="D105" s="76">
        <f t="shared" ref="D105:E105" si="96">IF(D81&lt;0,D81*-1,0)</f>
        <v>0</v>
      </c>
      <c r="E105" s="76">
        <f t="shared" si="96"/>
        <v>0</v>
      </c>
      <c r="F105" s="76">
        <f t="shared" ref="F105:G105" si="97">IF(F81&lt;0,F81*-1,0)</f>
        <v>0</v>
      </c>
      <c r="G105" s="76">
        <f t="shared" si="97"/>
        <v>0</v>
      </c>
      <c r="H105" s="76">
        <f t="shared" ref="H105:I105" si="98">IF(H81&lt;0,H81*-1,0)</f>
        <v>0</v>
      </c>
      <c r="I105" s="76">
        <f t="shared" si="98"/>
        <v>0</v>
      </c>
      <c r="J105" s="76">
        <f t="shared" ref="J105:K105" si="99">IF(J81&lt;0,J81*-1,0)</f>
        <v>0</v>
      </c>
      <c r="K105" s="76">
        <f t="shared" si="99"/>
        <v>0</v>
      </c>
      <c r="L105" s="76">
        <f t="shared" ref="L105" si="100">IF(L81&lt;0,L81*-1,0)</f>
        <v>0</v>
      </c>
      <c r="M105" s="76">
        <f t="shared" ref="M105:AF105" si="101">IF(M81&lt;0,M81*-1,0)</f>
        <v>0</v>
      </c>
      <c r="N105" s="76">
        <f t="shared" si="101"/>
        <v>0</v>
      </c>
      <c r="O105" s="76">
        <f t="shared" si="101"/>
        <v>0</v>
      </c>
      <c r="P105" s="76">
        <f t="shared" si="101"/>
        <v>0</v>
      </c>
      <c r="Q105" s="76">
        <f t="shared" si="101"/>
        <v>0</v>
      </c>
      <c r="R105" s="76">
        <f t="shared" si="101"/>
        <v>0</v>
      </c>
      <c r="S105" s="76">
        <f t="shared" si="101"/>
        <v>0</v>
      </c>
      <c r="T105" s="76">
        <f t="shared" si="101"/>
        <v>0</v>
      </c>
      <c r="U105" s="76">
        <f t="shared" si="101"/>
        <v>0</v>
      </c>
      <c r="V105" s="76">
        <f t="shared" si="101"/>
        <v>0</v>
      </c>
      <c r="W105" s="76">
        <f t="shared" si="101"/>
        <v>0</v>
      </c>
      <c r="X105" s="76">
        <f t="shared" si="101"/>
        <v>0</v>
      </c>
      <c r="Y105" s="76">
        <f t="shared" si="101"/>
        <v>0</v>
      </c>
      <c r="Z105" s="76">
        <f t="shared" si="101"/>
        <v>0</v>
      </c>
      <c r="AA105" s="76">
        <f t="shared" si="101"/>
        <v>0</v>
      </c>
      <c r="AB105" s="76">
        <f t="shared" si="101"/>
        <v>0</v>
      </c>
      <c r="AC105" s="76">
        <f t="shared" si="101"/>
        <v>0</v>
      </c>
      <c r="AD105" s="76">
        <f t="shared" si="101"/>
        <v>0</v>
      </c>
      <c r="AE105" s="76">
        <f t="shared" si="101"/>
        <v>0</v>
      </c>
      <c r="AF105" s="76">
        <f t="shared" si="101"/>
        <v>0</v>
      </c>
      <c r="AG105" s="98"/>
      <c r="AH105" s="47">
        <f t="shared" si="36"/>
        <v>0</v>
      </c>
      <c r="AI105" s="48">
        <f t="shared" si="37"/>
        <v>0</v>
      </c>
    </row>
    <row r="106" spans="1:37" ht="15.75" thickBot="1" x14ac:dyDescent="0.3">
      <c r="A106" s="84" t="s">
        <v>106</v>
      </c>
      <c r="B106" s="94">
        <v>5</v>
      </c>
      <c r="C106" s="94">
        <v>6</v>
      </c>
      <c r="D106" s="94">
        <v>7</v>
      </c>
      <c r="E106" s="94">
        <v>8</v>
      </c>
      <c r="F106" s="94">
        <v>9</v>
      </c>
      <c r="G106" s="94">
        <v>10</v>
      </c>
      <c r="H106" s="94">
        <v>11</v>
      </c>
      <c r="I106" s="94">
        <v>12</v>
      </c>
      <c r="J106" s="94">
        <v>13</v>
      </c>
      <c r="K106" s="94">
        <v>14</v>
      </c>
      <c r="L106" s="94">
        <v>15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6"/>
        <v>15</v>
      </c>
      <c r="AI106" s="48">
        <f t="shared" si="37"/>
        <v>0</v>
      </c>
    </row>
    <row r="107" spans="1:37" ht="15.75" thickBot="1" x14ac:dyDescent="0.3">
      <c r="A107" s="99" t="s">
        <v>107</v>
      </c>
      <c r="B107" s="60">
        <f t="shared" ref="B107:C107" si="102">SUM(B101:B106)</f>
        <v>5</v>
      </c>
      <c r="C107" s="60">
        <f t="shared" si="102"/>
        <v>6</v>
      </c>
      <c r="D107" s="60">
        <f t="shared" ref="D107:E107" si="103">SUM(D101:D106)</f>
        <v>7</v>
      </c>
      <c r="E107" s="60">
        <f t="shared" si="103"/>
        <v>8</v>
      </c>
      <c r="F107" s="60">
        <f t="shared" ref="F107:G107" si="104">SUM(F101:F106)</f>
        <v>9</v>
      </c>
      <c r="G107" s="60">
        <f t="shared" si="104"/>
        <v>10</v>
      </c>
      <c r="H107" s="60">
        <f t="shared" ref="H107:I107" si="105">SUM(H101:H106)</f>
        <v>11</v>
      </c>
      <c r="I107" s="60">
        <f t="shared" si="105"/>
        <v>12</v>
      </c>
      <c r="J107" s="60">
        <f t="shared" ref="J107:K107" si="106">SUM(J101:J106)</f>
        <v>13</v>
      </c>
      <c r="K107" s="60">
        <f t="shared" si="106"/>
        <v>14</v>
      </c>
      <c r="L107" s="60">
        <f t="shared" ref="L107" si="107">SUM(L101:L106)</f>
        <v>15</v>
      </c>
      <c r="M107" s="60">
        <f t="shared" ref="M107:AF107" si="108">SUM(M101:M106)</f>
        <v>0</v>
      </c>
      <c r="N107" s="60">
        <f t="shared" si="108"/>
        <v>0</v>
      </c>
      <c r="O107" s="60">
        <f t="shared" si="108"/>
        <v>0</v>
      </c>
      <c r="P107" s="60">
        <f t="shared" si="108"/>
        <v>0</v>
      </c>
      <c r="Q107" s="60">
        <f t="shared" si="108"/>
        <v>0</v>
      </c>
      <c r="R107" s="60">
        <f t="shared" si="108"/>
        <v>0</v>
      </c>
      <c r="S107" s="60">
        <f t="shared" si="108"/>
        <v>0</v>
      </c>
      <c r="T107" s="60">
        <f t="shared" si="108"/>
        <v>0</v>
      </c>
      <c r="U107" s="60">
        <f t="shared" si="108"/>
        <v>0</v>
      </c>
      <c r="V107" s="60">
        <f t="shared" si="108"/>
        <v>0</v>
      </c>
      <c r="W107" s="60">
        <f t="shared" si="108"/>
        <v>0</v>
      </c>
      <c r="X107" s="60">
        <f t="shared" si="108"/>
        <v>0</v>
      </c>
      <c r="Y107" s="60">
        <f t="shared" si="108"/>
        <v>0</v>
      </c>
      <c r="Z107" s="60">
        <f t="shared" si="108"/>
        <v>0</v>
      </c>
      <c r="AA107" s="60">
        <f t="shared" si="108"/>
        <v>0</v>
      </c>
      <c r="AB107" s="60">
        <f t="shared" si="108"/>
        <v>0</v>
      </c>
      <c r="AC107" s="60">
        <f t="shared" si="108"/>
        <v>0</v>
      </c>
      <c r="AD107" s="60">
        <f t="shared" si="108"/>
        <v>0</v>
      </c>
      <c r="AE107" s="60">
        <f t="shared" si="108"/>
        <v>0</v>
      </c>
      <c r="AF107" s="60">
        <f t="shared" si="108"/>
        <v>0</v>
      </c>
      <c r="AG107" s="88"/>
      <c r="AH107" s="47">
        <f t="shared" si="36"/>
        <v>15</v>
      </c>
      <c r="AI107" s="48">
        <f t="shared" si="37"/>
        <v>0</v>
      </c>
      <c r="AK107" s="50"/>
    </row>
    <row r="108" spans="1:37" ht="15.75" thickBot="1" x14ac:dyDescent="0.3">
      <c r="A108" s="74" t="s">
        <v>108</v>
      </c>
      <c r="B108" s="60">
        <f t="shared" ref="B108:C108" si="109">B92-B107</f>
        <v>313</v>
      </c>
      <c r="C108" s="60">
        <f t="shared" si="109"/>
        <v>339</v>
      </c>
      <c r="D108" s="60">
        <f t="shared" ref="D108:E108" si="110">D92-D107</f>
        <v>352.20000000000005</v>
      </c>
      <c r="E108" s="60">
        <f t="shared" si="110"/>
        <v>335</v>
      </c>
      <c r="F108" s="60">
        <f t="shared" ref="F108:G108" si="111">F92-F107</f>
        <v>338.5</v>
      </c>
      <c r="G108" s="60">
        <f t="shared" si="111"/>
        <v>337.90000000000003</v>
      </c>
      <c r="H108" s="60">
        <f t="shared" ref="H108:I108" si="112">H92-H107</f>
        <v>363.79999999999995</v>
      </c>
      <c r="I108" s="60">
        <f t="shared" si="112"/>
        <v>362.79999999999995</v>
      </c>
      <c r="J108" s="60">
        <f t="shared" ref="J108:K108" si="113">J92-J107</f>
        <v>430</v>
      </c>
      <c r="K108" s="60">
        <f t="shared" si="113"/>
        <v>407.4</v>
      </c>
      <c r="L108" s="60">
        <f t="shared" ref="L108" si="114">L92-L107</f>
        <v>364.2</v>
      </c>
      <c r="M108" s="60">
        <f t="shared" ref="M108:AF108" si="115">M92-M107</f>
        <v>183.8</v>
      </c>
      <c r="N108" s="60">
        <f t="shared" si="115"/>
        <v>225.5</v>
      </c>
      <c r="O108" s="60">
        <f t="shared" si="115"/>
        <v>210.9</v>
      </c>
      <c r="P108" s="60">
        <f t="shared" si="115"/>
        <v>309.5</v>
      </c>
      <c r="Q108" s="60">
        <f t="shared" si="115"/>
        <v>432.5</v>
      </c>
      <c r="R108" s="60">
        <f t="shared" si="115"/>
        <v>422</v>
      </c>
      <c r="S108" s="60">
        <f t="shared" si="115"/>
        <v>417.1</v>
      </c>
      <c r="T108" s="60">
        <f t="shared" si="115"/>
        <v>411.5</v>
      </c>
      <c r="U108" s="60">
        <f t="shared" si="115"/>
        <v>404.6</v>
      </c>
      <c r="V108" s="60">
        <f t="shared" si="115"/>
        <v>375</v>
      </c>
      <c r="W108" s="60">
        <f t="shared" si="115"/>
        <v>0</v>
      </c>
      <c r="X108" s="60">
        <f t="shared" si="115"/>
        <v>0</v>
      </c>
      <c r="Y108" s="60">
        <f t="shared" si="115"/>
        <v>0</v>
      </c>
      <c r="Z108" s="60">
        <f t="shared" si="115"/>
        <v>0</v>
      </c>
      <c r="AA108" s="60">
        <f t="shared" si="115"/>
        <v>0</v>
      </c>
      <c r="AB108" s="60">
        <f t="shared" si="115"/>
        <v>0</v>
      </c>
      <c r="AC108" s="60">
        <f t="shared" si="115"/>
        <v>0</v>
      </c>
      <c r="AD108" s="60">
        <f t="shared" si="115"/>
        <v>0</v>
      </c>
      <c r="AE108" s="60">
        <f t="shared" si="115"/>
        <v>0</v>
      </c>
      <c r="AF108" s="60">
        <f t="shared" si="115"/>
        <v>0</v>
      </c>
      <c r="AG108" s="88"/>
      <c r="AH108" s="47">
        <f t="shared" si="36"/>
        <v>432.5</v>
      </c>
      <c r="AI108" s="48">
        <f t="shared" si="37"/>
        <v>0</v>
      </c>
    </row>
    <row r="109" spans="1:37" x14ac:dyDescent="0.25">
      <c r="A109" s="100" t="s">
        <v>109</v>
      </c>
      <c r="B109" s="101">
        <v>50.05</v>
      </c>
      <c r="C109" s="101">
        <v>49.97</v>
      </c>
      <c r="D109" s="101">
        <v>50</v>
      </c>
      <c r="E109" s="101">
        <v>49.99</v>
      </c>
      <c r="F109" s="101">
        <v>50.02</v>
      </c>
      <c r="G109" s="101">
        <v>49.9</v>
      </c>
      <c r="H109" s="101">
        <v>49.99</v>
      </c>
      <c r="I109" s="101">
        <v>50.1</v>
      </c>
      <c r="J109" s="101">
        <v>50.1</v>
      </c>
      <c r="K109" s="101">
        <v>50.03</v>
      </c>
      <c r="L109" s="101">
        <v>49.9</v>
      </c>
      <c r="M109" s="101">
        <v>49.984000000000002</v>
      </c>
      <c r="N109" s="101">
        <v>50.085000000000001</v>
      </c>
      <c r="O109" s="101">
        <v>50.106000000000002</v>
      </c>
      <c r="P109" s="101">
        <v>50.06</v>
      </c>
      <c r="Q109" s="101">
        <v>50.1</v>
      </c>
      <c r="R109" s="101">
        <v>49.968699999999998</v>
      </c>
      <c r="S109" s="101">
        <v>50.055</v>
      </c>
      <c r="T109" s="101">
        <v>49.96</v>
      </c>
      <c r="U109" s="101">
        <v>49.966000000000001</v>
      </c>
      <c r="V109" s="101">
        <v>50.037999999999997</v>
      </c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2"/>
      <c r="AH109" s="47">
        <f t="shared" si="36"/>
        <v>50.106000000000002</v>
      </c>
      <c r="AI109" s="48">
        <f t="shared" si="37"/>
        <v>49.9</v>
      </c>
    </row>
    <row r="110" spans="1:37" x14ac:dyDescent="0.25">
      <c r="A110" s="103" t="s">
        <v>110</v>
      </c>
      <c r="B110" s="65">
        <v>128</v>
      </c>
      <c r="C110" s="65">
        <v>129</v>
      </c>
      <c r="D110" s="65">
        <v>129</v>
      </c>
      <c r="E110" s="65">
        <v>129.4</v>
      </c>
      <c r="F110" s="65">
        <v>130</v>
      </c>
      <c r="G110" s="65">
        <v>126.7</v>
      </c>
      <c r="H110" s="65">
        <v>126.7</v>
      </c>
      <c r="I110" s="65">
        <v>126.7</v>
      </c>
      <c r="J110" s="65">
        <v>126.7</v>
      </c>
      <c r="K110" s="65">
        <v>127</v>
      </c>
      <c r="L110" s="65">
        <v>126.1</v>
      </c>
      <c r="M110" s="65">
        <v>126.9</v>
      </c>
      <c r="N110" s="65">
        <v>127.4</v>
      </c>
      <c r="O110" s="65">
        <v>127.2</v>
      </c>
      <c r="P110" s="65">
        <v>124.6</v>
      </c>
      <c r="Q110" s="65">
        <v>125.9</v>
      </c>
      <c r="R110" s="65">
        <v>127.5</v>
      </c>
      <c r="S110" s="65">
        <v>127.3</v>
      </c>
      <c r="T110" s="65">
        <v>126.7</v>
      </c>
      <c r="U110" s="65">
        <v>127.2</v>
      </c>
      <c r="V110" s="65">
        <v>128.4</v>
      </c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104"/>
      <c r="AH110" s="47">
        <f t="shared" si="36"/>
        <v>130</v>
      </c>
      <c r="AI110" s="48">
        <f t="shared" si="37"/>
        <v>124.6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6"/>
        <v>0</v>
      </c>
      <c r="AI111" s="48">
        <f t="shared" si="37"/>
        <v>0</v>
      </c>
    </row>
    <row r="112" spans="1:37" x14ac:dyDescent="0.25">
      <c r="A112" s="103" t="s">
        <v>112</v>
      </c>
      <c r="B112" s="65">
        <v>133</v>
      </c>
      <c r="C112" s="65">
        <v>130</v>
      </c>
      <c r="D112" s="65">
        <v>130</v>
      </c>
      <c r="E112" s="65">
        <v>132.5</v>
      </c>
      <c r="F112" s="65">
        <v>132.80000000000001</v>
      </c>
      <c r="G112" s="65">
        <v>130.19999999999999</v>
      </c>
      <c r="H112" s="65">
        <v>130.19999999999999</v>
      </c>
      <c r="I112" s="65">
        <v>130.19999999999999</v>
      </c>
      <c r="J112" s="65">
        <v>130.19999999999999</v>
      </c>
      <c r="K112" s="65">
        <v>130.4</v>
      </c>
      <c r="L112" s="65">
        <v>129.80000000000001</v>
      </c>
      <c r="M112" s="65">
        <v>129.80000000000001</v>
      </c>
      <c r="N112" s="65">
        <v>130</v>
      </c>
      <c r="O112" s="65">
        <v>131.4</v>
      </c>
      <c r="P112" s="65">
        <v>127.5</v>
      </c>
      <c r="Q112" s="65">
        <v>131.6</v>
      </c>
      <c r="R112" s="65">
        <v>130.9</v>
      </c>
      <c r="S112" s="65">
        <v>130.19999999999999</v>
      </c>
      <c r="T112" s="65">
        <v>132.80000000000001</v>
      </c>
      <c r="U112" s="65">
        <v>132.9</v>
      </c>
      <c r="V112" s="65">
        <v>132</v>
      </c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36"/>
        <v>133</v>
      </c>
      <c r="AI112" s="48">
        <f t="shared" si="37"/>
        <v>127.5</v>
      </c>
    </row>
    <row r="113" spans="1:35" x14ac:dyDescent="0.25">
      <c r="A113" s="105" t="s">
        <v>113</v>
      </c>
      <c r="B113" s="65">
        <v>134.5</v>
      </c>
      <c r="C113" s="65">
        <v>132</v>
      </c>
      <c r="D113" s="65">
        <v>132</v>
      </c>
      <c r="E113" s="65">
        <v>134.1</v>
      </c>
      <c r="F113" s="65">
        <v>134.5</v>
      </c>
      <c r="G113" s="65">
        <v>132</v>
      </c>
      <c r="H113" s="65">
        <v>132</v>
      </c>
      <c r="I113" s="65">
        <v>132</v>
      </c>
      <c r="J113" s="65">
        <v>132</v>
      </c>
      <c r="K113" s="65">
        <v>131.19999999999999</v>
      </c>
      <c r="L113" s="65">
        <v>131.4</v>
      </c>
      <c r="M113" s="65">
        <v>131.6</v>
      </c>
      <c r="N113" s="65">
        <v>132.69999999999999</v>
      </c>
      <c r="O113" s="65">
        <v>134.4</v>
      </c>
      <c r="P113" s="65">
        <v>131</v>
      </c>
      <c r="Q113" s="65">
        <v>134</v>
      </c>
      <c r="R113" s="65">
        <v>133.19999999999999</v>
      </c>
      <c r="S113" s="65">
        <v>131.1</v>
      </c>
      <c r="T113" s="65">
        <v>132.9</v>
      </c>
      <c r="U113" s="65">
        <v>133.4</v>
      </c>
      <c r="V113" s="65">
        <v>131.9</v>
      </c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04"/>
      <c r="AH113" s="47">
        <f t="shared" si="36"/>
        <v>134.5</v>
      </c>
      <c r="AI113" s="48">
        <f t="shared" si="37"/>
        <v>131</v>
      </c>
    </row>
    <row r="114" spans="1:35" x14ac:dyDescent="0.25">
      <c r="A114" s="105" t="s">
        <v>114</v>
      </c>
      <c r="B114" s="106">
        <v>133</v>
      </c>
      <c r="C114" s="106">
        <v>133</v>
      </c>
      <c r="D114" s="106">
        <v>133</v>
      </c>
      <c r="E114" s="106">
        <v>134.5</v>
      </c>
      <c r="F114" s="106">
        <v>133.9</v>
      </c>
      <c r="G114" s="106">
        <v>131.4</v>
      </c>
      <c r="H114" s="106">
        <v>131.4</v>
      </c>
      <c r="I114" s="106">
        <v>131.4</v>
      </c>
      <c r="J114" s="106">
        <v>131.4</v>
      </c>
      <c r="K114" s="106">
        <v>135</v>
      </c>
      <c r="L114" s="106">
        <v>133.5</v>
      </c>
      <c r="M114" s="106">
        <v>133.6</v>
      </c>
      <c r="N114" s="106">
        <v>133.4</v>
      </c>
      <c r="O114" s="106">
        <v>135.69999999999999</v>
      </c>
      <c r="P114" s="106">
        <v>131</v>
      </c>
      <c r="Q114" s="106">
        <v>133.69999999999999</v>
      </c>
      <c r="R114" s="106">
        <v>134.9</v>
      </c>
      <c r="S114" s="106">
        <v>136.6</v>
      </c>
      <c r="T114" s="106">
        <v>134.4</v>
      </c>
      <c r="U114" s="106">
        <v>132.69999999999999</v>
      </c>
      <c r="V114" s="106">
        <v>135.69999999999999</v>
      </c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7"/>
      <c r="AH114" s="47">
        <f t="shared" si="36"/>
        <v>136.6</v>
      </c>
      <c r="AI114" s="48">
        <f t="shared" si="37"/>
        <v>131</v>
      </c>
    </row>
    <row r="115" spans="1:35" x14ac:dyDescent="0.25">
      <c r="A115" s="103" t="s">
        <v>115</v>
      </c>
      <c r="B115" s="65">
        <v>132</v>
      </c>
      <c r="C115" s="65">
        <v>130</v>
      </c>
      <c r="D115" s="65">
        <v>130</v>
      </c>
      <c r="E115" s="65">
        <v>127.2</v>
      </c>
      <c r="F115" s="65">
        <v>126.9</v>
      </c>
      <c r="G115" s="65">
        <v>123.4</v>
      </c>
      <c r="H115" s="65">
        <v>123.4</v>
      </c>
      <c r="I115" s="65">
        <v>123.4</v>
      </c>
      <c r="J115" s="65">
        <v>123.4</v>
      </c>
      <c r="K115" s="65">
        <v>131.80000000000001</v>
      </c>
      <c r="L115" s="65">
        <v>130.97999999999999</v>
      </c>
      <c r="M115" s="65">
        <v>134.30000000000001</v>
      </c>
      <c r="N115" s="65">
        <v>132.6</v>
      </c>
      <c r="O115" s="65">
        <v>134.30000000000001</v>
      </c>
      <c r="P115" s="65">
        <v>131.69999999999999</v>
      </c>
      <c r="Q115" s="65">
        <v>135</v>
      </c>
      <c r="R115" s="65">
        <v>137</v>
      </c>
      <c r="S115" s="65">
        <v>131.69999999999999</v>
      </c>
      <c r="T115" s="65">
        <v>131.5</v>
      </c>
      <c r="U115" s="65">
        <v>128.5</v>
      </c>
      <c r="V115" s="65">
        <v>135.80000000000001</v>
      </c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104"/>
      <c r="AH115" s="47">
        <f t="shared" si="36"/>
        <v>137</v>
      </c>
      <c r="AI115" s="48">
        <f t="shared" si="37"/>
        <v>123.4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6"/>
        <v>0</v>
      </c>
      <c r="AI116" s="48">
        <f t="shared" si="3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6"/>
        <v>0</v>
      </c>
      <c r="AI117" s="48">
        <f t="shared" si="37"/>
        <v>0</v>
      </c>
    </row>
    <row r="118" spans="1:35" ht="15.75" thickBot="1" x14ac:dyDescent="0.3">
      <c r="A118" s="110" t="s">
        <v>118</v>
      </c>
      <c r="B118" s="111">
        <f t="shared" ref="B118:C118" si="116">SUM(B22,B28,B31:B32,B66,B68:B69,B71,B73,B119:B123,B155,B161,B167,B176,B178,B190,B197,B200:B201,B208,B210,B212,B216:B218,B220:B222,B227,B233:B234,B236:B238,B246,B251)</f>
        <v>138.74</v>
      </c>
      <c r="C118" s="111">
        <f t="shared" si="116"/>
        <v>123.74000000000001</v>
      </c>
      <c r="D118" s="111">
        <f t="shared" ref="D118:E118" si="117">SUM(D22,D28,D31:D32,D66,D68:D69,D71,D73,D119:D123,D155,D161,D167,D176,D178,D190,D197,D200:D201,D208,D210,D212,D216:D218,D220:D222,D227,D233:D234,D236:D238,D246,D251)</f>
        <v>131.58999999999997</v>
      </c>
      <c r="E118" s="111">
        <f t="shared" si="117"/>
        <v>130.33999999999997</v>
      </c>
      <c r="F118" s="111">
        <f t="shared" ref="F118:G118" si="118">SUM(F22,F28,F31:F32,F66,F68:F69,F71,F73,F119:F123,F155,F161,F167,F176,F178,F190,F197,F200:F201,F208,F210,F212,F216:F218,F220:F222,F227,F233:F234,F236:F238,F246,F251)</f>
        <v>135.98999999999998</v>
      </c>
      <c r="G118" s="111">
        <f t="shared" si="118"/>
        <v>165.78999999999996</v>
      </c>
      <c r="H118" s="111">
        <f t="shared" ref="H118:I118" si="119">SUM(H22,H28,H31:H32,H66,H68:H69,H71,H73,H119:H123,H155,H161,H167,H176,H178,H190,H197,H200:H201,H208,H210,H212,H216:H218,H220:H222,H227,H233:H234,H236:H238,H246,H251)</f>
        <v>209.67999999999998</v>
      </c>
      <c r="I118" s="111">
        <f t="shared" si="119"/>
        <v>235.46000000000004</v>
      </c>
      <c r="J118" s="111">
        <f t="shared" ref="J118:K118" si="120">SUM(J22,J28,J31:J32,J66,J68:J69,J71,J73,J119:J123,J155,J161,J167,J176,J178,J190,J197,J200:J201,J208,J210,J212,J216:J218,J220:J222,J227,J233:J234,J236:J238,J246,J251)</f>
        <v>271.58</v>
      </c>
      <c r="K118" s="111">
        <f t="shared" si="120"/>
        <v>306.44</v>
      </c>
      <c r="L118" s="111">
        <f t="shared" ref="L118" si="121">SUM(L22,L28,L31:L32,L66,L68:L69,L71,L73,L119:L123,L155,L161,L167,L176,L178,L190,L197,L200:L201,L208,L210,L212,L216:L218,L220:L222,L227,L233:L234,L236:L238,L246,L251)</f>
        <v>328.94</v>
      </c>
      <c r="M118" s="111">
        <f t="shared" ref="M118:O118" si="122">SUM(M22,M28,M31:M32,M66,M68:M69,M71,M73,M119:M123,M155,M161,M167,M176,M178,M190,M197,M200:M201,M208,M210,M212,M216:M218,M220:M222,M227,M233:M234,M236:M238,M246,M251)</f>
        <v>330.36999999999995</v>
      </c>
      <c r="N118" s="111">
        <f t="shared" si="122"/>
        <v>298.459</v>
      </c>
      <c r="O118" s="111">
        <f t="shared" si="122"/>
        <v>306.387</v>
      </c>
      <c r="P118" s="111">
        <v>42</v>
      </c>
      <c r="Q118" s="111">
        <f t="shared" ref="Q118:AC118" si="123">SUM(Q22,Q28,Q31:Q32,Q66,Q68:Q69,Q71,Q73,Q119:Q123,Q155,Q161,Q167,Q176,Q178,Q190,Q197,Q200:Q201,Q208,Q210,Q212,Q216:Q218,Q220:Q222,Q227,Q233:Q234,Q236:Q238,Q246,Q251)</f>
        <v>245.14000000000001</v>
      </c>
      <c r="R118" s="111">
        <f t="shared" si="123"/>
        <v>268.15799999999996</v>
      </c>
      <c r="S118" s="111">
        <f t="shared" si="123"/>
        <v>219.517</v>
      </c>
      <c r="T118" s="111">
        <f t="shared" si="123"/>
        <v>230.24199999999999</v>
      </c>
      <c r="U118" s="111">
        <f t="shared" si="123"/>
        <v>228.82099999999997</v>
      </c>
      <c r="V118" s="111">
        <f t="shared" si="123"/>
        <v>249.16399999999999</v>
      </c>
      <c r="W118" s="111">
        <f t="shared" si="123"/>
        <v>0.94</v>
      </c>
      <c r="X118" s="111">
        <f t="shared" si="123"/>
        <v>0.94</v>
      </c>
      <c r="Y118" s="111">
        <f t="shared" si="123"/>
        <v>0.94</v>
      </c>
      <c r="Z118" s="111">
        <f t="shared" si="123"/>
        <v>0.94</v>
      </c>
      <c r="AA118" s="111">
        <f t="shared" si="123"/>
        <v>0.94</v>
      </c>
      <c r="AB118" s="111">
        <f t="shared" si="123"/>
        <v>0.94</v>
      </c>
      <c r="AC118" s="111">
        <f t="shared" si="123"/>
        <v>0.94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0.94</v>
      </c>
      <c r="AF118" s="111">
        <f>SUM(AF22,AF28,AF31:AF32,AF66,AF68:AF69,AF71,AF73,AF119:AF123,AF155,AF161,AF167,AF176,AF178,AF190,AF197,AF200:AF201,AF208,AF210,AF212,AF216:AF218,AF220:AF222,AF227,AF233:AF234,AF236:AF238,AF246,AF251)</f>
        <v>0.94</v>
      </c>
      <c r="AG118" s="112"/>
      <c r="AH118" s="47">
        <f t="shared" si="36"/>
        <v>330.36999999999995</v>
      </c>
      <c r="AI118" s="48">
        <f t="shared" si="37"/>
        <v>0.94</v>
      </c>
    </row>
    <row r="119" spans="1:35" x14ac:dyDescent="0.25">
      <c r="A119" s="181" t="s">
        <v>119</v>
      </c>
      <c r="B119" s="113">
        <v>63</v>
      </c>
      <c r="C119" s="113">
        <v>32</v>
      </c>
      <c r="D119" s="113">
        <v>29.8</v>
      </c>
      <c r="E119" s="113">
        <v>34.299999999999997</v>
      </c>
      <c r="F119" s="113">
        <v>34.799999999999997</v>
      </c>
      <c r="G119" s="113">
        <v>71.099999999999994</v>
      </c>
      <c r="H119" s="113">
        <v>71.099999999999994</v>
      </c>
      <c r="I119" s="113">
        <v>79</v>
      </c>
      <c r="J119" s="113">
        <v>78.900000000000006</v>
      </c>
      <c r="K119" s="113">
        <v>82.5</v>
      </c>
      <c r="L119" s="113">
        <v>73.599999999999994</v>
      </c>
      <c r="M119" s="113">
        <v>60.9</v>
      </c>
      <c r="N119" s="113">
        <v>31.9</v>
      </c>
      <c r="O119" s="113">
        <v>31.2</v>
      </c>
      <c r="P119" s="113">
        <v>47.7</v>
      </c>
      <c r="Q119" s="113">
        <v>46.7</v>
      </c>
      <c r="R119" s="113">
        <v>28.7</v>
      </c>
      <c r="S119" s="113">
        <v>15.4</v>
      </c>
      <c r="T119" s="113">
        <v>32.700000000000003</v>
      </c>
      <c r="U119" s="113">
        <v>27.1</v>
      </c>
      <c r="V119" s="113">
        <v>57.3</v>
      </c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36"/>
        <v>82.5</v>
      </c>
      <c r="AI119" s="48">
        <f t="shared" si="37"/>
        <v>15.4</v>
      </c>
    </row>
    <row r="120" spans="1:35" x14ac:dyDescent="0.25">
      <c r="A120" s="182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>
        <v>0</v>
      </c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36"/>
        <v>0</v>
      </c>
      <c r="AI120" s="48">
        <f t="shared" si="37"/>
        <v>0</v>
      </c>
    </row>
    <row r="121" spans="1:35" x14ac:dyDescent="0.25">
      <c r="A121" s="182" t="s">
        <v>121</v>
      </c>
      <c r="B121" s="115">
        <v>-69</v>
      </c>
      <c r="C121" s="115">
        <v>-66</v>
      </c>
      <c r="D121" s="115">
        <v>-67.900000000000006</v>
      </c>
      <c r="E121" s="115">
        <v>-68</v>
      </c>
      <c r="F121" s="115">
        <v>-67</v>
      </c>
      <c r="G121" s="115">
        <v>-69</v>
      </c>
      <c r="H121" s="115">
        <v>-49</v>
      </c>
      <c r="I121" s="115">
        <v>-42</v>
      </c>
      <c r="J121" s="115">
        <v>-22.9</v>
      </c>
      <c r="K121" s="115">
        <v>1</v>
      </c>
      <c r="L121" s="115">
        <v>14</v>
      </c>
      <c r="M121" s="115">
        <v>10.6</v>
      </c>
      <c r="N121" s="115">
        <v>1.2</v>
      </c>
      <c r="O121" s="115">
        <v>17.3</v>
      </c>
      <c r="P121" s="115">
        <v>-6.8</v>
      </c>
      <c r="Q121" s="115">
        <v>-19.600000000000001</v>
      </c>
      <c r="R121" s="115">
        <v>22.5</v>
      </c>
      <c r="S121" s="115">
        <v>-20</v>
      </c>
      <c r="T121" s="115">
        <v>-18.899999999999999</v>
      </c>
      <c r="U121" s="115">
        <v>-18</v>
      </c>
      <c r="V121" s="115">
        <v>-6.8</v>
      </c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4">
        <v>240</v>
      </c>
      <c r="AH121" s="47">
        <f t="shared" si="36"/>
        <v>22.5</v>
      </c>
      <c r="AI121" s="48">
        <f t="shared" si="37"/>
        <v>-69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36"/>
        <v>0</v>
      </c>
      <c r="AI122" s="48">
        <f t="shared" si="37"/>
        <v>0</v>
      </c>
    </row>
    <row r="123" spans="1:35" x14ac:dyDescent="0.25">
      <c r="A123" s="181" t="s">
        <v>267</v>
      </c>
      <c r="B123" s="117">
        <v>37</v>
      </c>
      <c r="C123" s="117">
        <v>50</v>
      </c>
      <c r="D123" s="117">
        <f>41.3*1.5</f>
        <v>61.949999999999996</v>
      </c>
      <c r="E123" s="117">
        <v>56.3</v>
      </c>
      <c r="F123" s="117">
        <f>40.3*1.5</f>
        <v>60.449999999999996</v>
      </c>
      <c r="G123" s="117">
        <f>37.3*1.5</f>
        <v>55.949999999999996</v>
      </c>
      <c r="H123" s="117">
        <f>49.9*1.6</f>
        <v>79.84</v>
      </c>
      <c r="I123" s="117">
        <f>56.7*1.6</f>
        <v>90.720000000000013</v>
      </c>
      <c r="J123" s="117">
        <f>67.4*1.6</f>
        <v>107.84000000000002</v>
      </c>
      <c r="K123" s="117">
        <f>72*1.6</f>
        <v>115.2</v>
      </c>
      <c r="L123" s="117">
        <f>83.5*1.6</f>
        <v>133.6</v>
      </c>
      <c r="M123" s="117">
        <f>1.63*91</f>
        <v>148.32999999999998</v>
      </c>
      <c r="N123" s="117">
        <f>1.63*91.3</f>
        <v>148.81899999999999</v>
      </c>
      <c r="O123" s="117">
        <f>1.63*86.9</f>
        <v>141.64699999999999</v>
      </c>
      <c r="P123" s="117">
        <v>100</v>
      </c>
      <c r="Q123" s="117">
        <v>95</v>
      </c>
      <c r="R123" s="117">
        <f>1.63*58.6</f>
        <v>95.518000000000001</v>
      </c>
      <c r="S123" s="117">
        <f>63.1*1.67</f>
        <v>105.377</v>
      </c>
      <c r="T123" s="117">
        <f>60.6*1.67</f>
        <v>101.202</v>
      </c>
      <c r="U123" s="117">
        <f>64.3*1.67</f>
        <v>107.38099999999999</v>
      </c>
      <c r="V123" s="117">
        <f>57.2*1.67</f>
        <v>95.524000000000001</v>
      </c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>
        <v>120</v>
      </c>
      <c r="AH123" s="47">
        <f t="shared" si="36"/>
        <v>148.81899999999999</v>
      </c>
      <c r="AI123" s="48">
        <f t="shared" si="37"/>
        <v>37</v>
      </c>
    </row>
    <row r="124" spans="1:35" x14ac:dyDescent="0.25">
      <c r="A124" s="182" t="s">
        <v>266</v>
      </c>
      <c r="B124" s="117">
        <v>58</v>
      </c>
      <c r="C124" s="117">
        <v>63</v>
      </c>
      <c r="D124" s="117">
        <v>62.7</v>
      </c>
      <c r="E124" s="117">
        <v>59.2</v>
      </c>
      <c r="F124" s="117">
        <v>60.7</v>
      </c>
      <c r="G124" s="117">
        <v>58.9</v>
      </c>
      <c r="H124" s="117">
        <v>69.3</v>
      </c>
      <c r="I124" s="117">
        <v>74.599999999999994</v>
      </c>
      <c r="J124" s="117">
        <v>85</v>
      </c>
      <c r="K124" s="117">
        <v>86.5</v>
      </c>
      <c r="L124" s="117">
        <v>96.3</v>
      </c>
      <c r="M124" s="117">
        <v>103.4</v>
      </c>
      <c r="N124" s="117">
        <v>103.5</v>
      </c>
      <c r="O124" s="117">
        <v>99</v>
      </c>
      <c r="P124" s="117">
        <v>81.7</v>
      </c>
      <c r="Q124" s="117">
        <v>79.900000000000006</v>
      </c>
      <c r="R124" s="117">
        <v>76.5</v>
      </c>
      <c r="S124" s="117">
        <v>81.400000000000006</v>
      </c>
      <c r="T124" s="117">
        <v>78.7</v>
      </c>
      <c r="U124" s="117">
        <v>82.3</v>
      </c>
      <c r="V124" s="117">
        <v>76.900000000000006</v>
      </c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8"/>
      <c r="AH124" s="47"/>
      <c r="AI124" s="48"/>
    </row>
    <row r="125" spans="1:35" x14ac:dyDescent="0.25">
      <c r="A125" s="182" t="s">
        <v>263</v>
      </c>
      <c r="B125" s="117">
        <v>35</v>
      </c>
      <c r="C125" s="117">
        <v>55</v>
      </c>
      <c r="D125" s="117">
        <v>63.4</v>
      </c>
      <c r="E125" s="117">
        <v>57.7</v>
      </c>
      <c r="F125" s="117">
        <v>53.7</v>
      </c>
      <c r="G125" s="117">
        <v>32.5</v>
      </c>
      <c r="H125" s="117">
        <v>28.8</v>
      </c>
      <c r="I125" s="117">
        <v>23.3</v>
      </c>
      <c r="J125" s="117">
        <v>20.100000000000001</v>
      </c>
      <c r="K125" s="117">
        <v>-3.5</v>
      </c>
      <c r="L125" s="117">
        <v>-1.5</v>
      </c>
      <c r="M125" s="117">
        <v>3</v>
      </c>
      <c r="N125" s="117">
        <v>13.3</v>
      </c>
      <c r="O125" s="117">
        <v>20</v>
      </c>
      <c r="P125" s="117">
        <v>26.6</v>
      </c>
      <c r="Q125" s="117">
        <v>39.1</v>
      </c>
      <c r="R125" s="117">
        <v>46.2</v>
      </c>
      <c r="S125" s="117">
        <v>56.5</v>
      </c>
      <c r="T125" s="117">
        <v>43.3</v>
      </c>
      <c r="U125" s="117">
        <v>48.2</v>
      </c>
      <c r="V125" s="117">
        <v>14.7</v>
      </c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8"/>
      <c r="AH125" s="47"/>
      <c r="AI125" s="48"/>
    </row>
    <row r="126" spans="1:35" ht="15.75" thickBot="1" x14ac:dyDescent="0.3">
      <c r="A126" s="182" t="s">
        <v>260</v>
      </c>
      <c r="B126" s="117">
        <v>70</v>
      </c>
      <c r="C126" s="117">
        <v>73</v>
      </c>
      <c r="D126" s="117">
        <v>78</v>
      </c>
      <c r="E126" s="117">
        <v>71.599999999999994</v>
      </c>
      <c r="F126" s="117">
        <v>72.2</v>
      </c>
      <c r="G126" s="117">
        <v>72.599999999999994</v>
      </c>
      <c r="H126" s="117">
        <v>79.7</v>
      </c>
      <c r="I126" s="117">
        <v>86.1</v>
      </c>
      <c r="J126" s="117">
        <v>99.8</v>
      </c>
      <c r="K126" s="117">
        <v>92</v>
      </c>
      <c r="L126" s="117">
        <v>101.7</v>
      </c>
      <c r="M126" s="117">
        <v>100.2</v>
      </c>
      <c r="N126" s="117">
        <v>97.2</v>
      </c>
      <c r="O126" s="117">
        <v>90.5</v>
      </c>
      <c r="P126" s="117">
        <v>87.4</v>
      </c>
      <c r="Q126" s="117">
        <v>93.2</v>
      </c>
      <c r="R126" s="117">
        <v>92.3</v>
      </c>
      <c r="S126" s="117">
        <v>94.4</v>
      </c>
      <c r="T126" s="117">
        <v>90.4</v>
      </c>
      <c r="U126" s="117">
        <v>100</v>
      </c>
      <c r="V126" s="117">
        <v>86.3</v>
      </c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4"/>
      <c r="AH126" s="47">
        <f t="shared" si="36"/>
        <v>101.7</v>
      </c>
      <c r="AI126" s="48">
        <f t="shared" si="37"/>
        <v>70</v>
      </c>
    </row>
    <row r="127" spans="1:35" x14ac:dyDescent="0.25">
      <c r="A127" s="181" t="s">
        <v>264</v>
      </c>
      <c r="B127" s="117">
        <v>-11</v>
      </c>
      <c r="C127" s="117">
        <v>4</v>
      </c>
      <c r="D127" s="117">
        <v>5.9</v>
      </c>
      <c r="E127" s="117">
        <v>2.4</v>
      </c>
      <c r="F127" s="117">
        <v>6</v>
      </c>
      <c r="G127" s="117">
        <v>-14.2</v>
      </c>
      <c r="H127" s="117">
        <v>-9.3000000000000007</v>
      </c>
      <c r="I127" s="117">
        <v>-8.1</v>
      </c>
      <c r="J127" s="117">
        <v>-17.899999999999999</v>
      </c>
      <c r="K127" s="117">
        <v>-16.899999999999999</v>
      </c>
      <c r="L127" s="117">
        <v>0</v>
      </c>
      <c r="M127" s="117">
        <v>7.5</v>
      </c>
      <c r="N127" s="117">
        <v>20.9</v>
      </c>
      <c r="O127" s="117">
        <v>5.6</v>
      </c>
      <c r="P127" s="117">
        <v>-12</v>
      </c>
      <c r="Q127" s="117">
        <v>-13.5</v>
      </c>
      <c r="R127" s="117">
        <v>-9.3000000000000007</v>
      </c>
      <c r="S127" s="117">
        <v>-4.2</v>
      </c>
      <c r="T127" s="117">
        <v>-11.8</v>
      </c>
      <c r="U127" s="117">
        <v>-9</v>
      </c>
      <c r="V127" s="117">
        <v>-10</v>
      </c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06"/>
      <c r="AG127" s="114"/>
      <c r="AH127" s="47">
        <f t="shared" si="36"/>
        <v>20.9</v>
      </c>
      <c r="AI127" s="48">
        <f t="shared" si="37"/>
        <v>-17.899999999999999</v>
      </c>
    </row>
    <row r="128" spans="1:35" x14ac:dyDescent="0.25">
      <c r="A128" s="182" t="s">
        <v>126</v>
      </c>
      <c r="B128" s="106">
        <v>-4</v>
      </c>
      <c r="C128" s="106">
        <v>-2</v>
      </c>
      <c r="D128" s="106">
        <v>-1.6</v>
      </c>
      <c r="E128" s="106">
        <v>-1.5</v>
      </c>
      <c r="F128" s="106">
        <v>-4.2</v>
      </c>
      <c r="G128" s="106">
        <v>-5.7</v>
      </c>
      <c r="H128" s="106">
        <v>-15.4</v>
      </c>
      <c r="I128" s="106">
        <v>-19.8</v>
      </c>
      <c r="J128" s="106">
        <v>-26.6</v>
      </c>
      <c r="K128" s="106">
        <v>-32.799999999999997</v>
      </c>
      <c r="L128" s="106">
        <v>-34.200000000000003</v>
      </c>
      <c r="M128" s="106">
        <v>-31.6</v>
      </c>
      <c r="N128" s="106">
        <v>-31.2</v>
      </c>
      <c r="O128" s="106">
        <v>-21.5</v>
      </c>
      <c r="P128" s="106">
        <v>-13.4</v>
      </c>
      <c r="Q128" s="106">
        <v>-7.6</v>
      </c>
      <c r="R128" s="106">
        <v>-1.9</v>
      </c>
      <c r="S128" s="106">
        <v>-4.8</v>
      </c>
      <c r="T128" s="106">
        <v>-5.3</v>
      </c>
      <c r="U128" s="106">
        <v>-5.5</v>
      </c>
      <c r="V128" s="106">
        <v>-14.8</v>
      </c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 t="shared" si="36"/>
        <v>-1.5</v>
      </c>
      <c r="AI128" s="48">
        <f t="shared" si="37"/>
        <v>-34.200000000000003</v>
      </c>
    </row>
    <row r="129" spans="1:37" x14ac:dyDescent="0.25">
      <c r="A129" s="182" t="s">
        <v>268</v>
      </c>
      <c r="B129" s="106">
        <v>30</v>
      </c>
      <c r="C129" s="106">
        <v>20</v>
      </c>
      <c r="D129" s="106">
        <v>23</v>
      </c>
      <c r="E129" s="106">
        <v>24.8</v>
      </c>
      <c r="F129" s="106">
        <v>20.6</v>
      </c>
      <c r="G129" s="106">
        <v>35.5</v>
      </c>
      <c r="H129" s="106">
        <v>22</v>
      </c>
      <c r="I129" s="106">
        <v>17.8</v>
      </c>
      <c r="J129" s="106">
        <v>11.2</v>
      </c>
      <c r="K129" s="106">
        <v>-7</v>
      </c>
      <c r="L129" s="106">
        <v>-19.5</v>
      </c>
      <c r="M129" s="106">
        <v>-17.8</v>
      </c>
      <c r="N129" s="106">
        <v>-15.5</v>
      </c>
      <c r="O129" s="106">
        <v>-20.6</v>
      </c>
      <c r="P129" s="106">
        <v>6.1</v>
      </c>
      <c r="Q129" s="106">
        <v>8.9</v>
      </c>
      <c r="R129" s="106">
        <v>10.199999999999999</v>
      </c>
      <c r="S129" s="106">
        <v>6.1</v>
      </c>
      <c r="T129" s="106">
        <v>7</v>
      </c>
      <c r="U129" s="106">
        <v>4.7</v>
      </c>
      <c r="V129" s="106">
        <v>-1.2</v>
      </c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14"/>
      <c r="AH129" s="47">
        <f t="shared" si="36"/>
        <v>35.5</v>
      </c>
      <c r="AI129" s="48">
        <f t="shared" si="37"/>
        <v>-20.6</v>
      </c>
    </row>
    <row r="130" spans="1:37" ht="15.75" thickBot="1" x14ac:dyDescent="0.3">
      <c r="A130" s="182" t="s">
        <v>265</v>
      </c>
      <c r="B130" s="106">
        <v>85</v>
      </c>
      <c r="C130" s="106">
        <v>83</v>
      </c>
      <c r="D130" s="106">
        <v>76</v>
      </c>
      <c r="E130" s="106">
        <v>77.2</v>
      </c>
      <c r="F130" s="106">
        <v>-64.8</v>
      </c>
      <c r="G130" s="106">
        <v>84.6</v>
      </c>
      <c r="H130" s="106">
        <v>85.8</v>
      </c>
      <c r="I130" s="106">
        <v>88.6</v>
      </c>
      <c r="J130" s="106">
        <v>93.8</v>
      </c>
      <c r="K130" s="106">
        <v>94.7</v>
      </c>
      <c r="L130" s="106">
        <v>89.7</v>
      </c>
      <c r="M130" s="106">
        <v>64.8</v>
      </c>
      <c r="N130" s="106">
        <v>88.8</v>
      </c>
      <c r="O130" s="106">
        <v>79.099999999999994</v>
      </c>
      <c r="P130" s="106">
        <v>88.2</v>
      </c>
      <c r="Q130" s="106">
        <v>83.4</v>
      </c>
      <c r="R130" s="106">
        <v>69.3</v>
      </c>
      <c r="S130" s="106">
        <v>75.900000000000006</v>
      </c>
      <c r="T130" s="106">
        <v>70.900000000000006</v>
      </c>
      <c r="U130" s="106">
        <v>68</v>
      </c>
      <c r="V130" s="106">
        <v>72</v>
      </c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14"/>
      <c r="AH130" s="47">
        <f t="shared" si="36"/>
        <v>94.7</v>
      </c>
      <c r="AI130" s="48">
        <f t="shared" si="37"/>
        <v>-64.8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376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243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244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x14ac:dyDescent="0.25">
      <c r="A135" s="199" t="s">
        <v>245</v>
      </c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6"/>
      <c r="AG135" s="153"/>
      <c r="AH135" s="47"/>
      <c r="AI135" s="48"/>
    </row>
    <row r="136" spans="1:37" x14ac:dyDescent="0.25">
      <c r="A136" s="199" t="s">
        <v>415</v>
      </c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6"/>
      <c r="AG136" s="153"/>
      <c r="AH136" s="47"/>
      <c r="AI136" s="48"/>
    </row>
    <row r="137" spans="1:37" ht="15.75" thickBot="1" x14ac:dyDescent="0.3">
      <c r="A137" s="199" t="s">
        <v>246</v>
      </c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9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124">SUM(B139:B243)</f>
        <v>0</v>
      </c>
      <c r="C244" s="137">
        <f t="shared" si="124"/>
        <v>0</v>
      </c>
      <c r="D244" s="137">
        <f t="shared" si="124"/>
        <v>0</v>
      </c>
      <c r="E244" s="137">
        <f t="shared" si="124"/>
        <v>0</v>
      </c>
      <c r="F244" s="137">
        <f t="shared" si="124"/>
        <v>0</v>
      </c>
      <c r="G244" s="137">
        <f t="shared" si="124"/>
        <v>0</v>
      </c>
      <c r="H244" s="137">
        <f t="shared" si="124"/>
        <v>0</v>
      </c>
      <c r="I244" s="137">
        <f t="shared" si="124"/>
        <v>0</v>
      </c>
      <c r="J244" s="137">
        <f t="shared" si="124"/>
        <v>0</v>
      </c>
      <c r="K244" s="137">
        <f t="shared" si="124"/>
        <v>0</v>
      </c>
      <c r="L244" s="137">
        <f t="shared" si="124"/>
        <v>0</v>
      </c>
      <c r="M244" s="137">
        <f t="shared" si="124"/>
        <v>0</v>
      </c>
      <c r="N244" s="137">
        <f t="shared" si="124"/>
        <v>0</v>
      </c>
      <c r="O244" s="137">
        <f t="shared" si="124"/>
        <v>0</v>
      </c>
      <c r="P244" s="137">
        <f t="shared" si="124"/>
        <v>0</v>
      </c>
      <c r="Q244" s="137">
        <f t="shared" si="124"/>
        <v>0</v>
      </c>
      <c r="R244" s="137">
        <f t="shared" si="124"/>
        <v>0</v>
      </c>
      <c r="S244" s="137">
        <f t="shared" si="124"/>
        <v>0</v>
      </c>
      <c r="T244" s="137">
        <f t="shared" si="124"/>
        <v>0</v>
      </c>
      <c r="U244" s="137">
        <f t="shared" si="124"/>
        <v>0</v>
      </c>
      <c r="V244" s="137">
        <f t="shared" si="124"/>
        <v>0</v>
      </c>
      <c r="W244" s="137">
        <f t="shared" si="124"/>
        <v>0</v>
      </c>
      <c r="X244" s="137">
        <f t="shared" si="124"/>
        <v>0</v>
      </c>
      <c r="Y244" s="137">
        <f t="shared" si="124"/>
        <v>0</v>
      </c>
      <c r="Z244" s="137">
        <f t="shared" si="124"/>
        <v>0</v>
      </c>
      <c r="AA244" s="137">
        <f t="shared" si="124"/>
        <v>0</v>
      </c>
      <c r="AB244" s="137">
        <f t="shared" si="124"/>
        <v>0</v>
      </c>
      <c r="AC244" s="137">
        <f t="shared" si="124"/>
        <v>0</v>
      </c>
      <c r="AD244" s="137">
        <f t="shared" si="124"/>
        <v>0</v>
      </c>
      <c r="AE244" s="137">
        <f t="shared" si="124"/>
        <v>0</v>
      </c>
      <c r="AF244" s="138">
        <f t="shared" si="124"/>
        <v>0</v>
      </c>
      <c r="AG244" s="139">
        <f t="shared" si="12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125">AF246</f>
        <v>0.3</v>
      </c>
      <c r="C246" s="141">
        <v>0.3</v>
      </c>
      <c r="D246" s="141">
        <f t="shared" ref="D246:S251" si="126">C246</f>
        <v>0.3</v>
      </c>
      <c r="E246" s="141">
        <f t="shared" si="126"/>
        <v>0.3</v>
      </c>
      <c r="F246" s="141">
        <f t="shared" si="126"/>
        <v>0.3</v>
      </c>
      <c r="G246" s="141">
        <f t="shared" si="126"/>
        <v>0.3</v>
      </c>
      <c r="H246" s="141">
        <f t="shared" si="126"/>
        <v>0.3</v>
      </c>
      <c r="I246" s="141">
        <f t="shared" si="126"/>
        <v>0.3</v>
      </c>
      <c r="J246" s="141">
        <f t="shared" si="126"/>
        <v>0.3</v>
      </c>
      <c r="K246" s="141">
        <f t="shared" si="126"/>
        <v>0.3</v>
      </c>
      <c r="L246" s="141">
        <f t="shared" si="126"/>
        <v>0.3</v>
      </c>
      <c r="M246" s="141">
        <f t="shared" si="126"/>
        <v>0.3</v>
      </c>
      <c r="N246" s="141">
        <f t="shared" si="126"/>
        <v>0.3</v>
      </c>
      <c r="O246" s="141">
        <f t="shared" si="126"/>
        <v>0.3</v>
      </c>
      <c r="P246" s="141">
        <f t="shared" si="126"/>
        <v>0.3</v>
      </c>
      <c r="Q246" s="141">
        <f t="shared" si="126"/>
        <v>0.3</v>
      </c>
      <c r="R246" s="141">
        <f t="shared" si="126"/>
        <v>0.3</v>
      </c>
      <c r="S246" s="141">
        <f t="shared" si="126"/>
        <v>0.3</v>
      </c>
      <c r="T246" s="141">
        <f t="shared" ref="T246:AF251" si="127">S246</f>
        <v>0.3</v>
      </c>
      <c r="U246" s="141">
        <f t="shared" si="127"/>
        <v>0.3</v>
      </c>
      <c r="V246" s="141">
        <f t="shared" si="127"/>
        <v>0.3</v>
      </c>
      <c r="W246" s="141">
        <f t="shared" si="127"/>
        <v>0.3</v>
      </c>
      <c r="X246" s="141">
        <f t="shared" si="127"/>
        <v>0.3</v>
      </c>
      <c r="Y246" s="141">
        <f t="shared" si="127"/>
        <v>0.3</v>
      </c>
      <c r="Z246" s="141">
        <f t="shared" si="127"/>
        <v>0.3</v>
      </c>
      <c r="AA246" s="141">
        <f t="shared" si="127"/>
        <v>0.3</v>
      </c>
      <c r="AB246" s="141">
        <f t="shared" si="127"/>
        <v>0.3</v>
      </c>
      <c r="AC246" s="141">
        <f t="shared" si="127"/>
        <v>0.3</v>
      </c>
      <c r="AD246" s="141">
        <f t="shared" si="127"/>
        <v>0.3</v>
      </c>
      <c r="AE246" s="141">
        <f t="shared" si="127"/>
        <v>0.3</v>
      </c>
      <c r="AF246" s="141">
        <f t="shared" si="127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125"/>
        <v>0.4</v>
      </c>
      <c r="C247" s="129">
        <v>0.4</v>
      </c>
      <c r="D247" s="129">
        <f t="shared" si="126"/>
        <v>0.4</v>
      </c>
      <c r="E247" s="129">
        <f t="shared" si="126"/>
        <v>0.4</v>
      </c>
      <c r="F247" s="129">
        <f t="shared" si="126"/>
        <v>0.4</v>
      </c>
      <c r="G247" s="129">
        <f t="shared" si="126"/>
        <v>0.4</v>
      </c>
      <c r="H247" s="129">
        <f t="shared" si="126"/>
        <v>0.4</v>
      </c>
      <c r="I247" s="129">
        <f t="shared" si="126"/>
        <v>0.4</v>
      </c>
      <c r="J247" s="129">
        <f t="shared" si="126"/>
        <v>0.4</v>
      </c>
      <c r="K247" s="129">
        <f t="shared" si="126"/>
        <v>0.4</v>
      </c>
      <c r="L247" s="129">
        <f t="shared" si="126"/>
        <v>0.4</v>
      </c>
      <c r="M247" s="129">
        <f t="shared" si="126"/>
        <v>0.4</v>
      </c>
      <c r="N247" s="129">
        <f t="shared" si="126"/>
        <v>0.4</v>
      </c>
      <c r="O247" s="129">
        <f t="shared" si="126"/>
        <v>0.4</v>
      </c>
      <c r="P247" s="129">
        <f t="shared" si="126"/>
        <v>0.4</v>
      </c>
      <c r="Q247" s="129">
        <f t="shared" si="126"/>
        <v>0.4</v>
      </c>
      <c r="R247" s="129">
        <f t="shared" si="126"/>
        <v>0.4</v>
      </c>
      <c r="S247" s="129">
        <f t="shared" si="126"/>
        <v>0.4</v>
      </c>
      <c r="T247" s="129">
        <f t="shared" si="127"/>
        <v>0.4</v>
      </c>
      <c r="U247" s="129">
        <f t="shared" si="127"/>
        <v>0.4</v>
      </c>
      <c r="V247" s="129">
        <f t="shared" si="127"/>
        <v>0.4</v>
      </c>
      <c r="W247" s="129">
        <f t="shared" si="127"/>
        <v>0.4</v>
      </c>
      <c r="X247" s="129">
        <f t="shared" si="127"/>
        <v>0.4</v>
      </c>
      <c r="Y247" s="129">
        <f t="shared" si="127"/>
        <v>0.4</v>
      </c>
      <c r="Z247" s="129">
        <f t="shared" si="127"/>
        <v>0.4</v>
      </c>
      <c r="AA247" s="129">
        <f t="shared" si="127"/>
        <v>0.4</v>
      </c>
      <c r="AB247" s="129">
        <f t="shared" si="127"/>
        <v>0.4</v>
      </c>
      <c r="AC247" s="129">
        <f t="shared" si="127"/>
        <v>0.4</v>
      </c>
      <c r="AD247" s="129">
        <f t="shared" si="127"/>
        <v>0.4</v>
      </c>
      <c r="AE247" s="129">
        <f t="shared" si="127"/>
        <v>0.4</v>
      </c>
      <c r="AF247" s="129">
        <f t="shared" si="127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125"/>
        <v>1.5</v>
      </c>
      <c r="C248" s="129">
        <v>1.5</v>
      </c>
      <c r="D248" s="129">
        <f t="shared" si="126"/>
        <v>1.5</v>
      </c>
      <c r="E248" s="129">
        <f t="shared" si="126"/>
        <v>1.5</v>
      </c>
      <c r="F248" s="129">
        <f t="shared" si="126"/>
        <v>1.5</v>
      </c>
      <c r="G248" s="129">
        <f t="shared" si="126"/>
        <v>1.5</v>
      </c>
      <c r="H248" s="129">
        <f t="shared" si="126"/>
        <v>1.5</v>
      </c>
      <c r="I248" s="129">
        <f t="shared" si="126"/>
        <v>1.5</v>
      </c>
      <c r="J248" s="129">
        <f t="shared" si="126"/>
        <v>1.5</v>
      </c>
      <c r="K248" s="129">
        <f t="shared" si="126"/>
        <v>1.5</v>
      </c>
      <c r="L248" s="129">
        <f t="shared" si="126"/>
        <v>1.5</v>
      </c>
      <c r="M248" s="129">
        <f t="shared" si="126"/>
        <v>1.5</v>
      </c>
      <c r="N248" s="129">
        <f t="shared" si="126"/>
        <v>1.5</v>
      </c>
      <c r="O248" s="129">
        <f t="shared" si="126"/>
        <v>1.5</v>
      </c>
      <c r="P248" s="129">
        <f t="shared" si="126"/>
        <v>1.5</v>
      </c>
      <c r="Q248" s="129">
        <f t="shared" si="126"/>
        <v>1.5</v>
      </c>
      <c r="R248" s="129">
        <f t="shared" si="126"/>
        <v>1.5</v>
      </c>
      <c r="S248" s="129">
        <f t="shared" si="126"/>
        <v>1.5</v>
      </c>
      <c r="T248" s="129">
        <f t="shared" si="127"/>
        <v>1.5</v>
      </c>
      <c r="U248" s="129">
        <f t="shared" si="127"/>
        <v>1.5</v>
      </c>
      <c r="V248" s="129">
        <f t="shared" si="127"/>
        <v>1.5</v>
      </c>
      <c r="W248" s="129">
        <f t="shared" si="127"/>
        <v>1.5</v>
      </c>
      <c r="X248" s="129">
        <f t="shared" si="127"/>
        <v>1.5</v>
      </c>
      <c r="Y248" s="129">
        <f t="shared" si="127"/>
        <v>1.5</v>
      </c>
      <c r="Z248" s="129">
        <f t="shared" si="127"/>
        <v>1.5</v>
      </c>
      <c r="AA248" s="129">
        <f t="shared" si="127"/>
        <v>1.5</v>
      </c>
      <c r="AB248" s="129">
        <f t="shared" si="127"/>
        <v>1.5</v>
      </c>
      <c r="AC248" s="129">
        <f t="shared" si="127"/>
        <v>1.5</v>
      </c>
      <c r="AD248" s="129">
        <f t="shared" si="127"/>
        <v>1.5</v>
      </c>
      <c r="AE248" s="129">
        <f t="shared" si="127"/>
        <v>1.5</v>
      </c>
      <c r="AF248" s="129">
        <f t="shared" si="127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125"/>
        <v>0.3</v>
      </c>
      <c r="C249" s="129">
        <v>0.3</v>
      </c>
      <c r="D249" s="129">
        <f t="shared" si="126"/>
        <v>0.3</v>
      </c>
      <c r="E249" s="129">
        <f t="shared" si="126"/>
        <v>0.3</v>
      </c>
      <c r="F249" s="129">
        <f t="shared" si="126"/>
        <v>0.3</v>
      </c>
      <c r="G249" s="129">
        <f t="shared" si="126"/>
        <v>0.3</v>
      </c>
      <c r="H249" s="129">
        <f t="shared" si="126"/>
        <v>0.3</v>
      </c>
      <c r="I249" s="129">
        <f t="shared" si="126"/>
        <v>0.3</v>
      </c>
      <c r="J249" s="129">
        <f t="shared" si="126"/>
        <v>0.3</v>
      </c>
      <c r="K249" s="129">
        <f t="shared" si="126"/>
        <v>0.3</v>
      </c>
      <c r="L249" s="129">
        <f t="shared" si="126"/>
        <v>0.3</v>
      </c>
      <c r="M249" s="129">
        <f t="shared" si="126"/>
        <v>0.3</v>
      </c>
      <c r="N249" s="129">
        <f t="shared" si="126"/>
        <v>0.3</v>
      </c>
      <c r="O249" s="129">
        <f t="shared" si="126"/>
        <v>0.3</v>
      </c>
      <c r="P249" s="129">
        <f t="shared" si="126"/>
        <v>0.3</v>
      </c>
      <c r="Q249" s="129">
        <f t="shared" si="126"/>
        <v>0.3</v>
      </c>
      <c r="R249" s="129">
        <f t="shared" si="126"/>
        <v>0.3</v>
      </c>
      <c r="S249" s="129">
        <f t="shared" si="126"/>
        <v>0.3</v>
      </c>
      <c r="T249" s="129">
        <f t="shared" si="127"/>
        <v>0.3</v>
      </c>
      <c r="U249" s="129">
        <f t="shared" si="127"/>
        <v>0.3</v>
      </c>
      <c r="V249" s="129">
        <f t="shared" si="127"/>
        <v>0.3</v>
      </c>
      <c r="W249" s="129">
        <f t="shared" si="127"/>
        <v>0.3</v>
      </c>
      <c r="X249" s="129">
        <f t="shared" si="127"/>
        <v>0.3</v>
      </c>
      <c r="Y249" s="129">
        <f t="shared" si="127"/>
        <v>0.3</v>
      </c>
      <c r="Z249" s="129">
        <f t="shared" si="127"/>
        <v>0.3</v>
      </c>
      <c r="AA249" s="129">
        <f t="shared" si="127"/>
        <v>0.3</v>
      </c>
      <c r="AB249" s="129">
        <f t="shared" si="127"/>
        <v>0.3</v>
      </c>
      <c r="AC249" s="129">
        <f t="shared" si="127"/>
        <v>0.3</v>
      </c>
      <c r="AD249" s="129">
        <f t="shared" si="127"/>
        <v>0.3</v>
      </c>
      <c r="AE249" s="129">
        <f t="shared" si="127"/>
        <v>0.3</v>
      </c>
      <c r="AF249" s="129">
        <f t="shared" si="127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125"/>
        <v>0.4</v>
      </c>
      <c r="C250" s="129">
        <v>0.4</v>
      </c>
      <c r="D250" s="129">
        <f t="shared" si="126"/>
        <v>0.4</v>
      </c>
      <c r="E250" s="129">
        <f t="shared" si="126"/>
        <v>0.4</v>
      </c>
      <c r="F250" s="129">
        <f t="shared" si="126"/>
        <v>0.4</v>
      </c>
      <c r="G250" s="129">
        <f t="shared" si="126"/>
        <v>0.4</v>
      </c>
      <c r="H250" s="129">
        <f t="shared" si="126"/>
        <v>0.4</v>
      </c>
      <c r="I250" s="129">
        <f t="shared" si="126"/>
        <v>0.4</v>
      </c>
      <c r="J250" s="129">
        <f t="shared" si="126"/>
        <v>0.4</v>
      </c>
      <c r="K250" s="129">
        <f t="shared" si="126"/>
        <v>0.4</v>
      </c>
      <c r="L250" s="129">
        <f t="shared" si="126"/>
        <v>0.4</v>
      </c>
      <c r="M250" s="129">
        <f t="shared" si="126"/>
        <v>0.4</v>
      </c>
      <c r="N250" s="129">
        <f t="shared" si="126"/>
        <v>0.4</v>
      </c>
      <c r="O250" s="129">
        <f t="shared" si="126"/>
        <v>0.4</v>
      </c>
      <c r="P250" s="129">
        <f t="shared" si="126"/>
        <v>0.4</v>
      </c>
      <c r="Q250" s="129">
        <f t="shared" si="126"/>
        <v>0.4</v>
      </c>
      <c r="R250" s="129">
        <f t="shared" si="126"/>
        <v>0.4</v>
      </c>
      <c r="S250" s="129">
        <f t="shared" si="126"/>
        <v>0.4</v>
      </c>
      <c r="T250" s="129">
        <f t="shared" si="127"/>
        <v>0.4</v>
      </c>
      <c r="U250" s="129">
        <f t="shared" si="127"/>
        <v>0.4</v>
      </c>
      <c r="V250" s="129">
        <f t="shared" si="127"/>
        <v>0.4</v>
      </c>
      <c r="W250" s="129">
        <f t="shared" si="127"/>
        <v>0.4</v>
      </c>
      <c r="X250" s="129">
        <f t="shared" si="127"/>
        <v>0.4</v>
      </c>
      <c r="Y250" s="129">
        <f t="shared" si="127"/>
        <v>0.4</v>
      </c>
      <c r="Z250" s="129">
        <f t="shared" si="127"/>
        <v>0.4</v>
      </c>
      <c r="AA250" s="129">
        <f t="shared" si="127"/>
        <v>0.4</v>
      </c>
      <c r="AB250" s="129">
        <f t="shared" si="127"/>
        <v>0.4</v>
      </c>
      <c r="AC250" s="129">
        <f t="shared" si="127"/>
        <v>0.4</v>
      </c>
      <c r="AD250" s="129">
        <f t="shared" si="127"/>
        <v>0.4</v>
      </c>
      <c r="AE250" s="129">
        <f t="shared" si="127"/>
        <v>0.4</v>
      </c>
      <c r="AF250" s="129">
        <f t="shared" si="127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125"/>
        <v>0.64</v>
      </c>
      <c r="C251" s="133">
        <v>0.64</v>
      </c>
      <c r="D251" s="133">
        <f t="shared" si="126"/>
        <v>0.64</v>
      </c>
      <c r="E251" s="133">
        <f t="shared" si="126"/>
        <v>0.64</v>
      </c>
      <c r="F251" s="133">
        <f t="shared" si="126"/>
        <v>0.64</v>
      </c>
      <c r="G251" s="133">
        <f t="shared" si="126"/>
        <v>0.64</v>
      </c>
      <c r="H251" s="133">
        <f t="shared" si="126"/>
        <v>0.64</v>
      </c>
      <c r="I251" s="133">
        <f t="shared" si="126"/>
        <v>0.64</v>
      </c>
      <c r="J251" s="133">
        <f t="shared" si="126"/>
        <v>0.64</v>
      </c>
      <c r="K251" s="133">
        <f t="shared" si="126"/>
        <v>0.64</v>
      </c>
      <c r="L251" s="133">
        <f t="shared" si="126"/>
        <v>0.64</v>
      </c>
      <c r="M251" s="133">
        <f t="shared" si="126"/>
        <v>0.64</v>
      </c>
      <c r="N251" s="133">
        <f t="shared" si="126"/>
        <v>0.64</v>
      </c>
      <c r="O251" s="133">
        <f t="shared" si="126"/>
        <v>0.64</v>
      </c>
      <c r="P251" s="133">
        <f t="shared" si="126"/>
        <v>0.64</v>
      </c>
      <c r="Q251" s="133">
        <f t="shared" si="126"/>
        <v>0.64</v>
      </c>
      <c r="R251" s="133">
        <f t="shared" si="126"/>
        <v>0.64</v>
      </c>
      <c r="S251" s="133">
        <f t="shared" si="126"/>
        <v>0.64</v>
      </c>
      <c r="T251" s="133">
        <f t="shared" si="127"/>
        <v>0.64</v>
      </c>
      <c r="U251" s="133">
        <f t="shared" si="127"/>
        <v>0.64</v>
      </c>
      <c r="V251" s="133">
        <f t="shared" si="127"/>
        <v>0.64</v>
      </c>
      <c r="W251" s="133">
        <f t="shared" si="127"/>
        <v>0.64</v>
      </c>
      <c r="X251" s="133">
        <f t="shared" si="127"/>
        <v>0.64</v>
      </c>
      <c r="Y251" s="133">
        <f t="shared" si="127"/>
        <v>0.64</v>
      </c>
      <c r="Z251" s="133">
        <f t="shared" si="127"/>
        <v>0.64</v>
      </c>
      <c r="AA251" s="133">
        <f t="shared" si="127"/>
        <v>0.64</v>
      </c>
      <c r="AB251" s="133">
        <f t="shared" si="127"/>
        <v>0.64</v>
      </c>
      <c r="AC251" s="133">
        <f t="shared" si="127"/>
        <v>0.64</v>
      </c>
      <c r="AD251" s="133">
        <f t="shared" si="127"/>
        <v>0.64</v>
      </c>
      <c r="AE251" s="133">
        <f t="shared" si="127"/>
        <v>0.64</v>
      </c>
      <c r="AF251" s="133">
        <f t="shared" si="127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128">SUM(B246:B251)</f>
        <v>3.54</v>
      </c>
      <c r="C252" s="137">
        <f t="shared" si="128"/>
        <v>3.54</v>
      </c>
      <c r="D252" s="137">
        <f t="shared" si="128"/>
        <v>3.54</v>
      </c>
      <c r="E252" s="137">
        <f t="shared" si="128"/>
        <v>3.54</v>
      </c>
      <c r="F252" s="137">
        <f t="shared" si="128"/>
        <v>3.54</v>
      </c>
      <c r="G252" s="137">
        <f t="shared" si="128"/>
        <v>3.54</v>
      </c>
      <c r="H252" s="137">
        <f t="shared" si="128"/>
        <v>3.54</v>
      </c>
      <c r="I252" s="137">
        <f t="shared" si="128"/>
        <v>3.54</v>
      </c>
      <c r="J252" s="137">
        <f t="shared" si="128"/>
        <v>3.54</v>
      </c>
      <c r="K252" s="137">
        <f t="shared" si="128"/>
        <v>3.54</v>
      </c>
      <c r="L252" s="137">
        <f t="shared" si="128"/>
        <v>3.54</v>
      </c>
      <c r="M252" s="137">
        <f t="shared" si="128"/>
        <v>3.54</v>
      </c>
      <c r="N252" s="137">
        <f t="shared" si="128"/>
        <v>3.54</v>
      </c>
      <c r="O252" s="137">
        <f t="shared" si="128"/>
        <v>3.54</v>
      </c>
      <c r="P252" s="137">
        <f t="shared" si="128"/>
        <v>3.54</v>
      </c>
      <c r="Q252" s="137">
        <f t="shared" si="128"/>
        <v>3.54</v>
      </c>
      <c r="R252" s="137">
        <f t="shared" si="128"/>
        <v>3.54</v>
      </c>
      <c r="S252" s="137">
        <f t="shared" si="128"/>
        <v>3.54</v>
      </c>
      <c r="T252" s="137">
        <f t="shared" si="128"/>
        <v>3.54</v>
      </c>
      <c r="U252" s="137">
        <f t="shared" si="128"/>
        <v>3.54</v>
      </c>
      <c r="V252" s="137">
        <f t="shared" si="128"/>
        <v>3.54</v>
      </c>
      <c r="W252" s="137">
        <f t="shared" si="128"/>
        <v>3.54</v>
      </c>
      <c r="X252" s="137">
        <f t="shared" si="128"/>
        <v>3.54</v>
      </c>
      <c r="Y252" s="137">
        <f t="shared" si="128"/>
        <v>3.54</v>
      </c>
      <c r="Z252" s="137">
        <f t="shared" si="128"/>
        <v>3.54</v>
      </c>
      <c r="AA252" s="137">
        <f t="shared" si="128"/>
        <v>3.54</v>
      </c>
      <c r="AB252" s="137">
        <f t="shared" si="128"/>
        <v>3.54</v>
      </c>
      <c r="AC252" s="137">
        <f t="shared" si="128"/>
        <v>3.54</v>
      </c>
      <c r="AD252" s="137">
        <f t="shared" si="128"/>
        <v>3.54</v>
      </c>
      <c r="AE252" s="137">
        <f t="shared" si="128"/>
        <v>3.54</v>
      </c>
      <c r="AF252" s="137">
        <f t="shared" si="128"/>
        <v>3.54</v>
      </c>
      <c r="AG252" s="146">
        <f t="shared" si="12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1675.5400000000002</v>
      </c>
      <c r="C256" s="162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mag1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e">
        <f ca="1">"Pie Chart of Daily Peak Demand(Inclusive of Export) of Nepal ("&amp;A4&amp;" "&amp;B4&amp;")"</f>
        <v>#VALUE!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e">
        <f ca="1">"Daily Load Curve(Excluding of Export) of Nepal ("&amp;A4&amp;" "&amp;B4&amp;")"</f>
        <v>#VALUE!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129">B99</f>
        <v>1127.6399999999999</v>
      </c>
      <c r="U261" s="171">
        <f t="shared" si="129"/>
        <v>1077.6399999999999</v>
      </c>
      <c r="V261" s="171">
        <f t="shared" si="129"/>
        <v>1091.8400000000001</v>
      </c>
      <c r="W261" s="171">
        <f t="shared" si="129"/>
        <v>1075.6399999999999</v>
      </c>
      <c r="X261" s="171">
        <f t="shared" si="129"/>
        <v>1080.1399999999999</v>
      </c>
      <c r="Y261" s="171">
        <f t="shared" si="129"/>
        <v>1191.3400000000001</v>
      </c>
      <c r="Z261" s="171">
        <f t="shared" si="129"/>
        <v>1282.6400000000001</v>
      </c>
      <c r="AA261" s="171">
        <f t="shared" si="129"/>
        <v>1357.94</v>
      </c>
      <c r="AB261" s="171">
        <f t="shared" si="129"/>
        <v>1465.04</v>
      </c>
      <c r="AC261" s="171">
        <f t="shared" si="129"/>
        <v>1437.74</v>
      </c>
      <c r="AD261" s="171">
        <f t="shared" si="129"/>
        <v>1675.5400000000002</v>
      </c>
      <c r="AE261" s="171">
        <f t="shared" si="129"/>
        <v>1563.6100000000001</v>
      </c>
      <c r="AF261" s="171">
        <f t="shared" si="129"/>
        <v>1495.71</v>
      </c>
      <c r="AG261" s="171">
        <f t="shared" si="129"/>
        <v>1371.74</v>
      </c>
      <c r="AH261" s="171">
        <f t="shared" si="129"/>
        <v>1341.64</v>
      </c>
      <c r="AI261" s="171">
        <f t="shared" si="129"/>
        <v>1241.1400000000001</v>
      </c>
      <c r="AJ261" s="171">
        <f t="shared" si="129"/>
        <v>1231.44</v>
      </c>
      <c r="AK261" s="171">
        <f t="shared" si="129"/>
        <v>1169.04</v>
      </c>
      <c r="AL261" s="171">
        <f t="shared" si="129"/>
        <v>1144.3400000000001</v>
      </c>
      <c r="AM261" s="171">
        <f t="shared" si="129"/>
        <v>1134.8400000000001</v>
      </c>
      <c r="AN261" s="171">
        <f t="shared" si="129"/>
        <v>1106.04</v>
      </c>
      <c r="AO261" s="171">
        <f t="shared" si="129"/>
        <v>3.54</v>
      </c>
      <c r="AP261" s="171">
        <f t="shared" si="129"/>
        <v>3.54</v>
      </c>
      <c r="AQ261" s="171">
        <f t="shared" si="129"/>
        <v>3.54</v>
      </c>
      <c r="AR261" s="171">
        <f t="shared" si="129"/>
        <v>3.54</v>
      </c>
      <c r="AS261" s="171">
        <f t="shared" si="129"/>
        <v>3.54</v>
      </c>
      <c r="AT261" s="171">
        <f t="shared" si="129"/>
        <v>3.54</v>
      </c>
      <c r="AU261" s="171">
        <f t="shared" si="129"/>
        <v>3.54</v>
      </c>
      <c r="AV261" s="171">
        <f t="shared" si="129"/>
        <v>3.54</v>
      </c>
      <c r="AW261" s="171">
        <f t="shared" si="129"/>
        <v>3.54</v>
      </c>
      <c r="AX261" s="171">
        <f t="shared" si="129"/>
        <v>3.54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130">C251</f>
        <v>0.64</v>
      </c>
      <c r="C282" s="174">
        <f t="shared" si="130"/>
        <v>0.64</v>
      </c>
      <c r="D282" s="174">
        <f t="shared" si="130"/>
        <v>0.64</v>
      </c>
      <c r="E282" s="174">
        <f t="shared" si="130"/>
        <v>0.64</v>
      </c>
      <c r="F282" s="174">
        <f t="shared" si="130"/>
        <v>0.64</v>
      </c>
      <c r="G282" s="174">
        <f t="shared" si="130"/>
        <v>0.64</v>
      </c>
      <c r="H282" s="174">
        <f t="shared" si="130"/>
        <v>0.64</v>
      </c>
      <c r="I282" s="174">
        <f t="shared" si="130"/>
        <v>0.64</v>
      </c>
      <c r="J282" s="174">
        <f t="shared" si="130"/>
        <v>0.64</v>
      </c>
      <c r="K282" s="174">
        <f t="shared" si="130"/>
        <v>0.64</v>
      </c>
      <c r="L282" s="174">
        <f t="shared" si="130"/>
        <v>0.64</v>
      </c>
      <c r="M282" s="174">
        <f t="shared" si="130"/>
        <v>0.64</v>
      </c>
      <c r="N282" s="174">
        <f t="shared" si="130"/>
        <v>0.64</v>
      </c>
      <c r="O282" s="174">
        <f t="shared" si="130"/>
        <v>0.64</v>
      </c>
      <c r="P282" s="174">
        <f t="shared" si="130"/>
        <v>0.64</v>
      </c>
      <c r="Q282" s="174">
        <f t="shared" si="130"/>
        <v>0.64</v>
      </c>
      <c r="R282" s="174">
        <f t="shared" si="130"/>
        <v>0.64</v>
      </c>
      <c r="S282" s="174">
        <f t="shared" si="130"/>
        <v>0.64</v>
      </c>
      <c r="T282" s="174">
        <f t="shared" si="130"/>
        <v>0.64</v>
      </c>
      <c r="U282" s="174">
        <f t="shared" si="130"/>
        <v>0.64</v>
      </c>
      <c r="V282" s="174">
        <f t="shared" si="130"/>
        <v>0.64</v>
      </c>
      <c r="W282" s="174">
        <f t="shared" si="130"/>
        <v>0.64</v>
      </c>
      <c r="X282" s="174">
        <f t="shared" si="130"/>
        <v>0.64</v>
      </c>
      <c r="Y282" s="174">
        <f t="shared" si="130"/>
        <v>0.64</v>
      </c>
      <c r="Z282" s="174">
        <f t="shared" si="130"/>
        <v>0.64</v>
      </c>
      <c r="AA282" s="174">
        <f t="shared" si="130"/>
        <v>0.64</v>
      </c>
      <c r="AB282" s="174">
        <f t="shared" si="130"/>
        <v>0.64</v>
      </c>
      <c r="AC282" s="174">
        <f t="shared" si="130"/>
        <v>0.64</v>
      </c>
      <c r="AD282" s="174">
        <f t="shared" si="130"/>
        <v>0.64</v>
      </c>
      <c r="AE282" s="174">
        <f t="shared" si="130"/>
        <v>0.64</v>
      </c>
      <c r="AF282" s="174">
        <f>B251</f>
        <v>0.64</v>
      </c>
      <c r="AG282" s="43"/>
      <c r="AH282" s="43"/>
    </row>
    <row r="283" spans="1:34" x14ac:dyDescent="0.25">
      <c r="A283" s="175" t="e">
        <f>#REF!</f>
        <v>#REF!</v>
      </c>
      <c r="B283" s="175" t="e">
        <f>IF(#REF!&lt;100,"",#REF!-520)</f>
        <v>#REF!</v>
      </c>
      <c r="C283" s="175" t="e">
        <f>IF(#REF!&lt;100,"",#REF!-520)</f>
        <v>#REF!</v>
      </c>
      <c r="D283" s="175" t="e">
        <f>IF(#REF!&lt;100,"",#REF!-520)</f>
        <v>#REF!</v>
      </c>
      <c r="E283" s="175" t="e">
        <f>IF(#REF!&lt;100,"",#REF!-520)</f>
        <v>#REF!</v>
      </c>
      <c r="F283" s="175" t="e">
        <f>IF(#REF!&lt;100,"",#REF!-520)</f>
        <v>#REF!</v>
      </c>
      <c r="G283" s="175" t="e">
        <f>IF(#REF!&lt;100,"",#REF!-520)</f>
        <v>#REF!</v>
      </c>
      <c r="H283" s="175" t="e">
        <f>IF(#REF!&lt;100,"",#REF!-520)</f>
        <v>#REF!</v>
      </c>
      <c r="I283" s="175" t="e">
        <f>IF(#REF!&lt;100,"",#REF!-520)</f>
        <v>#REF!</v>
      </c>
      <c r="J283" s="175" t="e">
        <f>IF(#REF!&lt;100,"",#REF!-520)</f>
        <v>#REF!</v>
      </c>
      <c r="K283" s="175" t="e">
        <f>IF(#REF!&lt;100,"",#REF!-520)</f>
        <v>#REF!</v>
      </c>
      <c r="L283" s="175" t="e">
        <f>IF(#REF!&lt;100,"",#REF!-520)</f>
        <v>#REF!</v>
      </c>
      <c r="M283" s="175" t="e">
        <f>IF(#REF!&lt;100,"",#REF!-520)</f>
        <v>#REF!</v>
      </c>
      <c r="N283" s="175" t="e">
        <f>IF(#REF!&lt;100,"",#REF!-520)</f>
        <v>#REF!</v>
      </c>
      <c r="O283" s="175" t="e">
        <f>IF(#REF!&lt;100,"",#REF!-520)</f>
        <v>#REF!</v>
      </c>
      <c r="P283" s="175" t="e">
        <f>IF(#REF!&lt;100,"",#REF!-520)</f>
        <v>#REF!</v>
      </c>
      <c r="Q283" s="175" t="e">
        <f>IF(#REF!&lt;100,"",#REF!-520)</f>
        <v>#REF!</v>
      </c>
      <c r="R283" s="175" t="e">
        <f>IF(#REF!&lt;100,"",#REF!-520)</f>
        <v>#REF!</v>
      </c>
      <c r="S283" s="175" t="e">
        <f>IF(#REF!&lt;100,"",#REF!-520)</f>
        <v>#REF!</v>
      </c>
      <c r="T283" s="175" t="e">
        <f>IF(#REF!&lt;100,"",#REF!-520)</f>
        <v>#REF!</v>
      </c>
      <c r="U283" s="175" t="e">
        <f>IF(#REF!&lt;100,"",#REF!-520)</f>
        <v>#REF!</v>
      </c>
      <c r="V283" s="175" t="e">
        <f>IF(#REF!&lt;100,"",#REF!-520)</f>
        <v>#REF!</v>
      </c>
      <c r="W283" s="175" t="e">
        <f>IF(#REF!&lt;100,"",#REF!-520)</f>
        <v>#REF!</v>
      </c>
      <c r="X283" s="175" t="e">
        <f>IF(#REF!&lt;100,"",#REF!-520)</f>
        <v>#REF!</v>
      </c>
      <c r="Y283" s="175" t="e">
        <f>IF(#REF!&lt;100,"",#REF!-520)</f>
        <v>#REF!</v>
      </c>
      <c r="Z283" s="175" t="e">
        <f>IF(#REF!&lt;100,"",#REF!-520)</f>
        <v>#REF!</v>
      </c>
      <c r="AA283" s="175" t="e">
        <f>IF(#REF!&lt;100,"",#REF!-520)</f>
        <v>#REF!</v>
      </c>
      <c r="AB283" s="175" t="e">
        <f>IF(#REF!&lt;100,"",#REF!-520)</f>
        <v>#REF!</v>
      </c>
      <c r="AC283" s="175" t="e">
        <f>IF(#REF!&lt;100,"",#REF!-520)</f>
        <v>#REF!</v>
      </c>
      <c r="AD283" s="175" t="e">
        <f>IF(#REF!&lt;100,"",#REF!-520)</f>
        <v>#REF!</v>
      </c>
      <c r="AE283" s="175" t="e">
        <f>IF(#REF!&lt;100,"",#REF!-520)</f>
        <v>#REF!</v>
      </c>
      <c r="AF283" s="175" t="e">
        <f>IF(#REF!&lt;100,"",#REF!-520)</f>
        <v>#REF!</v>
      </c>
      <c r="AG283" s="43"/>
      <c r="AH283" s="43"/>
    </row>
    <row r="284" spans="1:34" x14ac:dyDescent="0.25">
      <c r="A284" s="175" t="e">
        <f>#REF!</f>
        <v>#REF!</v>
      </c>
      <c r="B284" s="175" t="e">
        <f>IF(#REF!&lt;100,"",#REF!-620)</f>
        <v>#REF!</v>
      </c>
      <c r="C284" s="175" t="e">
        <f>IF(#REF!&lt;100,"",#REF!-620)</f>
        <v>#REF!</v>
      </c>
      <c r="D284" s="175" t="e">
        <f>IF(#REF!&lt;100,"",#REF!-620)</f>
        <v>#REF!</v>
      </c>
      <c r="E284" s="175" t="e">
        <f>IF(#REF!&lt;100,"",#REF!-620)</f>
        <v>#REF!</v>
      </c>
      <c r="F284" s="175" t="e">
        <f>IF(#REF!&lt;100,"",#REF!-620)</f>
        <v>#REF!</v>
      </c>
      <c r="G284" s="175" t="e">
        <f>IF(#REF!&lt;100,"",#REF!-620)</f>
        <v>#REF!</v>
      </c>
      <c r="H284" s="175" t="e">
        <f>IF(#REF!&lt;100,"",#REF!-620)</f>
        <v>#REF!</v>
      </c>
      <c r="I284" s="175" t="e">
        <f>IF(#REF!&lt;100,"",#REF!-620)</f>
        <v>#REF!</v>
      </c>
      <c r="J284" s="175" t="e">
        <f>IF(#REF!&lt;100,"",#REF!-620)</f>
        <v>#REF!</v>
      </c>
      <c r="K284" s="175" t="e">
        <f>IF(#REF!&lt;100,"",#REF!-620)</f>
        <v>#REF!</v>
      </c>
      <c r="L284" s="175" t="e">
        <f>IF(#REF!&lt;100,"",#REF!-620)</f>
        <v>#REF!</v>
      </c>
      <c r="M284" s="175" t="e">
        <f>IF(#REF!&lt;100,"",#REF!-620)</f>
        <v>#REF!</v>
      </c>
      <c r="N284" s="175" t="e">
        <f>IF(#REF!&lt;100,"",#REF!-620)</f>
        <v>#REF!</v>
      </c>
      <c r="O284" s="175" t="e">
        <f>IF(#REF!&lt;100,"",#REF!-620)</f>
        <v>#REF!</v>
      </c>
      <c r="P284" s="175" t="e">
        <f>IF(#REF!&lt;100,"",#REF!-620)</f>
        <v>#REF!</v>
      </c>
      <c r="Q284" s="175" t="e">
        <f>IF(#REF!&lt;100,"",#REF!-620)</f>
        <v>#REF!</v>
      </c>
      <c r="R284" s="175" t="e">
        <f>IF(#REF!&lt;100,"",#REF!-620)</f>
        <v>#REF!</v>
      </c>
      <c r="S284" s="175" t="e">
        <f>IF(#REF!&lt;100,"",#REF!-620)</f>
        <v>#REF!</v>
      </c>
      <c r="T284" s="175" t="e">
        <f>IF(#REF!&lt;100,"",#REF!-620)</f>
        <v>#REF!</v>
      </c>
      <c r="U284" s="175" t="e">
        <f>IF(#REF!&lt;100,"",#REF!-620)</f>
        <v>#REF!</v>
      </c>
      <c r="V284" s="175" t="e">
        <f>IF(#REF!&lt;100,"",#REF!-620)</f>
        <v>#REF!</v>
      </c>
      <c r="W284" s="175" t="e">
        <f>IF(#REF!&lt;100,"",#REF!-620)</f>
        <v>#REF!</v>
      </c>
      <c r="X284" s="175" t="e">
        <f>IF(#REF!&lt;100,"",#REF!-620)</f>
        <v>#REF!</v>
      </c>
      <c r="Y284" s="175" t="e">
        <f>IF(#REF!&lt;100,"",#REF!-620)</f>
        <v>#REF!</v>
      </c>
      <c r="Z284" s="175" t="e">
        <f>IF(#REF!&lt;100,"",#REF!-620)</f>
        <v>#REF!</v>
      </c>
      <c r="AA284" s="175" t="e">
        <f>IF(#REF!&lt;100,"",#REF!-620)</f>
        <v>#REF!</v>
      </c>
      <c r="AB284" s="175" t="e">
        <f>IF(#REF!&lt;100,"",#REF!-620)</f>
        <v>#REF!</v>
      </c>
      <c r="AC284" s="175" t="e">
        <f>IF(#REF!&lt;100,"",#REF!-620)</f>
        <v>#REF!</v>
      </c>
      <c r="AD284" s="175" t="e">
        <f>IF(#REF!&lt;100,"",#REF!-620)</f>
        <v>#REF!</v>
      </c>
      <c r="AE284" s="175" t="e">
        <f>IF(#REF!&lt;100,"",#REF!-620)</f>
        <v>#REF!</v>
      </c>
      <c r="AF284" s="175" t="e">
        <f>IF(#REF!&lt;100,"",#REF!-620)</f>
        <v>#REF!</v>
      </c>
      <c r="AG284" s="43"/>
      <c r="AH284" s="43"/>
    </row>
    <row r="285" spans="1:34" x14ac:dyDescent="0.25">
      <c r="A285" s="175" t="e">
        <f>#REF!</f>
        <v>#REF!</v>
      </c>
      <c r="B285" s="175" t="e">
        <f>IF(#REF!&lt;100,"",#REF!-330)</f>
        <v>#REF!</v>
      </c>
      <c r="C285" s="175" t="e">
        <f>IF(#REF!&lt;100,"",#REF!-330)</f>
        <v>#REF!</v>
      </c>
      <c r="D285" s="175" t="e">
        <f>IF(#REF!&lt;100,"",#REF!-330)</f>
        <v>#REF!</v>
      </c>
      <c r="E285" s="175" t="e">
        <f>IF(#REF!&lt;100,"",#REF!-330)</f>
        <v>#REF!</v>
      </c>
      <c r="F285" s="175" t="e">
        <f>IF(#REF!&lt;100,"",#REF!-330)</f>
        <v>#REF!</v>
      </c>
      <c r="G285" s="175" t="e">
        <f>IF(#REF!&lt;100,"",#REF!-330)</f>
        <v>#REF!</v>
      </c>
      <c r="H285" s="175" t="e">
        <f>IF(#REF!&lt;100,"",#REF!-330)</f>
        <v>#REF!</v>
      </c>
      <c r="I285" s="175" t="e">
        <f>IF(#REF!&lt;100,"",#REF!-330)</f>
        <v>#REF!</v>
      </c>
      <c r="J285" s="175" t="e">
        <f>IF(#REF!&lt;100,"",#REF!-330)</f>
        <v>#REF!</v>
      </c>
      <c r="K285" s="175" t="e">
        <f>IF(#REF!&lt;100,"",#REF!-330)</f>
        <v>#REF!</v>
      </c>
      <c r="L285" s="175" t="e">
        <f>IF(#REF!&lt;100,"",#REF!-330)</f>
        <v>#REF!</v>
      </c>
      <c r="M285" s="175" t="e">
        <f>IF(#REF!&lt;100,"",#REF!-330)</f>
        <v>#REF!</v>
      </c>
      <c r="N285" s="175" t="e">
        <f>IF(#REF!&lt;100,"",#REF!-330)</f>
        <v>#REF!</v>
      </c>
      <c r="O285" s="175" t="e">
        <f>IF(#REF!&lt;100,"",#REF!-330)</f>
        <v>#REF!</v>
      </c>
      <c r="P285" s="175" t="e">
        <f>IF(#REF!&lt;100,"",#REF!-330)</f>
        <v>#REF!</v>
      </c>
      <c r="Q285" s="175" t="e">
        <f>IF(#REF!&lt;100,"",#REF!-330)</f>
        <v>#REF!</v>
      </c>
      <c r="R285" s="175" t="e">
        <f>IF(#REF!&lt;100,"",#REF!-330)</f>
        <v>#REF!</v>
      </c>
      <c r="S285" s="175" t="e">
        <f>IF(#REF!&lt;100,"",#REF!-330)</f>
        <v>#REF!</v>
      </c>
      <c r="T285" s="175" t="e">
        <f>IF(#REF!&lt;100,"",#REF!-330)</f>
        <v>#REF!</v>
      </c>
      <c r="U285" s="175" t="e">
        <f>IF(#REF!&lt;100,"",#REF!-330)</f>
        <v>#REF!</v>
      </c>
      <c r="V285" s="175" t="e">
        <f>IF(#REF!&lt;100,"",#REF!-330)</f>
        <v>#REF!</v>
      </c>
      <c r="W285" s="175" t="e">
        <f>IF(#REF!&lt;100,"",#REF!-330)</f>
        <v>#REF!</v>
      </c>
      <c r="X285" s="175" t="e">
        <f>IF(#REF!&lt;100,"",#REF!-330)</f>
        <v>#REF!</v>
      </c>
      <c r="Y285" s="175" t="e">
        <f>IF(#REF!&lt;100,"",#REF!-330)</f>
        <v>#REF!</v>
      </c>
      <c r="Z285" s="175" t="e">
        <f>IF(#REF!&lt;100,"",#REF!-330)</f>
        <v>#REF!</v>
      </c>
      <c r="AA285" s="175" t="e">
        <f>IF(#REF!&lt;100,"",#REF!-330)</f>
        <v>#REF!</v>
      </c>
      <c r="AB285" s="175" t="e">
        <f>IF(#REF!&lt;100,"",#REF!-330)</f>
        <v>#REF!</v>
      </c>
      <c r="AC285" s="175" t="e">
        <f>IF(#REF!&lt;100,"",#REF!-330)</f>
        <v>#REF!</v>
      </c>
      <c r="AD285" s="175" t="e">
        <f>IF(#REF!&lt;100,"",#REF!-330)</f>
        <v>#REF!</v>
      </c>
      <c r="AE285" s="175" t="e">
        <f>IF(#REF!&lt;100,"",#REF!-330)</f>
        <v>#REF!</v>
      </c>
      <c r="AF285" s="175" t="e">
        <f>IF(#REF!&lt;100,"",#REF!-330)</f>
        <v>#REF!</v>
      </c>
      <c r="AG285" s="43"/>
      <c r="AH285" s="43"/>
    </row>
    <row r="286" spans="1:34" x14ac:dyDescent="0.25">
      <c r="A286" s="175" t="e">
        <f>#REF!</f>
        <v>#REF!</v>
      </c>
      <c r="B286" s="175" t="e">
        <f>IF(#REF!&lt;100,"",#REF!-1500)</f>
        <v>#REF!</v>
      </c>
      <c r="C286" s="175" t="e">
        <f>IF(#REF!&lt;100,"",#REF!-1500)</f>
        <v>#REF!</v>
      </c>
      <c r="D286" s="175" t="e">
        <f>IF(#REF!&lt;100,"",#REF!-1500)</f>
        <v>#REF!</v>
      </c>
      <c r="E286" s="175" t="e">
        <f>IF(#REF!&lt;100,"",#REF!-1500)</f>
        <v>#REF!</v>
      </c>
      <c r="F286" s="175" t="e">
        <f>IF(#REF!&lt;100,"",#REF!-1500)</f>
        <v>#REF!</v>
      </c>
      <c r="G286" s="175" t="e">
        <f>IF(#REF!&lt;100,"",#REF!-1500)</f>
        <v>#REF!</v>
      </c>
      <c r="H286" s="175" t="e">
        <f>IF(#REF!&lt;100,"",#REF!-1500)</f>
        <v>#REF!</v>
      </c>
      <c r="I286" s="175" t="e">
        <f>IF(#REF!&lt;100,"",#REF!-1500)</f>
        <v>#REF!</v>
      </c>
      <c r="J286" s="175" t="e">
        <f>IF(#REF!&lt;100,"",#REF!-1500)</f>
        <v>#REF!</v>
      </c>
      <c r="K286" s="175" t="e">
        <f>IF(#REF!&lt;100,"",#REF!-1500)</f>
        <v>#REF!</v>
      </c>
      <c r="L286" s="175" t="e">
        <f>IF(#REF!&lt;100,"",#REF!-1500)</f>
        <v>#REF!</v>
      </c>
      <c r="M286" s="175" t="e">
        <f>IF(#REF!&lt;100,"",#REF!-1500)</f>
        <v>#REF!</v>
      </c>
      <c r="N286" s="175" t="e">
        <f>IF(#REF!&lt;100,"",#REF!-1500)</f>
        <v>#REF!</v>
      </c>
      <c r="O286" s="175" t="e">
        <f>IF(#REF!&lt;100,"",#REF!-1500)</f>
        <v>#REF!</v>
      </c>
      <c r="P286" s="175" t="e">
        <f>IF(#REF!&lt;100,"",#REF!-1500)</f>
        <v>#REF!</v>
      </c>
      <c r="Q286" s="175" t="e">
        <f>IF(#REF!&lt;100,"",#REF!-1500)</f>
        <v>#REF!</v>
      </c>
      <c r="R286" s="175" t="e">
        <f>IF(#REF!&lt;100,"",#REF!-1500)</f>
        <v>#REF!</v>
      </c>
      <c r="S286" s="175" t="e">
        <f>IF(#REF!&lt;100,"",#REF!-1500)</f>
        <v>#REF!</v>
      </c>
      <c r="T286" s="175" t="e">
        <f>IF(#REF!&lt;100,"",#REF!-1500)</f>
        <v>#REF!</v>
      </c>
      <c r="U286" s="175" t="e">
        <f>IF(#REF!&lt;100,"",#REF!-1500)</f>
        <v>#REF!</v>
      </c>
      <c r="V286" s="175" t="e">
        <f>IF(#REF!&lt;100,"",#REF!-1500)</f>
        <v>#REF!</v>
      </c>
      <c r="W286" s="175" t="e">
        <f>IF(#REF!&lt;100,"",#REF!-1500)</f>
        <v>#REF!</v>
      </c>
      <c r="X286" s="175" t="e">
        <f>IF(#REF!&lt;100,"",#REF!-1500)</f>
        <v>#REF!</v>
      </c>
      <c r="Y286" s="175" t="e">
        <f>IF(#REF!&lt;100,"",#REF!-1500)</f>
        <v>#REF!</v>
      </c>
      <c r="Z286" s="175" t="e">
        <f>IF(#REF!&lt;100,"",#REF!-1500)</f>
        <v>#REF!</v>
      </c>
      <c r="AA286" s="175" t="e">
        <f>IF(#REF!&lt;100,"",#REF!-1500)</f>
        <v>#REF!</v>
      </c>
      <c r="AB286" s="175" t="e">
        <f>IF(#REF!&lt;100,"",#REF!-1500)</f>
        <v>#REF!</v>
      </c>
      <c r="AC286" s="175" t="e">
        <f>IF(#REF!&lt;100,"",#REF!-1500)</f>
        <v>#REF!</v>
      </c>
      <c r="AD286" s="175" t="e">
        <f>IF(#REF!&lt;100,"",#REF!-1500)</f>
        <v>#REF!</v>
      </c>
      <c r="AE286" s="175" t="e">
        <f>IF(#REF!&lt;100,"",#REF!-1500)</f>
        <v>#REF!</v>
      </c>
      <c r="AF286" s="175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38" priority="54">
      <formula>$AH11=0</formula>
    </cfRule>
  </conditionalFormatting>
  <conditionalFormatting sqref="A132:A253">
    <cfRule type="expression" dxfId="237" priority="5">
      <formula>$AH132=0</formula>
    </cfRule>
  </conditionalFormatting>
  <conditionalFormatting sqref="B8 M8 S8 AB8">
    <cfRule type="expression" dxfId="236" priority="115">
      <formula>AND(C$9&gt;=8/24,C$9&lt;14/24)</formula>
    </cfRule>
    <cfRule type="expression" dxfId="235" priority="114">
      <formula>AND(C$9&gt;=14/24,C$9&lt;20/24)</formula>
    </cfRule>
    <cfRule type="expression" dxfId="234" priority="116">
      <formula>C$9&lt;8/24</formula>
    </cfRule>
  </conditionalFormatting>
  <conditionalFormatting sqref="B63:L74 M70:U74">
    <cfRule type="expression" dxfId="233" priority="22">
      <formula>AND(B$9&gt;=8/24,B$9&lt;14/24)</formula>
    </cfRule>
    <cfRule type="expression" dxfId="232" priority="21">
      <formula>AND(B$9&gt;=14/24,B$9&lt;20/24)</formula>
    </cfRule>
    <cfRule type="expression" dxfId="231" priority="20">
      <formula>B$9&gt;=20/24</formula>
    </cfRule>
    <cfRule type="expression" dxfId="230" priority="23">
      <formula>B$9&lt;8/24</formula>
    </cfRule>
  </conditionalFormatting>
  <conditionalFormatting sqref="B11:V54">
    <cfRule type="expression" dxfId="229" priority="14">
      <formula>B11&gt;$AG11</formula>
    </cfRule>
  </conditionalFormatting>
  <conditionalFormatting sqref="B53:V54">
    <cfRule type="expression" dxfId="228" priority="13">
      <formula>B$9&lt;8/24</formula>
    </cfRule>
  </conditionalFormatting>
  <conditionalFormatting sqref="B55:V55">
    <cfRule type="expression" dxfId="227" priority="34">
      <formula>B55&gt;$AG55</formula>
    </cfRule>
  </conditionalFormatting>
  <conditionalFormatting sqref="B9:AF52">
    <cfRule type="expression" dxfId="226" priority="25">
      <formula>B$9&gt;=20/24</formula>
    </cfRule>
    <cfRule type="expression" dxfId="225" priority="26">
      <formula>AND(B$9&gt;=14/24,B$9&lt;20/24)</formula>
    </cfRule>
    <cfRule type="expression" dxfId="224" priority="27">
      <formula>AND(B$9&gt;=8/24,B$9&lt;14/24)</formula>
    </cfRule>
    <cfRule type="expression" dxfId="223" priority="28">
      <formula>B$9&lt;8/24</formula>
    </cfRule>
  </conditionalFormatting>
  <conditionalFormatting sqref="B53:AF54">
    <cfRule type="expression" dxfId="222" priority="12">
      <formula>AND(B$9&gt;=8/24,B$9&lt;14/24)</formula>
    </cfRule>
    <cfRule type="expression" dxfId="221" priority="11">
      <formula>AND(B$9&gt;=14/24,B$9&lt;20/24)</formula>
    </cfRule>
    <cfRule type="expression" dxfId="220" priority="10">
      <formula>B$9&gt;=20/24</formula>
    </cfRule>
  </conditionalFormatting>
  <conditionalFormatting sqref="B55:AF57">
    <cfRule type="expression" dxfId="219" priority="31">
      <formula>AND(B$9&gt;=14/24,B$9&lt;20/24)</formula>
    </cfRule>
    <cfRule type="expression" dxfId="218" priority="30">
      <formula>B$9&gt;=20/24</formula>
    </cfRule>
    <cfRule type="expression" dxfId="217" priority="32">
      <formula>AND(B$9&gt;=8/24,B$9&lt;14/24)</formula>
    </cfRule>
  </conditionalFormatting>
  <conditionalFormatting sqref="B56:AF61">
    <cfRule type="expression" dxfId="216" priority="29">
      <formula>B56&gt;$AG56</formula>
    </cfRule>
  </conditionalFormatting>
  <conditionalFormatting sqref="B59:AF61">
    <cfRule type="expression" dxfId="215" priority="43">
      <formula>B$9&lt;8/24</formula>
    </cfRule>
    <cfRule type="expression" dxfId="214" priority="42">
      <formula>AND(B$9&gt;=8/24,B$9&lt;14/24)</formula>
    </cfRule>
    <cfRule type="expression" dxfId="213" priority="40">
      <formula>B$9&gt;=20/24</formula>
    </cfRule>
    <cfRule type="expression" dxfId="212" priority="41">
      <formula>AND(B$9&gt;=14/24,B$9&lt;20/24)</formula>
    </cfRule>
  </conditionalFormatting>
  <conditionalFormatting sqref="B63:AF74">
    <cfRule type="expression" dxfId="211" priority="19">
      <formula>B63&gt;$AG63</formula>
    </cfRule>
  </conditionalFormatting>
  <conditionalFormatting sqref="B77:AF79">
    <cfRule type="expression" dxfId="210" priority="46">
      <formula>AND(B$9&gt;=14/24,B$9&lt;20/24)</formula>
    </cfRule>
    <cfRule type="expression" dxfId="209" priority="45">
      <formula>B$9&gt;=20/24</formula>
    </cfRule>
    <cfRule type="expression" dxfId="208" priority="44">
      <formula>B77&gt;$AG77</formula>
    </cfRule>
    <cfRule type="expression" dxfId="207" priority="47">
      <formula>AND(B$9&gt;=8/24,B$9&lt;14/24)</formula>
    </cfRule>
    <cfRule type="expression" dxfId="206" priority="48">
      <formula>B$9&lt;8/24</formula>
    </cfRule>
  </conditionalFormatting>
  <conditionalFormatting sqref="B81:AF99">
    <cfRule type="expression" dxfId="205" priority="16">
      <formula>AND(B$9&gt;=14/24,B$9&lt;20/24)</formula>
    </cfRule>
    <cfRule type="expression" dxfId="204" priority="18">
      <formula>B$9&lt;8/24</formula>
    </cfRule>
    <cfRule type="expression" dxfId="203" priority="15">
      <formula>B$9&gt;=20/24</formula>
    </cfRule>
    <cfRule type="expression" dxfId="202" priority="17">
      <formula>AND(B$9&gt;=8/24,B$9&lt;14/24)</formula>
    </cfRule>
  </conditionalFormatting>
  <conditionalFormatting sqref="B101:AF117">
    <cfRule type="expression" dxfId="201" priority="8">
      <formula>AND(B$9&gt;=8/24,B$9&lt;14/24)</formula>
    </cfRule>
    <cfRule type="expression" dxfId="200" priority="9">
      <formula>B$9&lt;8/24</formula>
    </cfRule>
    <cfRule type="expression" dxfId="199" priority="7">
      <formula>AND(B$9&gt;=14/24,B$9&lt;20/24)</formula>
    </cfRule>
    <cfRule type="expression" dxfId="198" priority="6">
      <formula>B$9&gt;=20/24</formula>
    </cfRule>
  </conditionalFormatting>
  <conditionalFormatting sqref="B119:AF137">
    <cfRule type="expression" dxfId="197" priority="4">
      <formula>B$9&lt;8/24</formula>
    </cfRule>
    <cfRule type="expression" dxfId="196" priority="3">
      <formula>AND(B$9&gt;=8/24,B$9&lt;14/24)</formula>
    </cfRule>
    <cfRule type="expression" dxfId="195" priority="2">
      <formula>AND(B$9&gt;=14/24,B$9&lt;20/24)</formula>
    </cfRule>
    <cfRule type="expression" dxfId="194" priority="1">
      <formula>B$9&gt;=20/24</formula>
    </cfRule>
  </conditionalFormatting>
  <conditionalFormatting sqref="B244:AF244 B246:B252 D246:AF252 U260:AF260">
    <cfRule type="expression" dxfId="193" priority="110">
      <formula>B$9&lt;8/24</formula>
    </cfRule>
    <cfRule type="expression" dxfId="192" priority="109">
      <formula>AND(B$9&gt;=8/24,B$9&lt;14/24)</formula>
    </cfRule>
    <cfRule type="expression" dxfId="191" priority="108">
      <formula>AND(B$9&gt;=14/24,B$9&lt;20/24)</formula>
    </cfRule>
    <cfRule type="expression" dxfId="190" priority="107">
      <formula>B$9&gt;=20/24</formula>
    </cfRule>
  </conditionalFormatting>
  <conditionalFormatting sqref="B62:AG62">
    <cfRule type="expression" dxfId="189" priority="50">
      <formula>B$9&gt;=20/24</formula>
    </cfRule>
    <cfRule type="expression" dxfId="188" priority="51">
      <formula>AND(B$9&gt;=14/24,B$9&lt;20/24)</formula>
    </cfRule>
    <cfRule type="expression" dxfId="187" priority="52">
      <formula>AND(B$9&gt;=8/24,B$9&lt;14/24)</formula>
    </cfRule>
    <cfRule type="expression" dxfId="186" priority="53">
      <formula>B$9&lt;8/24</formula>
    </cfRule>
    <cfRule type="expression" dxfId="185" priority="49">
      <formula>B62&gt;$AG62</formula>
    </cfRule>
  </conditionalFormatting>
  <conditionalFormatting sqref="B75:AG76 B80:AG80">
    <cfRule type="expression" dxfId="184" priority="35">
      <formula>B75&gt;$AG75</formula>
    </cfRule>
  </conditionalFormatting>
  <conditionalFormatting sqref="B80:AG80">
    <cfRule type="expression" dxfId="183" priority="38">
      <formula>AND(B$9&gt;=8/24,B$9&lt;14/24)</formula>
    </cfRule>
    <cfRule type="expression" dxfId="182" priority="39">
      <formula>B$9&lt;8/24</formula>
    </cfRule>
    <cfRule type="expression" dxfId="181" priority="36">
      <formula>B$9&gt;=20/24</formula>
    </cfRule>
    <cfRule type="expression" dxfId="180" priority="37">
      <formula>AND(B$9&gt;=14/24,B$9&lt;20/24)</formula>
    </cfRule>
  </conditionalFormatting>
  <conditionalFormatting sqref="M63:T67 U66:U67">
    <cfRule type="expression" dxfId="179" priority="92">
      <formula>M$9&gt;=20/24</formula>
    </cfRule>
    <cfRule type="expression" dxfId="178" priority="95">
      <formula>M$9&lt;8/24</formula>
    </cfRule>
    <cfRule type="expression" dxfId="177" priority="94">
      <formula>AND(M$9&gt;=8/24,M$9&lt;14/24)</formula>
    </cfRule>
    <cfRule type="expression" dxfId="176" priority="93">
      <formula>AND(M$9&gt;=14/24,M$9&lt;20/24)</formula>
    </cfRule>
  </conditionalFormatting>
  <conditionalFormatting sqref="M68:U68">
    <cfRule type="expression" dxfId="175" priority="68">
      <formula>M$9&lt;8/24</formula>
    </cfRule>
    <cfRule type="expression" dxfId="174" priority="65">
      <formula>M$9&gt;=20/24</formula>
    </cfRule>
    <cfRule type="expression" dxfId="173" priority="66">
      <formula>AND(M$9&gt;=14/24,M$9&lt;20/24)</formula>
    </cfRule>
    <cfRule type="expression" dxfId="172" priority="67">
      <formula>AND(M$9&gt;=8/24,M$9&lt;14/24)</formula>
    </cfRule>
  </conditionalFormatting>
  <conditionalFormatting sqref="M69:AF74">
    <cfRule type="expression" dxfId="171" priority="55">
      <formula>M$9&gt;=20/24</formula>
    </cfRule>
    <cfRule type="expression" dxfId="170" priority="56">
      <formula>AND(M$9&gt;=14/24,M$9&lt;20/24)</formula>
    </cfRule>
    <cfRule type="expression" dxfId="169" priority="58">
      <formula>M$9&lt;8/24</formula>
    </cfRule>
    <cfRule type="expression" dxfId="168" priority="57">
      <formula>AND(M$9&gt;=8/24,M$9&lt;14/24)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P55:V56 B55:O57 B56:R56">
    <cfRule type="expression" dxfId="167" priority="33">
      <formula>B$9&lt;8/24</formula>
    </cfRule>
  </conditionalFormatting>
  <conditionalFormatting sqref="S8 AB8 B8 M8">
    <cfRule type="expression" dxfId="166" priority="113">
      <formula>C$9&gt;=20/24</formula>
    </cfRule>
  </conditionalFormatting>
  <conditionalFormatting sqref="S8">
    <cfRule type="expression" dxfId="165" priority="103">
      <formula>U$9&lt;8/24</formula>
    </cfRule>
    <cfRule type="expression" dxfId="164" priority="100">
      <formula>U$9&gt;=20/24</formula>
    </cfRule>
    <cfRule type="expression" dxfId="163" priority="101">
      <formula>AND(U$9&gt;=14/24,U$9&lt;20/24)</formula>
    </cfRule>
    <cfRule type="expression" dxfId="162" priority="102">
      <formula>AND(U$9&gt;=8/24,U$9&lt;14/24)</formula>
    </cfRule>
  </conditionalFormatting>
  <conditionalFormatting sqref="S63:AF68">
    <cfRule type="expression" dxfId="161" priority="59">
      <formula>S$9&gt;=20/24</formula>
    </cfRule>
    <cfRule type="expression" dxfId="160" priority="60">
      <formula>AND(S$9&gt;=14/24,S$9&lt;20/24)</formula>
    </cfRule>
    <cfRule type="expression" dxfId="159" priority="62">
      <formula>S$9&lt;8/24</formula>
    </cfRule>
    <cfRule type="expression" dxfId="158" priority="61">
      <formula>AND(S$9&gt;=8/24,S$9&lt;14/24)</formula>
    </cfRule>
  </conditionalFormatting>
  <conditionalFormatting sqref="T260">
    <cfRule type="expression" dxfId="157" priority="127">
      <formula>AND(AX$9&gt;=8/24,AX$9&lt;14/24)</formula>
    </cfRule>
    <cfRule type="expression" dxfId="156" priority="125">
      <formula>AX$9&gt;=20/24</formula>
    </cfRule>
    <cfRule type="expression" dxfId="155" priority="126">
      <formula>AND(AX$9&gt;=14/24,AX$9&lt;20/24)</formula>
    </cfRule>
    <cfRule type="expression" dxfId="154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W11:AF52">
    <cfRule type="expression" dxfId="153" priority="24">
      <formula>W11&gt;$AG11</formula>
    </cfRule>
  </conditionalFormatting>
  <conditionalFormatting sqref="W53:AF55">
    <cfRule type="expression" dxfId="152" priority="64">
      <formula>W53&gt;$AG53</formula>
    </cfRule>
  </conditionalFormatting>
  <conditionalFormatting sqref="W53:AF56 T56:V56 S56:S57 P57:R57 T57:AF57">
    <cfRule type="expression" dxfId="151" priority="63">
      <formula>P$9&lt;8/24</formula>
    </cfRule>
  </conditionalFormatting>
  <conditionalFormatting sqref="AB8">
    <cfRule type="expression" dxfId="150" priority="96">
      <formula>AD$9&gt;=20/24</formula>
    </cfRule>
    <cfRule type="expression" dxfId="149" priority="97">
      <formula>AND(AD$9&gt;=14/24,AD$9&lt;20/24)</formula>
    </cfRule>
    <cfRule type="expression" dxfId="148" priority="98">
      <formula>AND(AD$9&gt;=8/24,AD$9&lt;14/24)</formula>
    </cfRule>
    <cfRule type="expression" dxfId="147" priority="99">
      <formula>AD$9&lt;8/24</formula>
    </cfRule>
  </conditionalFormatting>
  <conditionalFormatting sqref="AG58">
    <cfRule type="expression" dxfId="146" priority="83">
      <formula>AG58&gt;$AG58</formula>
    </cfRule>
  </conditionalFormatting>
  <conditionalFormatting sqref="AG97">
    <cfRule type="expression" dxfId="145" priority="84">
      <formula>AG$9&gt;=20/24</formula>
    </cfRule>
    <cfRule type="expression" dxfId="144" priority="85">
      <formula>AND(AG$9&gt;=14/24,AG$9&lt;20/24)</formula>
    </cfRule>
    <cfRule type="expression" dxfId="143" priority="86">
      <formula>AND(AG$9&gt;=8/24,AG$9&lt;14/24)</formula>
    </cfRule>
    <cfRule type="expression" dxfId="142" priority="87">
      <formula>AG$9&lt;8/24</formula>
    </cfRule>
  </conditionalFormatting>
  <conditionalFormatting sqref="AG260">
    <cfRule type="expression" dxfId="141" priority="117">
      <formula>B$9&gt;=20/24</formula>
    </cfRule>
    <cfRule type="expression" dxfId="140" priority="118">
      <formula>AND(B$9&gt;=14/24,B$9&lt;20/24)</formula>
    </cfRule>
    <cfRule type="expression" dxfId="139" priority="120">
      <formula>B$9&lt;8/24</formula>
    </cfRule>
    <cfRule type="expression" dxfId="138" priority="119">
      <formula>AND(B$9&gt;=8/24,B$9&lt;14/24)</formula>
    </cfRule>
  </conditionalFormatting>
  <conditionalFormatting sqref="AH260:AX260">
    <cfRule type="expression" dxfId="137" priority="121">
      <formula>AG$9&gt;=20/24</formula>
    </cfRule>
    <cfRule type="expression" dxfId="136" priority="122">
      <formula>AND(AG$9&gt;=14/24,AG$9&lt;20/24)</formula>
    </cfRule>
    <cfRule type="expression" dxfId="135" priority="123">
      <formula>AND(AG$9&gt;=8/24,AG$9&lt;14/24)</formula>
    </cfRule>
    <cfRule type="expression" dxfId="134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33" priority="130">
      <formula>AJ$9&gt;=20/24</formula>
    </cfRule>
    <cfRule type="expression" dxfId="132" priority="131">
      <formula>AND(AJ$9&gt;=14/24,AJ$9&lt;20/24)</formula>
    </cfRule>
    <cfRule type="expression" dxfId="131" priority="132">
      <formula>AND(AJ$9&gt;=8/24,AJ$9&lt;14/24)</formula>
    </cfRule>
    <cfRule type="expression" dxfId="130" priority="133">
      <formula>AJ$9&lt;8/24</formula>
    </cfRule>
  </conditionalFormatting>
  <conditionalFormatting sqref="AL88:AN88 AL94:AN94">
    <cfRule type="expression" dxfId="129" priority="79">
      <formula>AL$9&lt;8/24</formula>
    </cfRule>
    <cfRule type="expression" dxfId="128" priority="78">
      <formula>AND(AL$9&gt;=8/24,AL$9&lt;14/24)</formula>
    </cfRule>
    <cfRule type="expression" dxfId="127" priority="77">
      <formula>AND(AL$9&gt;=14/24,AL$9&lt;20/24)</formula>
    </cfRule>
    <cfRule type="expression" dxfId="126" priority="76">
      <formula>AL$9&gt;=20/24</formula>
    </cfRule>
  </conditionalFormatting>
  <conditionalFormatting sqref="AN89:AN92">
    <cfRule type="expression" dxfId="125" priority="74">
      <formula>AND(AN$9&gt;=8/24,AN$9&lt;14/24)</formula>
    </cfRule>
    <cfRule type="expression" dxfId="124" priority="73">
      <formula>AND(AN$9&gt;=14/24,AN$9&lt;20/24)</formula>
    </cfRule>
    <cfRule type="expression" dxfId="123" priority="72">
      <formula>AN$9&gt;=20/24</formula>
    </cfRule>
    <cfRule type="expression" dxfId="122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F94B-1331-4FCB-8D09-8ED2B2FC89EE}">
  <sheetPr codeName="Sheet29"/>
  <dimension ref="A1:CJ293"/>
  <sheetViews>
    <sheetView zoomScale="106" workbookViewId="0">
      <pane xSplit="1" ySplit="10" topLeftCell="B11" activePane="bottomRight" state="frozen"/>
      <selection activeCell="P118" sqref="P118"/>
      <selection pane="topRight" activeCell="P118" sqref="P118"/>
      <selection pane="bottomLeft" activeCell="P118" sqref="P118"/>
      <selection pane="bottomRight" activeCell="B62" sqref="B6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2" t="s">
        <v>1</v>
      </c>
      <c r="AH1" s="252"/>
      <c r="AI1" s="252"/>
      <c r="AL1" s="2"/>
    </row>
    <row r="2" spans="1:88" ht="21" hidden="1" thickBot="1" x14ac:dyDescent="0.3">
      <c r="A2" s="3"/>
      <c r="B2" s="253" t="s">
        <v>2</v>
      </c>
      <c r="C2" s="4"/>
      <c r="D2" s="255" t="s">
        <v>3</v>
      </c>
      <c r="E2" s="4"/>
      <c r="F2" s="255" t="s">
        <v>4</v>
      </c>
      <c r="G2" s="4"/>
      <c r="H2" s="255" t="s">
        <v>5</v>
      </c>
      <c r="I2" s="5"/>
      <c r="J2" s="25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54"/>
      <c r="C3" s="16"/>
      <c r="D3" s="256"/>
      <c r="E3" s="16"/>
      <c r="F3" s="256"/>
      <c r="G3" s="16"/>
      <c r="H3" s="256"/>
      <c r="I3" s="17"/>
      <c r="J3" s="25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9.5" hidden="1" thickBot="1" x14ac:dyDescent="0.3">
      <c r="A4" s="25" t="s">
        <v>11</v>
      </c>
      <c r="B4" s="246" t="e">
        <f ca="1">"2080/"&amp;"09/"&amp;INT(MID(CELL("filename",D6),FIND("]",CELL("filename",D6))+1,200))</f>
        <v>#VALUE!</v>
      </c>
      <c r="C4" s="246"/>
      <c r="D4" s="246"/>
      <c r="E4" s="247" t="e">
        <f ca="1">"2080/"&amp;"09/"&amp;INT(MID(CELL("filename",G6),FIND("]",CELL("filename",G6))+1,200))</f>
        <v>#VALUE!</v>
      </c>
      <c r="F4" s="247"/>
      <c r="G4" s="247"/>
      <c r="H4" s="247" t="e">
        <f ca="1">TEXT(E4,"dddd")</f>
        <v>#VALUE!</v>
      </c>
      <c r="I4" s="247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9.5" hidden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>B100</f>
        <v>3.54</v>
      </c>
      <c r="C7" s="35">
        <f t="shared" ref="C7:AF7" si="1">C100</f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 t="shared" si="1"/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48" t="s">
        <v>14</v>
      </c>
      <c r="C8" s="249"/>
      <c r="D8" s="249"/>
      <c r="E8" s="249"/>
      <c r="F8" s="249"/>
      <c r="G8" s="249"/>
      <c r="H8" s="249"/>
      <c r="I8" s="249"/>
      <c r="J8" s="249"/>
      <c r="K8" s="249"/>
      <c r="L8" s="250"/>
      <c r="M8" s="241" t="s">
        <v>15</v>
      </c>
      <c r="N8" s="242"/>
      <c r="O8" s="242"/>
      <c r="P8" s="242"/>
      <c r="Q8" s="242"/>
      <c r="R8" s="243"/>
      <c r="S8" s="241" t="s">
        <v>16</v>
      </c>
      <c r="T8" s="242"/>
      <c r="U8" s="242"/>
      <c r="V8" s="242"/>
      <c r="W8" s="242"/>
      <c r="X8" s="242"/>
      <c r="Y8" s="242"/>
      <c r="Z8" s="242"/>
      <c r="AA8" s="243"/>
      <c r="AB8" s="241" t="s">
        <v>17</v>
      </c>
      <c r="AC8" s="242"/>
      <c r="AD8" s="242"/>
      <c r="AE8" s="242"/>
      <c r="AF8" s="243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4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4">
        <v>0.58333333333333304</v>
      </c>
      <c r="T9" s="234">
        <v>0.625</v>
      </c>
      <c r="U9" s="234">
        <v>0.66666666666666696</v>
      </c>
      <c r="V9" s="234">
        <v>0.70833333333333304</v>
      </c>
      <c r="W9" s="234">
        <v>0.72916666666666663</v>
      </c>
      <c r="X9" s="234">
        <v>0.75</v>
      </c>
      <c r="Y9" s="234">
        <v>0.77083333333333337</v>
      </c>
      <c r="Z9" s="234">
        <v>0.79166666666666663</v>
      </c>
      <c r="AA9" s="234">
        <v>0.8125</v>
      </c>
      <c r="AB9" s="234">
        <v>0.83333333333333337</v>
      </c>
      <c r="AC9" s="234">
        <v>0.85416666666666663</v>
      </c>
      <c r="AD9" s="234">
        <v>0.875</v>
      </c>
      <c r="AE9" s="234">
        <v>0.91666666666666696</v>
      </c>
      <c r="AF9" s="234">
        <v>0.95833333333333304</v>
      </c>
      <c r="AG9" s="236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9"/>
      <c r="N10" s="239"/>
      <c r="O10" s="239"/>
      <c r="P10" s="239"/>
      <c r="Q10" s="239"/>
      <c r="R10" s="239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7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84" si="2">MAX(B11:AF11)</f>
        <v>0</v>
      </c>
      <c r="AI11" s="48">
        <f t="shared" ref="AI11:AI8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269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0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9">
        <v>54</v>
      </c>
      <c r="AH13" s="47">
        <f t="shared" si="2"/>
        <v>0</v>
      </c>
      <c r="AI13" s="48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6">
        <v>52.4</v>
      </c>
      <c r="AH14" s="47">
        <f t="shared" si="2"/>
        <v>0</v>
      </c>
      <c r="AI14" s="48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45"/>
      <c r="AA15" s="45"/>
      <c r="AB15" s="45"/>
      <c r="AC15" s="45"/>
      <c r="AD15" s="45"/>
      <c r="AE15" s="45"/>
      <c r="AF15" s="45"/>
      <c r="AG15" s="49">
        <v>50</v>
      </c>
      <c r="AH15" s="47">
        <f t="shared" si="2"/>
        <v>0</v>
      </c>
      <c r="AI15" s="48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45</v>
      </c>
      <c r="AH16" s="47">
        <f t="shared" si="2"/>
        <v>0</v>
      </c>
      <c r="AI16" s="48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44</v>
      </c>
      <c r="AH17" s="47">
        <f>MAX(B17:AG17)</f>
        <v>44</v>
      </c>
      <c r="AI17" s="48">
        <f>MIN(B17:AG17)</f>
        <v>44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42</v>
      </c>
      <c r="AH18" s="47">
        <f t="shared" si="2"/>
        <v>0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270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38.46</v>
      </c>
      <c r="AH19" s="47">
        <f t="shared" si="2"/>
        <v>0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9">
        <v>38.46</v>
      </c>
      <c r="AH20" s="47">
        <f t="shared" si="2"/>
        <v>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36</v>
      </c>
      <c r="AH21" s="47">
        <f t="shared" si="2"/>
        <v>0</v>
      </c>
      <c r="AI21" s="48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2">
        <v>30</v>
      </c>
      <c r="AH22" s="47">
        <f t="shared" si="2"/>
        <v>0</v>
      </c>
      <c r="AI22" s="48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9">
        <v>24.2</v>
      </c>
      <c r="AH23" s="47">
        <f t="shared" si="2"/>
        <v>0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28</v>
      </c>
      <c r="AH24" s="47">
        <f t="shared" si="2"/>
        <v>0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2">
        <v>30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2"/>
        <v>0</v>
      </c>
      <c r="AI26" s="48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25</v>
      </c>
      <c r="AH28" s="47">
        <f t="shared" si="2"/>
        <v>0</v>
      </c>
      <c r="AI28" s="48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25</v>
      </c>
      <c r="AH29" s="47">
        <f t="shared" si="2"/>
        <v>0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23.5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22.2</v>
      </c>
      <c r="AH31" s="47">
        <f t="shared" si="2"/>
        <v>0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22.1</v>
      </c>
      <c r="AH32" s="47">
        <f t="shared" si="2"/>
        <v>0</v>
      </c>
      <c r="AI32" s="48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22</v>
      </c>
      <c r="AH33" s="47">
        <f t="shared" si="2"/>
        <v>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22</v>
      </c>
      <c r="AH34" s="47">
        <f t="shared" si="2"/>
        <v>0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20</v>
      </c>
      <c r="AH35" s="47">
        <f t="shared" si="2"/>
        <v>0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271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20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18</v>
      </c>
      <c r="AH37" s="47">
        <f t="shared" si="2"/>
        <v>0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14.9</v>
      </c>
      <c r="AH38" s="47">
        <f t="shared" si="2"/>
        <v>0</v>
      </c>
      <c r="AI38" s="48">
        <f t="shared" si="3"/>
        <v>0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272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14.9</v>
      </c>
      <c r="AH40" s="47">
        <f t="shared" si="2"/>
        <v>0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273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14.9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9">
        <v>13.6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9">
        <v>13</v>
      </c>
      <c r="AH43" s="47">
        <f t="shared" si="2"/>
        <v>0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9">
        <v>12</v>
      </c>
      <c r="AH44" s="47">
        <f t="shared" si="2"/>
        <v>0</v>
      </c>
      <c r="AI44" s="48">
        <f t="shared" si="3"/>
        <v>0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9">
        <v>12</v>
      </c>
      <c r="AH45" s="47">
        <f t="shared" si="2"/>
        <v>0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9">
        <v>12</v>
      </c>
      <c r="AH46" s="47">
        <f t="shared" si="2"/>
        <v>0</v>
      </c>
      <c r="AI46" s="48">
        <f t="shared" si="3"/>
        <v>0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3">
        <v>22</v>
      </c>
      <c r="AH47" s="47">
        <f t="shared" si="2"/>
        <v>0</v>
      </c>
      <c r="AI47" s="48">
        <f t="shared" si="3"/>
        <v>0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52">
        <v>11.88</v>
      </c>
      <c r="AH48" s="47">
        <f t="shared" si="2"/>
        <v>0</v>
      </c>
      <c r="AI48" s="48">
        <f t="shared" si="3"/>
        <v>0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5">
        <v>11</v>
      </c>
      <c r="AH49" s="47">
        <f t="shared" si="2"/>
        <v>0</v>
      </c>
      <c r="AI49" s="48">
        <f t="shared" si="3"/>
        <v>0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274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55">
        <v>11</v>
      </c>
      <c r="AH50" s="47">
        <f t="shared" si="2"/>
        <v>0</v>
      </c>
      <c r="AI50" s="48">
        <f t="shared" si="3"/>
        <v>0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275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5">
        <v>11</v>
      </c>
      <c r="AH51" s="47">
        <f t="shared" si="2"/>
        <v>0</v>
      </c>
      <c r="AI51" s="48">
        <f t="shared" si="3"/>
        <v>0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55">
        <v>10</v>
      </c>
      <c r="AH52" s="47">
        <f t="shared" si="2"/>
        <v>0</v>
      </c>
      <c r="AI52" s="48">
        <f t="shared" si="3"/>
        <v>0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55">
        <v>10</v>
      </c>
      <c r="AH53" s="47">
        <f t="shared" si="2"/>
        <v>0</v>
      </c>
      <c r="AI53" s="48">
        <f t="shared" si="3"/>
        <v>0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276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5">
        <v>85</v>
      </c>
      <c r="AH56" s="47">
        <f t="shared" si="2"/>
        <v>0</v>
      </c>
      <c r="AI56" s="48">
        <f t="shared" si="3"/>
        <v>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v>0</v>
      </c>
      <c r="C58" s="60">
        <f t="shared" ref="C58:AF58" si="4">SUM(C11:C56)</f>
        <v>0</v>
      </c>
      <c r="D58" s="60">
        <f t="shared" si="4"/>
        <v>0</v>
      </c>
      <c r="E58" s="60">
        <f t="shared" si="4"/>
        <v>0</v>
      </c>
      <c r="F58" s="60">
        <f t="shared" si="4"/>
        <v>0</v>
      </c>
      <c r="G58" s="60">
        <f t="shared" si="4"/>
        <v>0</v>
      </c>
      <c r="H58" s="60">
        <f t="shared" si="4"/>
        <v>0</v>
      </c>
      <c r="I58" s="60">
        <f t="shared" si="4"/>
        <v>0</v>
      </c>
      <c r="J58" s="60">
        <f t="shared" si="4"/>
        <v>0</v>
      </c>
      <c r="K58" s="60">
        <f t="shared" si="4"/>
        <v>0</v>
      </c>
      <c r="L58" s="60">
        <f t="shared" si="4"/>
        <v>0</v>
      </c>
      <c r="M58" s="60">
        <f t="shared" si="4"/>
        <v>0</v>
      </c>
      <c r="N58" s="60">
        <f t="shared" si="4"/>
        <v>0</v>
      </c>
      <c r="O58" s="60">
        <f t="shared" si="4"/>
        <v>0</v>
      </c>
      <c r="P58" s="60">
        <f t="shared" si="4"/>
        <v>0</v>
      </c>
      <c r="Q58" s="60">
        <f t="shared" si="4"/>
        <v>0</v>
      </c>
      <c r="R58" s="60">
        <f t="shared" si="4"/>
        <v>0</v>
      </c>
      <c r="S58" s="60">
        <f t="shared" si="4"/>
        <v>0</v>
      </c>
      <c r="T58" s="60">
        <f t="shared" si="4"/>
        <v>0</v>
      </c>
      <c r="U58" s="60">
        <f t="shared" si="4"/>
        <v>0</v>
      </c>
      <c r="V58" s="60">
        <f t="shared" si="4"/>
        <v>0</v>
      </c>
      <c r="W58" s="60">
        <f t="shared" si="4"/>
        <v>0</v>
      </c>
      <c r="X58" s="60">
        <f t="shared" si="4"/>
        <v>0</v>
      </c>
      <c r="Y58" s="60">
        <f t="shared" si="4"/>
        <v>0</v>
      </c>
      <c r="Z58" s="60">
        <f t="shared" si="4"/>
        <v>0</v>
      </c>
      <c r="AA58" s="60">
        <f t="shared" si="4"/>
        <v>0</v>
      </c>
      <c r="AB58" s="60">
        <f t="shared" si="4"/>
        <v>0</v>
      </c>
      <c r="AC58" s="60">
        <f t="shared" si="4"/>
        <v>0</v>
      </c>
      <c r="AD58" s="60">
        <f t="shared" si="4"/>
        <v>0</v>
      </c>
      <c r="AE58" s="60">
        <f t="shared" si="4"/>
        <v>0</v>
      </c>
      <c r="AF58" s="60">
        <f t="shared" si="4"/>
        <v>0</v>
      </c>
      <c r="AG58" s="61">
        <f>SUM(AG14:AG56)</f>
        <v>1042.4000000000001</v>
      </c>
      <c r="AH58" s="47">
        <f t="shared" si="2"/>
        <v>0</v>
      </c>
      <c r="AI58" s="48">
        <f t="shared" si="3"/>
        <v>0</v>
      </c>
      <c r="AK58" s="50"/>
    </row>
    <row r="59" spans="1:88" x14ac:dyDescent="0.25">
      <c r="A59" s="62" t="s">
        <v>59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63"/>
      <c r="O59" s="63"/>
      <c r="P59" s="63"/>
      <c r="Q59" s="63"/>
      <c r="R59" s="63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456</v>
      </c>
      <c r="AH59" s="47">
        <f t="shared" si="2"/>
        <v>0</v>
      </c>
      <c r="AI59" s="48">
        <f t="shared" si="3"/>
        <v>0</v>
      </c>
      <c r="AK59" s="50"/>
    </row>
    <row r="60" spans="1:88" x14ac:dyDescent="0.25">
      <c r="A60" s="64" t="s">
        <v>60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60</v>
      </c>
      <c r="AH60" s="47">
        <f t="shared" si="2"/>
        <v>0</v>
      </c>
      <c r="AI60" s="48">
        <f t="shared" si="3"/>
        <v>0</v>
      </c>
      <c r="AK60" s="50"/>
    </row>
    <row r="61" spans="1:88" ht="15.75" thickBot="1" x14ac:dyDescent="0.3">
      <c r="A61" s="66" t="s">
        <v>61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22.1</v>
      </c>
      <c r="AH61" s="47">
        <f t="shared" si="2"/>
        <v>0</v>
      </c>
      <c r="AI61" s="48">
        <f t="shared" si="3"/>
        <v>0</v>
      </c>
      <c r="AK61" s="50"/>
    </row>
    <row r="62" spans="1:88" ht="15.75" thickBot="1" x14ac:dyDescent="0.3">
      <c r="A62" s="69" t="s">
        <v>62</v>
      </c>
      <c r="B62" s="60">
        <f t="shared" ref="B62:AG62" si="5">SUM(B59:B61)</f>
        <v>0</v>
      </c>
      <c r="C62" s="60">
        <f t="shared" si="5"/>
        <v>0</v>
      </c>
      <c r="D62" s="60">
        <f t="shared" si="5"/>
        <v>0</v>
      </c>
      <c r="E62" s="60">
        <f t="shared" si="5"/>
        <v>0</v>
      </c>
      <c r="F62" s="60">
        <f t="shared" si="5"/>
        <v>0</v>
      </c>
      <c r="G62" s="60">
        <f t="shared" si="5"/>
        <v>0</v>
      </c>
      <c r="H62" s="60">
        <f t="shared" si="5"/>
        <v>0</v>
      </c>
      <c r="I62" s="60">
        <f t="shared" si="5"/>
        <v>0</v>
      </c>
      <c r="J62" s="60">
        <f t="shared" si="5"/>
        <v>0</v>
      </c>
      <c r="K62" s="60">
        <f t="shared" si="5"/>
        <v>0</v>
      </c>
      <c r="L62" s="60">
        <f t="shared" si="5"/>
        <v>0</v>
      </c>
      <c r="M62" s="60">
        <f t="shared" si="5"/>
        <v>0</v>
      </c>
      <c r="N62" s="60">
        <f t="shared" si="5"/>
        <v>0</v>
      </c>
      <c r="O62" s="60">
        <f t="shared" si="5"/>
        <v>0</v>
      </c>
      <c r="P62" s="60">
        <f t="shared" si="5"/>
        <v>0</v>
      </c>
      <c r="Q62" s="60">
        <f t="shared" si="5"/>
        <v>0</v>
      </c>
      <c r="R62" s="60">
        <f t="shared" si="5"/>
        <v>0</v>
      </c>
      <c r="S62" s="60">
        <f t="shared" si="5"/>
        <v>0</v>
      </c>
      <c r="T62" s="60">
        <f t="shared" si="5"/>
        <v>0</v>
      </c>
      <c r="U62" s="60">
        <f t="shared" si="5"/>
        <v>0</v>
      </c>
      <c r="V62" s="60">
        <f t="shared" si="5"/>
        <v>0</v>
      </c>
      <c r="W62" s="60">
        <f t="shared" si="5"/>
        <v>0</v>
      </c>
      <c r="X62" s="60">
        <f t="shared" si="5"/>
        <v>0</v>
      </c>
      <c r="Y62" s="60">
        <f t="shared" si="5"/>
        <v>0</v>
      </c>
      <c r="Z62" s="60">
        <f t="shared" si="5"/>
        <v>0</v>
      </c>
      <c r="AA62" s="60">
        <f t="shared" si="5"/>
        <v>0</v>
      </c>
      <c r="AB62" s="60">
        <f t="shared" si="5"/>
        <v>0</v>
      </c>
      <c r="AC62" s="60">
        <f t="shared" si="5"/>
        <v>0</v>
      </c>
      <c r="AD62" s="60">
        <f t="shared" si="5"/>
        <v>0</v>
      </c>
      <c r="AE62" s="60">
        <f t="shared" si="5"/>
        <v>0</v>
      </c>
      <c r="AF62" s="60">
        <f t="shared" si="5"/>
        <v>0</v>
      </c>
      <c r="AG62" s="61">
        <f t="shared" si="5"/>
        <v>538.1</v>
      </c>
      <c r="AH62" s="47">
        <f t="shared" si="2"/>
        <v>0</v>
      </c>
      <c r="AI62" s="48">
        <f t="shared" si="3"/>
        <v>0</v>
      </c>
      <c r="AK62" s="50"/>
    </row>
    <row r="63" spans="1:88" x14ac:dyDescent="0.25">
      <c r="A63" s="44" t="s">
        <v>63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144</v>
      </c>
      <c r="AH63" s="47">
        <f t="shared" si="2"/>
        <v>0</v>
      </c>
      <c r="AI63" s="48">
        <f t="shared" si="3"/>
        <v>0</v>
      </c>
      <c r="AK63" s="50"/>
    </row>
    <row r="64" spans="1:88" x14ac:dyDescent="0.25">
      <c r="A64" s="54" t="s">
        <v>64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65"/>
      <c r="AE64" s="45"/>
      <c r="AF64" s="45"/>
      <c r="AG64" s="55">
        <v>70</v>
      </c>
      <c r="AH64" s="47">
        <f t="shared" si="2"/>
        <v>0</v>
      </c>
      <c r="AI64" s="48">
        <f t="shared" si="3"/>
        <v>0</v>
      </c>
      <c r="AK64" s="50"/>
    </row>
    <row r="65" spans="1:41" x14ac:dyDescent="0.25">
      <c r="A65" s="54" t="s">
        <v>65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65"/>
      <c r="AE65" s="45"/>
      <c r="AF65" s="45"/>
      <c r="AG65" s="55">
        <v>69</v>
      </c>
      <c r="AH65" s="47">
        <f t="shared" si="2"/>
        <v>0</v>
      </c>
      <c r="AI65" s="48">
        <f t="shared" si="3"/>
        <v>0</v>
      </c>
      <c r="AK65" s="50"/>
    </row>
    <row r="66" spans="1:41" x14ac:dyDescent="0.25">
      <c r="A66" s="54" t="s">
        <v>66</v>
      </c>
      <c r="B66" s="65"/>
      <c r="C66" s="65"/>
      <c r="D66" s="65"/>
      <c r="E66" s="65"/>
      <c r="F66" s="65"/>
      <c r="G66" s="65"/>
      <c r="H66" s="65"/>
      <c r="I66" s="65"/>
      <c r="J66" s="65"/>
      <c r="K66" s="57"/>
      <c r="L66" s="57"/>
      <c r="M66" s="65"/>
      <c r="N66" s="65"/>
      <c r="O66" s="65"/>
      <c r="P66" s="65"/>
      <c r="Q66" s="65"/>
      <c r="R66" s="6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65"/>
      <c r="AE66" s="45"/>
      <c r="AF66" s="45"/>
      <c r="AG66" s="55">
        <v>60</v>
      </c>
      <c r="AH66" s="47">
        <f t="shared" si="2"/>
        <v>0</v>
      </c>
      <c r="AI66" s="48">
        <f t="shared" si="3"/>
        <v>0</v>
      </c>
      <c r="AK66" s="50"/>
    </row>
    <row r="67" spans="1:41" x14ac:dyDescent="0.25">
      <c r="A67" s="54" t="s">
        <v>67</v>
      </c>
      <c r="B67" s="65"/>
      <c r="C67" s="65"/>
      <c r="D67" s="65"/>
      <c r="E67" s="65"/>
      <c r="F67" s="65"/>
      <c r="G67" s="65"/>
      <c r="H67" s="65"/>
      <c r="I67" s="65"/>
      <c r="J67" s="65"/>
      <c r="K67" s="57"/>
      <c r="L67" s="57"/>
      <c r="M67" s="65"/>
      <c r="N67" s="65"/>
      <c r="O67" s="65"/>
      <c r="P67" s="65"/>
      <c r="Q67" s="65"/>
      <c r="R67" s="6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65"/>
      <c r="AE67" s="45"/>
      <c r="AF67" s="45"/>
      <c r="AG67" s="55">
        <v>30</v>
      </c>
      <c r="AH67" s="47">
        <f t="shared" si="2"/>
        <v>0</v>
      </c>
      <c r="AI67" s="48">
        <f t="shared" si="3"/>
        <v>0</v>
      </c>
      <c r="AK67" s="50"/>
    </row>
    <row r="68" spans="1:41" x14ac:dyDescent="0.25">
      <c r="A68" s="54" t="s">
        <v>68</v>
      </c>
      <c r="B68" s="45"/>
      <c r="C68" s="45"/>
      <c r="D68" s="45"/>
      <c r="E68" s="45"/>
      <c r="F68" s="45"/>
      <c r="G68" s="45"/>
      <c r="H68" s="45"/>
      <c r="I68" s="45"/>
      <c r="J68" s="45"/>
      <c r="K68" s="65"/>
      <c r="L68" s="65"/>
      <c r="M68" s="65"/>
      <c r="N68" s="65"/>
      <c r="O68" s="65"/>
      <c r="P68" s="65"/>
      <c r="Q68" s="65"/>
      <c r="R68" s="6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65"/>
      <c r="AE68" s="45"/>
      <c r="AF68" s="45"/>
      <c r="AG68" s="55">
        <v>25</v>
      </c>
      <c r="AH68" s="47">
        <f t="shared" si="2"/>
        <v>0</v>
      </c>
      <c r="AI68" s="48">
        <f t="shared" si="3"/>
        <v>0</v>
      </c>
      <c r="AK68" s="50"/>
    </row>
    <row r="69" spans="1:41" x14ac:dyDescent="0.25">
      <c r="A69" s="54" t="s">
        <v>69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55">
        <v>24</v>
      </c>
      <c r="AH69" s="47">
        <f t="shared" si="2"/>
        <v>0</v>
      </c>
      <c r="AI69" s="48">
        <f t="shared" si="3"/>
        <v>0</v>
      </c>
      <c r="AK69" s="50"/>
    </row>
    <row r="70" spans="1:41" x14ac:dyDescent="0.25">
      <c r="A70" s="54" t="s">
        <v>70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5">
        <v>15</v>
      </c>
      <c r="AH70" s="47">
        <f t="shared" si="2"/>
        <v>0</v>
      </c>
      <c r="AI70" s="48">
        <f t="shared" si="3"/>
        <v>0</v>
      </c>
      <c r="AK70" s="50"/>
      <c r="AL70" s="70"/>
      <c r="AO70" s="70"/>
    </row>
    <row r="71" spans="1:41" s="70" customFormat="1" x14ac:dyDescent="0.25">
      <c r="A71" s="54" t="s">
        <v>71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55">
        <v>14.1</v>
      </c>
      <c r="AH71" s="47">
        <f t="shared" si="2"/>
        <v>0</v>
      </c>
      <c r="AI71" s="48">
        <f t="shared" si="3"/>
        <v>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55">
        <v>14</v>
      </c>
      <c r="AH72" s="47">
        <f t="shared" si="2"/>
        <v>0</v>
      </c>
      <c r="AI72" s="48">
        <f t="shared" si="3"/>
        <v>0</v>
      </c>
      <c r="AK72" s="50"/>
    </row>
    <row r="73" spans="1:41" x14ac:dyDescent="0.25">
      <c r="A73" s="54" t="s">
        <v>73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55">
        <v>10.050000000000001</v>
      </c>
      <c r="AH73" s="47">
        <f t="shared" si="2"/>
        <v>0</v>
      </c>
      <c r="AI73" s="48">
        <f t="shared" si="3"/>
        <v>0</v>
      </c>
      <c r="AK73" s="50"/>
    </row>
    <row r="74" spans="1:41" x14ac:dyDescent="0.25">
      <c r="A74" s="54" t="s">
        <v>74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>
        <v>6.2</v>
      </c>
      <c r="AH74" s="47">
        <f t="shared" si="2"/>
        <v>0</v>
      </c>
      <c r="AI74" s="48">
        <f t="shared" si="3"/>
        <v>0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6">SUM(B63:B75)</f>
        <v>3.54</v>
      </c>
      <c r="C76" s="60">
        <f t="shared" si="6"/>
        <v>3.54</v>
      </c>
      <c r="D76" s="60">
        <f t="shared" si="6"/>
        <v>3.54</v>
      </c>
      <c r="E76" s="60">
        <f t="shared" si="6"/>
        <v>3.54</v>
      </c>
      <c r="F76" s="60">
        <f t="shared" si="6"/>
        <v>3.54</v>
      </c>
      <c r="G76" s="60">
        <f t="shared" si="6"/>
        <v>3.54</v>
      </c>
      <c r="H76" s="60">
        <f t="shared" si="6"/>
        <v>3.54</v>
      </c>
      <c r="I76" s="60">
        <f t="shared" si="6"/>
        <v>3.54</v>
      </c>
      <c r="J76" s="60">
        <f t="shared" si="6"/>
        <v>3.54</v>
      </c>
      <c r="K76" s="60">
        <f t="shared" si="6"/>
        <v>3.54</v>
      </c>
      <c r="L76" s="60">
        <f t="shared" si="6"/>
        <v>3.54</v>
      </c>
      <c r="M76" s="60">
        <f t="shared" si="6"/>
        <v>3.54</v>
      </c>
      <c r="N76" s="60">
        <f t="shared" si="6"/>
        <v>3.54</v>
      </c>
      <c r="O76" s="60">
        <f t="shared" si="6"/>
        <v>3.54</v>
      </c>
      <c r="P76" s="60">
        <f t="shared" si="6"/>
        <v>3.54</v>
      </c>
      <c r="Q76" s="60">
        <f t="shared" si="6"/>
        <v>3.54</v>
      </c>
      <c r="R76" s="60">
        <f t="shared" si="6"/>
        <v>3.54</v>
      </c>
      <c r="S76" s="60">
        <f t="shared" si="6"/>
        <v>3.54</v>
      </c>
      <c r="T76" s="60">
        <f t="shared" si="6"/>
        <v>3.54</v>
      </c>
      <c r="U76" s="60">
        <f t="shared" si="6"/>
        <v>3.54</v>
      </c>
      <c r="V76" s="60">
        <f t="shared" si="6"/>
        <v>3.54</v>
      </c>
      <c r="W76" s="60">
        <f t="shared" si="6"/>
        <v>3.54</v>
      </c>
      <c r="X76" s="60">
        <f t="shared" si="6"/>
        <v>3.54</v>
      </c>
      <c r="Y76" s="60">
        <f t="shared" si="6"/>
        <v>3.54</v>
      </c>
      <c r="Z76" s="60">
        <f t="shared" si="6"/>
        <v>3.54</v>
      </c>
      <c r="AA76" s="60">
        <f t="shared" si="6"/>
        <v>3.54</v>
      </c>
      <c r="AB76" s="60">
        <f t="shared" si="6"/>
        <v>3.54</v>
      </c>
      <c r="AC76" s="60">
        <f t="shared" si="6"/>
        <v>3.54</v>
      </c>
      <c r="AD76" s="60">
        <f t="shared" si="6"/>
        <v>3.54</v>
      </c>
      <c r="AE76" s="60">
        <f t="shared" si="6"/>
        <v>3.54</v>
      </c>
      <c r="AF76" s="60">
        <f t="shared" si="6"/>
        <v>3.54</v>
      </c>
      <c r="AG76" s="61">
        <f t="shared" si="6"/>
        <v>489.91</v>
      </c>
      <c r="AH76" s="47">
        <f t="shared" si="2"/>
        <v>3.54</v>
      </c>
      <c r="AI76" s="48">
        <f t="shared" si="3"/>
        <v>3.54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7">B77+B78+B79</f>
        <v>0</v>
      </c>
      <c r="C80" s="60">
        <f t="shared" si="7"/>
        <v>0</v>
      </c>
      <c r="D80" s="60">
        <f t="shared" si="7"/>
        <v>0</v>
      </c>
      <c r="E80" s="60">
        <f t="shared" si="7"/>
        <v>0</v>
      </c>
      <c r="F80" s="60">
        <f t="shared" si="7"/>
        <v>0</v>
      </c>
      <c r="G80" s="60">
        <f t="shared" si="7"/>
        <v>0</v>
      </c>
      <c r="H80" s="60">
        <f t="shared" si="7"/>
        <v>0</v>
      </c>
      <c r="I80" s="60">
        <f t="shared" si="7"/>
        <v>0</v>
      </c>
      <c r="J80" s="60">
        <f t="shared" si="7"/>
        <v>0</v>
      </c>
      <c r="K80" s="60">
        <f t="shared" si="7"/>
        <v>0</v>
      </c>
      <c r="L80" s="60">
        <f t="shared" si="7"/>
        <v>0</v>
      </c>
      <c r="M80" s="60">
        <f t="shared" si="7"/>
        <v>0</v>
      </c>
      <c r="N80" s="60">
        <f t="shared" si="7"/>
        <v>0</v>
      </c>
      <c r="O80" s="60">
        <f t="shared" si="7"/>
        <v>0</v>
      </c>
      <c r="P80" s="60">
        <f t="shared" si="7"/>
        <v>0</v>
      </c>
      <c r="Q80" s="60">
        <f t="shared" si="7"/>
        <v>0</v>
      </c>
      <c r="R80" s="60">
        <f t="shared" si="7"/>
        <v>0</v>
      </c>
      <c r="S80" s="60">
        <f t="shared" si="7"/>
        <v>0</v>
      </c>
      <c r="T80" s="60">
        <f t="shared" si="7"/>
        <v>0</v>
      </c>
      <c r="U80" s="60">
        <f t="shared" si="7"/>
        <v>0</v>
      </c>
      <c r="V80" s="60">
        <f t="shared" si="7"/>
        <v>0</v>
      </c>
      <c r="W80" s="60">
        <f t="shared" si="7"/>
        <v>0</v>
      </c>
      <c r="X80" s="60">
        <f t="shared" si="7"/>
        <v>0</v>
      </c>
      <c r="Y80" s="60">
        <f t="shared" si="7"/>
        <v>0</v>
      </c>
      <c r="Z80" s="60">
        <f t="shared" si="7"/>
        <v>0</v>
      </c>
      <c r="AA80" s="60">
        <f t="shared" si="7"/>
        <v>0</v>
      </c>
      <c r="AB80" s="60">
        <f t="shared" si="7"/>
        <v>0</v>
      </c>
      <c r="AC80" s="60">
        <f t="shared" si="7"/>
        <v>0</v>
      </c>
      <c r="AD80" s="60">
        <f t="shared" si="7"/>
        <v>0</v>
      </c>
      <c r="AE80" s="60">
        <f t="shared" si="7"/>
        <v>0</v>
      </c>
      <c r="AF80" s="60">
        <f t="shared" si="7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52"/>
      <c r="AH81" s="47">
        <f t="shared" si="2"/>
        <v>0</v>
      </c>
      <c r="AI81" s="48">
        <f t="shared" si="3"/>
        <v>0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75"/>
      <c r="AH83" s="47">
        <f t="shared" si="2"/>
        <v>0</v>
      </c>
      <c r="AI83" s="48">
        <f t="shared" si="3"/>
        <v>0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8">MAX(B85:AF85)</f>
        <v>0</v>
      </c>
      <c r="AI85" s="48">
        <f t="shared" ref="AI85:AI130" si="9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8"/>
        <v>0</v>
      </c>
      <c r="AI86" s="48">
        <f t="shared" si="9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8"/>
        <v>0</v>
      </c>
      <c r="AI87" s="48">
        <f t="shared" si="9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8"/>
        <v>0</v>
      </c>
      <c r="AI88" s="48">
        <f t="shared" si="9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8"/>
        <v>0</v>
      </c>
      <c r="AI89" s="48">
        <f t="shared" si="9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8"/>
        <v>0</v>
      </c>
      <c r="AI90" s="48">
        <f t="shared" si="9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8"/>
        <v>0</v>
      </c>
      <c r="AI91" s="48">
        <f t="shared" si="9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10">SUMIF(B81:B91,"&gt;0")</f>
        <v>0</v>
      </c>
      <c r="C92" s="60">
        <f t="shared" si="10"/>
        <v>0</v>
      </c>
      <c r="D92" s="60">
        <f t="shared" si="10"/>
        <v>0</v>
      </c>
      <c r="E92" s="60">
        <f t="shared" si="10"/>
        <v>0</v>
      </c>
      <c r="F92" s="60">
        <f t="shared" si="10"/>
        <v>0</v>
      </c>
      <c r="G92" s="60">
        <f t="shared" si="10"/>
        <v>0</v>
      </c>
      <c r="H92" s="60">
        <f t="shared" si="10"/>
        <v>0</v>
      </c>
      <c r="I92" s="60">
        <f t="shared" si="10"/>
        <v>0</v>
      </c>
      <c r="J92" s="60">
        <f t="shared" si="10"/>
        <v>0</v>
      </c>
      <c r="K92" s="60">
        <f t="shared" si="10"/>
        <v>0</v>
      </c>
      <c r="L92" s="60">
        <f t="shared" si="10"/>
        <v>0</v>
      </c>
      <c r="M92" s="60">
        <f t="shared" si="10"/>
        <v>0</v>
      </c>
      <c r="N92" s="60">
        <f t="shared" si="10"/>
        <v>0</v>
      </c>
      <c r="O92" s="60">
        <f t="shared" si="10"/>
        <v>0</v>
      </c>
      <c r="P92" s="60">
        <f t="shared" si="10"/>
        <v>0</v>
      </c>
      <c r="Q92" s="60">
        <f t="shared" si="10"/>
        <v>0</v>
      </c>
      <c r="R92" s="60">
        <f t="shared" si="10"/>
        <v>0</v>
      </c>
      <c r="S92" s="60">
        <f t="shared" si="10"/>
        <v>0</v>
      </c>
      <c r="T92" s="60">
        <f t="shared" si="10"/>
        <v>0</v>
      </c>
      <c r="U92" s="60">
        <f t="shared" si="10"/>
        <v>0</v>
      </c>
      <c r="V92" s="60">
        <f t="shared" si="10"/>
        <v>0</v>
      </c>
      <c r="W92" s="60">
        <f t="shared" si="10"/>
        <v>0</v>
      </c>
      <c r="X92" s="60">
        <f t="shared" si="10"/>
        <v>0</v>
      </c>
      <c r="Y92" s="60">
        <f t="shared" si="10"/>
        <v>0</v>
      </c>
      <c r="Z92" s="60">
        <f t="shared" si="10"/>
        <v>0</v>
      </c>
      <c r="AA92" s="60">
        <f t="shared" si="10"/>
        <v>0</v>
      </c>
      <c r="AB92" s="60">
        <f t="shared" si="10"/>
        <v>0</v>
      </c>
      <c r="AC92" s="60">
        <f t="shared" si="10"/>
        <v>0</v>
      </c>
      <c r="AD92" s="60">
        <f t="shared" si="10"/>
        <v>0</v>
      </c>
      <c r="AE92" s="60">
        <f t="shared" si="10"/>
        <v>0</v>
      </c>
      <c r="AF92" s="60">
        <f t="shared" si="10"/>
        <v>0</v>
      </c>
      <c r="AG92" s="88">
        <f>SUM(AG81:AG91)</f>
        <v>0</v>
      </c>
      <c r="AH92" s="47">
        <f t="shared" si="8"/>
        <v>0</v>
      </c>
      <c r="AI92" s="48">
        <f t="shared" si="9"/>
        <v>0</v>
      </c>
      <c r="AK92" s="86"/>
      <c r="AL92" s="77"/>
      <c r="AM92" s="89"/>
      <c r="AN92" s="231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8"/>
        <v>0</v>
      </c>
      <c r="AI93" s="48">
        <f t="shared" si="9"/>
        <v>0</v>
      </c>
      <c r="AK93" s="86"/>
      <c r="AL93" s="77"/>
      <c r="AM93" s="77"/>
      <c r="AN93" s="232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8"/>
        <v>0</v>
      </c>
      <c r="AI94" s="48">
        <f t="shared" si="9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8"/>
        <v>0</v>
      </c>
      <c r="AI95" s="48">
        <f t="shared" si="9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8"/>
        <v>0</v>
      </c>
      <c r="AI96" s="48">
        <f t="shared" si="9"/>
        <v>0</v>
      </c>
    </row>
    <row r="97" spans="1:37" ht="15.75" thickBot="1" x14ac:dyDescent="0.3">
      <c r="A97" s="74" t="s">
        <v>100</v>
      </c>
      <c r="B97" s="95">
        <f t="shared" ref="B97:AG97" si="11">B58+B62+B80+B76+B92+B96</f>
        <v>3.54</v>
      </c>
      <c r="C97" s="95">
        <f t="shared" si="11"/>
        <v>3.54</v>
      </c>
      <c r="D97" s="95">
        <f t="shared" si="11"/>
        <v>3.54</v>
      </c>
      <c r="E97" s="95">
        <f t="shared" si="11"/>
        <v>3.54</v>
      </c>
      <c r="F97" s="95">
        <f t="shared" si="11"/>
        <v>3.54</v>
      </c>
      <c r="G97" s="95">
        <f t="shared" si="11"/>
        <v>3.54</v>
      </c>
      <c r="H97" s="95">
        <f t="shared" si="11"/>
        <v>3.54</v>
      </c>
      <c r="I97" s="95">
        <f t="shared" si="11"/>
        <v>3.54</v>
      </c>
      <c r="J97" s="95">
        <f t="shared" si="11"/>
        <v>3.54</v>
      </c>
      <c r="K97" s="95">
        <f t="shared" si="11"/>
        <v>3.54</v>
      </c>
      <c r="L97" s="95">
        <f t="shared" si="11"/>
        <v>3.54</v>
      </c>
      <c r="M97" s="95">
        <f t="shared" si="11"/>
        <v>3.54</v>
      </c>
      <c r="N97" s="95">
        <f t="shared" si="11"/>
        <v>3.54</v>
      </c>
      <c r="O97" s="95">
        <f t="shared" si="11"/>
        <v>3.54</v>
      </c>
      <c r="P97" s="95">
        <f t="shared" si="11"/>
        <v>3.54</v>
      </c>
      <c r="Q97" s="95">
        <f t="shared" si="11"/>
        <v>3.54</v>
      </c>
      <c r="R97" s="95">
        <f t="shared" si="11"/>
        <v>3.54</v>
      </c>
      <c r="S97" s="95">
        <f t="shared" si="11"/>
        <v>3.54</v>
      </c>
      <c r="T97" s="95">
        <f t="shared" si="11"/>
        <v>3.54</v>
      </c>
      <c r="U97" s="95">
        <f t="shared" si="11"/>
        <v>3.54</v>
      </c>
      <c r="V97" s="95">
        <f t="shared" si="11"/>
        <v>3.54</v>
      </c>
      <c r="W97" s="95">
        <f t="shared" si="11"/>
        <v>3.54</v>
      </c>
      <c r="X97" s="95">
        <f t="shared" si="11"/>
        <v>3.54</v>
      </c>
      <c r="Y97" s="95">
        <f t="shared" si="11"/>
        <v>3.54</v>
      </c>
      <c r="Z97" s="95">
        <f t="shared" si="11"/>
        <v>3.54</v>
      </c>
      <c r="AA97" s="95">
        <f t="shared" si="11"/>
        <v>3.54</v>
      </c>
      <c r="AB97" s="95">
        <f t="shared" si="11"/>
        <v>3.54</v>
      </c>
      <c r="AC97" s="95">
        <f t="shared" si="11"/>
        <v>3.54</v>
      </c>
      <c r="AD97" s="95">
        <f t="shared" si="11"/>
        <v>3.54</v>
      </c>
      <c r="AE97" s="95">
        <f t="shared" si="11"/>
        <v>3.54</v>
      </c>
      <c r="AF97" s="95">
        <f t="shared" si="11"/>
        <v>3.54</v>
      </c>
      <c r="AG97" s="61">
        <f t="shared" si="11"/>
        <v>2231.81</v>
      </c>
      <c r="AH97" s="47">
        <f t="shared" si="8"/>
        <v>3.54</v>
      </c>
      <c r="AI97" s="48">
        <f t="shared" si="9"/>
        <v>3.54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74" t="s">
        <v>102</v>
      </c>
      <c r="B99" s="95">
        <f t="shared" ref="B99:AF99" si="12">B97+B98</f>
        <v>3.54</v>
      </c>
      <c r="C99" s="95">
        <f t="shared" si="12"/>
        <v>3.54</v>
      </c>
      <c r="D99" s="95">
        <f t="shared" si="12"/>
        <v>3.54</v>
      </c>
      <c r="E99" s="95">
        <f t="shared" si="12"/>
        <v>3.54</v>
      </c>
      <c r="F99" s="95">
        <f t="shared" si="12"/>
        <v>3.54</v>
      </c>
      <c r="G99" s="95">
        <f t="shared" si="12"/>
        <v>3.54</v>
      </c>
      <c r="H99" s="95">
        <f t="shared" si="12"/>
        <v>3.54</v>
      </c>
      <c r="I99" s="95">
        <f t="shared" si="12"/>
        <v>3.54</v>
      </c>
      <c r="J99" s="95">
        <f t="shared" si="12"/>
        <v>3.54</v>
      </c>
      <c r="K99" s="95">
        <f t="shared" si="12"/>
        <v>3.54</v>
      </c>
      <c r="L99" s="95">
        <f t="shared" si="12"/>
        <v>3.54</v>
      </c>
      <c r="M99" s="95">
        <f t="shared" si="12"/>
        <v>3.54</v>
      </c>
      <c r="N99" s="95">
        <f t="shared" si="12"/>
        <v>3.54</v>
      </c>
      <c r="O99" s="95">
        <f t="shared" si="12"/>
        <v>3.54</v>
      </c>
      <c r="P99" s="95">
        <f t="shared" si="12"/>
        <v>3.54</v>
      </c>
      <c r="Q99" s="95">
        <f t="shared" si="12"/>
        <v>3.54</v>
      </c>
      <c r="R99" s="95">
        <f t="shared" si="12"/>
        <v>3.54</v>
      </c>
      <c r="S99" s="95">
        <f t="shared" si="12"/>
        <v>3.54</v>
      </c>
      <c r="T99" s="95">
        <f t="shared" si="12"/>
        <v>3.54</v>
      </c>
      <c r="U99" s="95">
        <f t="shared" si="12"/>
        <v>3.54</v>
      </c>
      <c r="V99" s="95">
        <f t="shared" si="12"/>
        <v>3.54</v>
      </c>
      <c r="W99" s="95">
        <f t="shared" si="12"/>
        <v>3.54</v>
      </c>
      <c r="X99" s="95">
        <f t="shared" si="12"/>
        <v>3.54</v>
      </c>
      <c r="Y99" s="95">
        <f t="shared" si="12"/>
        <v>3.54</v>
      </c>
      <c r="Z99" s="95">
        <f t="shared" si="12"/>
        <v>3.54</v>
      </c>
      <c r="AA99" s="95">
        <f t="shared" si="12"/>
        <v>3.54</v>
      </c>
      <c r="AB99" s="95">
        <f t="shared" si="12"/>
        <v>3.54</v>
      </c>
      <c r="AC99" s="95">
        <f t="shared" si="12"/>
        <v>3.54</v>
      </c>
      <c r="AD99" s="95">
        <f t="shared" si="12"/>
        <v>3.54</v>
      </c>
      <c r="AE99" s="95">
        <f t="shared" si="12"/>
        <v>3.54</v>
      </c>
      <c r="AF99" s="95">
        <f t="shared" si="12"/>
        <v>3.54</v>
      </c>
      <c r="AG99" s="88">
        <f>AG96+AG92+AG80+AG76+AG58+AG98</f>
        <v>1693.71</v>
      </c>
      <c r="AH99" s="47">
        <f t="shared" si="8"/>
        <v>3.54</v>
      </c>
      <c r="AI99" s="48">
        <f t="shared" si="9"/>
        <v>3.54</v>
      </c>
    </row>
    <row r="100" spans="1:37" ht="15.75" thickBot="1" x14ac:dyDescent="0.3">
      <c r="A100" s="74" t="s">
        <v>103</v>
      </c>
      <c r="B100" s="95">
        <f t="shared" ref="B100:M100" si="13">B99-(B107)</f>
        <v>3.54</v>
      </c>
      <c r="C100" s="95">
        <f t="shared" si="13"/>
        <v>3.54</v>
      </c>
      <c r="D100" s="95">
        <f t="shared" si="13"/>
        <v>3.54</v>
      </c>
      <c r="E100" s="95">
        <f t="shared" si="13"/>
        <v>3.54</v>
      </c>
      <c r="F100" s="95">
        <f t="shared" si="13"/>
        <v>3.54</v>
      </c>
      <c r="G100" s="95">
        <f t="shared" si="13"/>
        <v>3.54</v>
      </c>
      <c r="H100" s="95">
        <f t="shared" si="13"/>
        <v>3.54</v>
      </c>
      <c r="I100" s="95">
        <f t="shared" si="13"/>
        <v>3.54</v>
      </c>
      <c r="J100" s="95">
        <f t="shared" si="13"/>
        <v>3.54</v>
      </c>
      <c r="K100" s="95">
        <f t="shared" si="13"/>
        <v>3.54</v>
      </c>
      <c r="L100" s="95">
        <f t="shared" si="13"/>
        <v>3.54</v>
      </c>
      <c r="M100" s="95">
        <f t="shared" si="13"/>
        <v>3.54</v>
      </c>
      <c r="N100" s="95">
        <f>N99-(N107)</f>
        <v>3.54</v>
      </c>
      <c r="O100" s="95">
        <f t="shared" ref="O100:AF100" si="14">O99-(O107)</f>
        <v>3.54</v>
      </c>
      <c r="P100" s="95">
        <f t="shared" si="14"/>
        <v>3.54</v>
      </c>
      <c r="Q100" s="95">
        <f t="shared" si="14"/>
        <v>3.54</v>
      </c>
      <c r="R100" s="95">
        <f t="shared" si="14"/>
        <v>3.54</v>
      </c>
      <c r="S100" s="95">
        <f t="shared" si="14"/>
        <v>3.54</v>
      </c>
      <c r="T100" s="95">
        <f t="shared" si="14"/>
        <v>3.54</v>
      </c>
      <c r="U100" s="95">
        <f t="shared" si="14"/>
        <v>3.54</v>
      </c>
      <c r="V100" s="95">
        <f t="shared" si="14"/>
        <v>3.54</v>
      </c>
      <c r="W100" s="95">
        <f t="shared" si="14"/>
        <v>3.54</v>
      </c>
      <c r="X100" s="95">
        <f t="shared" si="14"/>
        <v>3.54</v>
      </c>
      <c r="Y100" s="95">
        <f t="shared" si="14"/>
        <v>3.54</v>
      </c>
      <c r="Z100" s="95">
        <f t="shared" si="14"/>
        <v>3.54</v>
      </c>
      <c r="AA100" s="95">
        <f t="shared" si="14"/>
        <v>3.54</v>
      </c>
      <c r="AB100" s="95">
        <f t="shared" si="14"/>
        <v>3.54</v>
      </c>
      <c r="AC100" s="95">
        <f t="shared" si="14"/>
        <v>3.54</v>
      </c>
      <c r="AD100" s="95">
        <f t="shared" si="14"/>
        <v>3.54</v>
      </c>
      <c r="AE100" s="95">
        <f t="shared" si="14"/>
        <v>3.54</v>
      </c>
      <c r="AF100" s="95">
        <f t="shared" si="14"/>
        <v>3.54</v>
      </c>
      <c r="AG100" s="88"/>
      <c r="AH100" s="47">
        <f t="shared" si="8"/>
        <v>3.54</v>
      </c>
      <c r="AI100" s="48">
        <f t="shared" si="9"/>
        <v>3.54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15">IF(C84&lt;0,C84*-1,0)</f>
        <v>0</v>
      </c>
      <c r="D101" s="76">
        <f t="shared" si="15"/>
        <v>0</v>
      </c>
      <c r="E101" s="76">
        <f t="shared" si="15"/>
        <v>0</v>
      </c>
      <c r="F101" s="76">
        <f t="shared" si="15"/>
        <v>0</v>
      </c>
      <c r="G101" s="76">
        <f t="shared" si="15"/>
        <v>0</v>
      </c>
      <c r="H101" s="76">
        <f t="shared" si="15"/>
        <v>0</v>
      </c>
      <c r="I101" s="76">
        <f t="shared" si="15"/>
        <v>0</v>
      </c>
      <c r="J101" s="76">
        <f t="shared" si="15"/>
        <v>0</v>
      </c>
      <c r="K101" s="76">
        <f t="shared" si="15"/>
        <v>0</v>
      </c>
      <c r="L101" s="76">
        <f t="shared" si="15"/>
        <v>0</v>
      </c>
      <c r="M101" s="76">
        <f t="shared" si="15"/>
        <v>0</v>
      </c>
      <c r="N101" s="76">
        <f t="shared" si="15"/>
        <v>0</v>
      </c>
      <c r="O101" s="76">
        <f t="shared" si="15"/>
        <v>0</v>
      </c>
      <c r="P101" s="76">
        <f t="shared" si="15"/>
        <v>0</v>
      </c>
      <c r="Q101" s="76">
        <f t="shared" si="15"/>
        <v>0</v>
      </c>
      <c r="R101" s="76">
        <f t="shared" si="15"/>
        <v>0</v>
      </c>
      <c r="S101" s="76">
        <f t="shared" si="15"/>
        <v>0</v>
      </c>
      <c r="T101" s="76">
        <f t="shared" si="15"/>
        <v>0</v>
      </c>
      <c r="U101" s="76">
        <f t="shared" si="15"/>
        <v>0</v>
      </c>
      <c r="V101" s="76">
        <f t="shared" si="15"/>
        <v>0</v>
      </c>
      <c r="W101" s="76">
        <f t="shared" si="15"/>
        <v>0</v>
      </c>
      <c r="X101" s="76">
        <f t="shared" si="15"/>
        <v>0</v>
      </c>
      <c r="Y101" s="76">
        <f t="shared" si="15"/>
        <v>0</v>
      </c>
      <c r="Z101" s="76">
        <f t="shared" si="15"/>
        <v>0</v>
      </c>
      <c r="AA101" s="76">
        <f t="shared" si="15"/>
        <v>0</v>
      </c>
      <c r="AB101" s="76">
        <f t="shared" si="15"/>
        <v>0</v>
      </c>
      <c r="AC101" s="76">
        <f t="shared" si="15"/>
        <v>0</v>
      </c>
      <c r="AD101" s="76">
        <f t="shared" si="15"/>
        <v>0</v>
      </c>
      <c r="AE101" s="76">
        <f t="shared" si="15"/>
        <v>0</v>
      </c>
      <c r="AF101" s="76">
        <f t="shared" si="15"/>
        <v>0</v>
      </c>
      <c r="AG101" s="52"/>
      <c r="AH101" s="47">
        <f t="shared" si="8"/>
        <v>0</v>
      </c>
      <c r="AI101" s="48">
        <f t="shared" si="9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16">IF(C82&lt;0,C82*-1,0)</f>
        <v>0</v>
      </c>
      <c r="D102" s="76">
        <f t="shared" si="16"/>
        <v>0</v>
      </c>
      <c r="E102" s="76">
        <f t="shared" si="16"/>
        <v>0</v>
      </c>
      <c r="F102" s="76">
        <f t="shared" si="16"/>
        <v>0</v>
      </c>
      <c r="G102" s="76">
        <f t="shared" si="16"/>
        <v>0</v>
      </c>
      <c r="H102" s="76">
        <f t="shared" si="16"/>
        <v>0</v>
      </c>
      <c r="I102" s="76">
        <f t="shared" si="16"/>
        <v>0</v>
      </c>
      <c r="J102" s="76">
        <f t="shared" si="16"/>
        <v>0</v>
      </c>
      <c r="K102" s="76">
        <f t="shared" si="16"/>
        <v>0</v>
      </c>
      <c r="L102" s="76">
        <f t="shared" si="16"/>
        <v>0</v>
      </c>
      <c r="M102" s="76">
        <f t="shared" si="16"/>
        <v>0</v>
      </c>
      <c r="N102" s="76">
        <f t="shared" si="16"/>
        <v>0</v>
      </c>
      <c r="O102" s="76">
        <f t="shared" si="16"/>
        <v>0</v>
      </c>
      <c r="P102" s="76">
        <f t="shared" si="16"/>
        <v>0</v>
      </c>
      <c r="Q102" s="76">
        <f t="shared" si="16"/>
        <v>0</v>
      </c>
      <c r="R102" s="76">
        <f t="shared" si="16"/>
        <v>0</v>
      </c>
      <c r="S102" s="76">
        <f t="shared" si="16"/>
        <v>0</v>
      </c>
      <c r="T102" s="76">
        <f t="shared" si="16"/>
        <v>0</v>
      </c>
      <c r="U102" s="76">
        <f t="shared" si="16"/>
        <v>0</v>
      </c>
      <c r="V102" s="76">
        <f t="shared" si="16"/>
        <v>0</v>
      </c>
      <c r="W102" s="76">
        <f t="shared" si="16"/>
        <v>0</v>
      </c>
      <c r="X102" s="76">
        <f t="shared" si="16"/>
        <v>0</v>
      </c>
      <c r="Y102" s="76">
        <f t="shared" si="16"/>
        <v>0</v>
      </c>
      <c r="Z102" s="76">
        <f t="shared" si="16"/>
        <v>0</v>
      </c>
      <c r="AA102" s="76">
        <f t="shared" si="16"/>
        <v>0</v>
      </c>
      <c r="AB102" s="76">
        <f t="shared" si="16"/>
        <v>0</v>
      </c>
      <c r="AC102" s="76">
        <f t="shared" si="16"/>
        <v>0</v>
      </c>
      <c r="AD102" s="76">
        <f t="shared" si="16"/>
        <v>0</v>
      </c>
      <c r="AE102" s="76">
        <f t="shared" si="16"/>
        <v>0</v>
      </c>
      <c r="AF102" s="76">
        <f t="shared" si="16"/>
        <v>0</v>
      </c>
      <c r="AG102" s="55"/>
      <c r="AH102" s="47">
        <f t="shared" si="8"/>
        <v>0</v>
      </c>
      <c r="AI102" s="48">
        <f t="shared" si="9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17">IF(C85&lt;0,C85*-1,0)</f>
        <v>0</v>
      </c>
      <c r="D103" s="76">
        <f t="shared" si="17"/>
        <v>0</v>
      </c>
      <c r="E103" s="76">
        <f t="shared" si="17"/>
        <v>0</v>
      </c>
      <c r="F103" s="76">
        <f t="shared" si="17"/>
        <v>0</v>
      </c>
      <c r="G103" s="76">
        <f t="shared" si="17"/>
        <v>0</v>
      </c>
      <c r="H103" s="76">
        <f t="shared" si="17"/>
        <v>0</v>
      </c>
      <c r="I103" s="76">
        <f t="shared" si="17"/>
        <v>0</v>
      </c>
      <c r="J103" s="76">
        <f t="shared" si="17"/>
        <v>0</v>
      </c>
      <c r="K103" s="76">
        <f t="shared" si="17"/>
        <v>0</v>
      </c>
      <c r="L103" s="76">
        <f t="shared" si="17"/>
        <v>0</v>
      </c>
      <c r="M103" s="76">
        <f t="shared" si="17"/>
        <v>0</v>
      </c>
      <c r="N103" s="76">
        <f t="shared" si="17"/>
        <v>0</v>
      </c>
      <c r="O103" s="76">
        <f t="shared" si="17"/>
        <v>0</v>
      </c>
      <c r="P103" s="76">
        <f t="shared" si="17"/>
        <v>0</v>
      </c>
      <c r="Q103" s="76">
        <f t="shared" si="17"/>
        <v>0</v>
      </c>
      <c r="R103" s="76">
        <f t="shared" si="17"/>
        <v>0</v>
      </c>
      <c r="S103" s="76">
        <f t="shared" si="17"/>
        <v>0</v>
      </c>
      <c r="T103" s="76">
        <f t="shared" si="17"/>
        <v>0</v>
      </c>
      <c r="U103" s="76">
        <f t="shared" si="17"/>
        <v>0</v>
      </c>
      <c r="V103" s="76">
        <f t="shared" si="17"/>
        <v>0</v>
      </c>
      <c r="W103" s="76">
        <f t="shared" si="17"/>
        <v>0</v>
      </c>
      <c r="X103" s="76">
        <f t="shared" si="17"/>
        <v>0</v>
      </c>
      <c r="Y103" s="76">
        <f t="shared" si="17"/>
        <v>0</v>
      </c>
      <c r="Z103" s="76">
        <f t="shared" si="17"/>
        <v>0</v>
      </c>
      <c r="AA103" s="76">
        <f t="shared" si="17"/>
        <v>0</v>
      </c>
      <c r="AB103" s="76">
        <f t="shared" si="17"/>
        <v>0</v>
      </c>
      <c r="AC103" s="76">
        <f t="shared" si="17"/>
        <v>0</v>
      </c>
      <c r="AD103" s="76">
        <f t="shared" si="17"/>
        <v>0</v>
      </c>
      <c r="AE103" s="76">
        <f t="shared" si="17"/>
        <v>0</v>
      </c>
      <c r="AF103" s="76">
        <f t="shared" si="17"/>
        <v>0</v>
      </c>
      <c r="AG103" s="98"/>
      <c r="AH103" s="47">
        <f t="shared" si="8"/>
        <v>0</v>
      </c>
      <c r="AI103" s="48">
        <f t="shared" si="9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18">IF(C83&lt;0,C83*-1,0)</f>
        <v>0</v>
      </c>
      <c r="D104" s="76">
        <f t="shared" si="18"/>
        <v>0</v>
      </c>
      <c r="E104" s="76">
        <f t="shared" si="18"/>
        <v>0</v>
      </c>
      <c r="F104" s="76">
        <f t="shared" si="18"/>
        <v>0</v>
      </c>
      <c r="G104" s="76">
        <f t="shared" si="18"/>
        <v>0</v>
      </c>
      <c r="H104" s="76">
        <f t="shared" si="18"/>
        <v>0</v>
      </c>
      <c r="I104" s="76">
        <f t="shared" si="18"/>
        <v>0</v>
      </c>
      <c r="J104" s="76">
        <f t="shared" si="18"/>
        <v>0</v>
      </c>
      <c r="K104" s="76">
        <f t="shared" si="18"/>
        <v>0</v>
      </c>
      <c r="L104" s="76">
        <f t="shared" si="18"/>
        <v>0</v>
      </c>
      <c r="M104" s="76">
        <f t="shared" si="18"/>
        <v>0</v>
      </c>
      <c r="N104" s="76">
        <f t="shared" si="18"/>
        <v>0</v>
      </c>
      <c r="O104" s="76">
        <f t="shared" si="18"/>
        <v>0</v>
      </c>
      <c r="P104" s="76">
        <f t="shared" si="18"/>
        <v>0</v>
      </c>
      <c r="Q104" s="76">
        <f t="shared" si="18"/>
        <v>0</v>
      </c>
      <c r="R104" s="76">
        <f t="shared" si="18"/>
        <v>0</v>
      </c>
      <c r="S104" s="76">
        <f t="shared" si="18"/>
        <v>0</v>
      </c>
      <c r="T104" s="76">
        <f t="shared" si="18"/>
        <v>0</v>
      </c>
      <c r="U104" s="76">
        <f t="shared" si="18"/>
        <v>0</v>
      </c>
      <c r="V104" s="76">
        <f t="shared" si="18"/>
        <v>0</v>
      </c>
      <c r="W104" s="76">
        <f t="shared" si="18"/>
        <v>0</v>
      </c>
      <c r="X104" s="76">
        <f t="shared" si="18"/>
        <v>0</v>
      </c>
      <c r="Y104" s="76">
        <f t="shared" si="18"/>
        <v>0</v>
      </c>
      <c r="Z104" s="76">
        <f t="shared" si="18"/>
        <v>0</v>
      </c>
      <c r="AA104" s="76">
        <f t="shared" si="18"/>
        <v>0</v>
      </c>
      <c r="AB104" s="76">
        <f t="shared" si="18"/>
        <v>0</v>
      </c>
      <c r="AC104" s="76">
        <f t="shared" si="18"/>
        <v>0</v>
      </c>
      <c r="AD104" s="76">
        <f t="shared" si="18"/>
        <v>0</v>
      </c>
      <c r="AE104" s="76">
        <f t="shared" si="18"/>
        <v>0</v>
      </c>
      <c r="AF104" s="76">
        <f t="shared" si="18"/>
        <v>0</v>
      </c>
      <c r="AG104" s="98"/>
      <c r="AH104" s="47">
        <f t="shared" si="8"/>
        <v>0</v>
      </c>
      <c r="AI104" s="48">
        <f t="shared" si="9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19">IF(C81&lt;0,C81*-1,0)</f>
        <v>0</v>
      </c>
      <c r="D105" s="76">
        <f t="shared" si="19"/>
        <v>0</v>
      </c>
      <c r="E105" s="76">
        <f t="shared" si="19"/>
        <v>0</v>
      </c>
      <c r="F105" s="76">
        <f t="shared" si="19"/>
        <v>0</v>
      </c>
      <c r="G105" s="76">
        <f t="shared" si="19"/>
        <v>0</v>
      </c>
      <c r="H105" s="76">
        <f t="shared" si="19"/>
        <v>0</v>
      </c>
      <c r="I105" s="76">
        <f t="shared" si="19"/>
        <v>0</v>
      </c>
      <c r="J105" s="76">
        <f t="shared" si="19"/>
        <v>0</v>
      </c>
      <c r="K105" s="76">
        <f t="shared" si="19"/>
        <v>0</v>
      </c>
      <c r="L105" s="76">
        <f t="shared" si="19"/>
        <v>0</v>
      </c>
      <c r="M105" s="76">
        <f t="shared" si="19"/>
        <v>0</v>
      </c>
      <c r="N105" s="76">
        <f t="shared" si="19"/>
        <v>0</v>
      </c>
      <c r="O105" s="76">
        <f t="shared" si="19"/>
        <v>0</v>
      </c>
      <c r="P105" s="76">
        <f t="shared" si="19"/>
        <v>0</v>
      </c>
      <c r="Q105" s="76">
        <f t="shared" si="19"/>
        <v>0</v>
      </c>
      <c r="R105" s="76">
        <f t="shared" si="19"/>
        <v>0</v>
      </c>
      <c r="S105" s="76">
        <f t="shared" si="19"/>
        <v>0</v>
      </c>
      <c r="T105" s="76">
        <f t="shared" si="19"/>
        <v>0</v>
      </c>
      <c r="U105" s="76">
        <f t="shared" si="19"/>
        <v>0</v>
      </c>
      <c r="V105" s="76">
        <f t="shared" si="19"/>
        <v>0</v>
      </c>
      <c r="W105" s="76">
        <f t="shared" si="19"/>
        <v>0</v>
      </c>
      <c r="X105" s="76">
        <f t="shared" si="19"/>
        <v>0</v>
      </c>
      <c r="Y105" s="76">
        <f t="shared" si="19"/>
        <v>0</v>
      </c>
      <c r="Z105" s="76">
        <f t="shared" si="19"/>
        <v>0</v>
      </c>
      <c r="AA105" s="76">
        <f t="shared" si="19"/>
        <v>0</v>
      </c>
      <c r="AB105" s="76">
        <f t="shared" si="19"/>
        <v>0</v>
      </c>
      <c r="AC105" s="76">
        <f t="shared" si="19"/>
        <v>0</v>
      </c>
      <c r="AD105" s="76">
        <f t="shared" si="19"/>
        <v>0</v>
      </c>
      <c r="AE105" s="76">
        <f t="shared" si="19"/>
        <v>0</v>
      </c>
      <c r="AF105" s="76">
        <f t="shared" si="19"/>
        <v>0</v>
      </c>
      <c r="AG105" s="98"/>
      <c r="AH105" s="47">
        <f t="shared" si="8"/>
        <v>0</v>
      </c>
      <c r="AI105" s="48">
        <f t="shared" si="9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8"/>
        <v>0</v>
      </c>
      <c r="AI106" s="48">
        <f t="shared" si="9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20">SUM(C101:C106)</f>
        <v>0</v>
      </c>
      <c r="D107" s="60">
        <f t="shared" si="20"/>
        <v>0</v>
      </c>
      <c r="E107" s="60">
        <f t="shared" si="20"/>
        <v>0</v>
      </c>
      <c r="F107" s="60">
        <f t="shared" si="20"/>
        <v>0</v>
      </c>
      <c r="G107" s="60">
        <f t="shared" si="20"/>
        <v>0</v>
      </c>
      <c r="H107" s="60">
        <f t="shared" si="20"/>
        <v>0</v>
      </c>
      <c r="I107" s="60">
        <f t="shared" si="20"/>
        <v>0</v>
      </c>
      <c r="J107" s="60">
        <f t="shared" si="20"/>
        <v>0</v>
      </c>
      <c r="K107" s="60">
        <f t="shared" si="20"/>
        <v>0</v>
      </c>
      <c r="L107" s="60">
        <f t="shared" si="20"/>
        <v>0</v>
      </c>
      <c r="M107" s="60">
        <f t="shared" si="20"/>
        <v>0</v>
      </c>
      <c r="N107" s="60">
        <f t="shared" si="20"/>
        <v>0</v>
      </c>
      <c r="O107" s="60">
        <f t="shared" si="20"/>
        <v>0</v>
      </c>
      <c r="P107" s="60">
        <f t="shared" si="20"/>
        <v>0</v>
      </c>
      <c r="Q107" s="60">
        <f t="shared" si="20"/>
        <v>0</v>
      </c>
      <c r="R107" s="60">
        <f t="shared" si="20"/>
        <v>0</v>
      </c>
      <c r="S107" s="60">
        <f t="shared" si="20"/>
        <v>0</v>
      </c>
      <c r="T107" s="60">
        <f t="shared" si="20"/>
        <v>0</v>
      </c>
      <c r="U107" s="60">
        <f t="shared" si="20"/>
        <v>0</v>
      </c>
      <c r="V107" s="60">
        <f t="shared" si="20"/>
        <v>0</v>
      </c>
      <c r="W107" s="60">
        <f t="shared" si="20"/>
        <v>0</v>
      </c>
      <c r="X107" s="60">
        <f t="shared" si="20"/>
        <v>0</v>
      </c>
      <c r="Y107" s="60">
        <f t="shared" si="20"/>
        <v>0</v>
      </c>
      <c r="Z107" s="60">
        <f t="shared" si="20"/>
        <v>0</v>
      </c>
      <c r="AA107" s="60">
        <f t="shared" si="20"/>
        <v>0</v>
      </c>
      <c r="AB107" s="60">
        <f t="shared" si="20"/>
        <v>0</v>
      </c>
      <c r="AC107" s="60">
        <f t="shared" si="20"/>
        <v>0</v>
      </c>
      <c r="AD107" s="60">
        <f t="shared" si="20"/>
        <v>0</v>
      </c>
      <c r="AE107" s="60">
        <f t="shared" si="20"/>
        <v>0</v>
      </c>
      <c r="AF107" s="60">
        <f t="shared" si="20"/>
        <v>0</v>
      </c>
      <c r="AG107" s="88"/>
      <c r="AH107" s="47">
        <f t="shared" si="8"/>
        <v>0</v>
      </c>
      <c r="AI107" s="48">
        <f t="shared" si="9"/>
        <v>0</v>
      </c>
      <c r="AK107" s="50"/>
    </row>
    <row r="108" spans="1:37" ht="15.75" thickBot="1" x14ac:dyDescent="0.3">
      <c r="A108" s="74" t="s">
        <v>108</v>
      </c>
      <c r="B108" s="60">
        <f t="shared" ref="B108:AF108" si="21">B92-B107</f>
        <v>0</v>
      </c>
      <c r="C108" s="60">
        <f t="shared" si="21"/>
        <v>0</v>
      </c>
      <c r="D108" s="60">
        <f t="shared" si="21"/>
        <v>0</v>
      </c>
      <c r="E108" s="60">
        <f t="shared" si="21"/>
        <v>0</v>
      </c>
      <c r="F108" s="60">
        <f t="shared" si="21"/>
        <v>0</v>
      </c>
      <c r="G108" s="60">
        <f t="shared" si="21"/>
        <v>0</v>
      </c>
      <c r="H108" s="60">
        <f t="shared" si="21"/>
        <v>0</v>
      </c>
      <c r="I108" s="60">
        <f t="shared" si="21"/>
        <v>0</v>
      </c>
      <c r="J108" s="60">
        <f t="shared" si="21"/>
        <v>0</v>
      </c>
      <c r="K108" s="60">
        <f t="shared" si="21"/>
        <v>0</v>
      </c>
      <c r="L108" s="60">
        <f t="shared" si="21"/>
        <v>0</v>
      </c>
      <c r="M108" s="60">
        <f t="shared" si="21"/>
        <v>0</v>
      </c>
      <c r="N108" s="60">
        <f t="shared" si="21"/>
        <v>0</v>
      </c>
      <c r="O108" s="60">
        <f t="shared" si="21"/>
        <v>0</v>
      </c>
      <c r="P108" s="60">
        <f t="shared" si="21"/>
        <v>0</v>
      </c>
      <c r="Q108" s="60">
        <f t="shared" si="21"/>
        <v>0</v>
      </c>
      <c r="R108" s="60">
        <f t="shared" si="21"/>
        <v>0</v>
      </c>
      <c r="S108" s="60">
        <f t="shared" si="21"/>
        <v>0</v>
      </c>
      <c r="T108" s="60">
        <f t="shared" si="21"/>
        <v>0</v>
      </c>
      <c r="U108" s="60">
        <f t="shared" si="21"/>
        <v>0</v>
      </c>
      <c r="V108" s="60">
        <f t="shared" si="21"/>
        <v>0</v>
      </c>
      <c r="W108" s="60">
        <f t="shared" si="21"/>
        <v>0</v>
      </c>
      <c r="X108" s="60">
        <f t="shared" si="21"/>
        <v>0</v>
      </c>
      <c r="Y108" s="60">
        <f t="shared" si="21"/>
        <v>0</v>
      </c>
      <c r="Z108" s="60">
        <f t="shared" si="21"/>
        <v>0</v>
      </c>
      <c r="AA108" s="60">
        <f t="shared" si="21"/>
        <v>0</v>
      </c>
      <c r="AB108" s="60">
        <f t="shared" si="21"/>
        <v>0</v>
      </c>
      <c r="AC108" s="60">
        <f t="shared" si="21"/>
        <v>0</v>
      </c>
      <c r="AD108" s="60">
        <f t="shared" si="21"/>
        <v>0</v>
      </c>
      <c r="AE108" s="60">
        <f t="shared" si="21"/>
        <v>0</v>
      </c>
      <c r="AF108" s="60">
        <f t="shared" si="21"/>
        <v>0</v>
      </c>
      <c r="AG108" s="88"/>
      <c r="AH108" s="47">
        <f t="shared" si="8"/>
        <v>0</v>
      </c>
      <c r="AI108" s="48">
        <f t="shared" si="9"/>
        <v>0</v>
      </c>
    </row>
    <row r="109" spans="1:37" x14ac:dyDescent="0.25">
      <c r="A109" s="100" t="s">
        <v>109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2"/>
      <c r="AH109" s="47">
        <f t="shared" si="8"/>
        <v>0</v>
      </c>
      <c r="AI109" s="48">
        <f t="shared" si="9"/>
        <v>0</v>
      </c>
    </row>
    <row r="110" spans="1:37" x14ac:dyDescent="0.25">
      <c r="A110" s="103" t="s">
        <v>110</v>
      </c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104"/>
      <c r="AH110" s="47">
        <f t="shared" si="8"/>
        <v>0</v>
      </c>
      <c r="AI110" s="48">
        <f t="shared" si="9"/>
        <v>0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8"/>
        <v>0</v>
      </c>
      <c r="AI111" s="48">
        <f t="shared" si="9"/>
        <v>0</v>
      </c>
    </row>
    <row r="112" spans="1:37" x14ac:dyDescent="0.25">
      <c r="A112" s="103" t="s">
        <v>112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8"/>
        <v>0</v>
      </c>
      <c r="AI112" s="48">
        <f t="shared" si="9"/>
        <v>0</v>
      </c>
    </row>
    <row r="113" spans="1:35" x14ac:dyDescent="0.25">
      <c r="A113" s="105" t="s">
        <v>113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04"/>
      <c r="AH113" s="47">
        <f t="shared" si="8"/>
        <v>0</v>
      </c>
      <c r="AI113" s="48">
        <f t="shared" si="9"/>
        <v>0</v>
      </c>
    </row>
    <row r="114" spans="1:35" x14ac:dyDescent="0.25">
      <c r="A114" s="105" t="s">
        <v>114</v>
      </c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7"/>
      <c r="AH114" s="47">
        <f t="shared" si="8"/>
        <v>0</v>
      </c>
      <c r="AI114" s="48">
        <f t="shared" si="9"/>
        <v>0</v>
      </c>
    </row>
    <row r="115" spans="1:35" x14ac:dyDescent="0.25">
      <c r="A115" s="103" t="s">
        <v>115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104"/>
      <c r="AH115" s="47">
        <f t="shared" si="8"/>
        <v>0</v>
      </c>
      <c r="AI115" s="48">
        <f t="shared" si="9"/>
        <v>0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8"/>
        <v>0</v>
      </c>
      <c r="AI116" s="48">
        <f t="shared" si="9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8"/>
        <v>0</v>
      </c>
      <c r="AI117" s="48">
        <f t="shared" si="9"/>
        <v>0</v>
      </c>
    </row>
    <row r="118" spans="1:35" ht="15.75" thickBot="1" x14ac:dyDescent="0.3">
      <c r="A118" s="110" t="s">
        <v>118</v>
      </c>
      <c r="B118" s="111">
        <f t="shared" ref="B118:O118" si="22">SUM(B22,B28,B31:B32,B66,B68:B69,B71,B73,B119:B123,B155,B161,B167,B176,B178,B190,B197,B200:B201,B208,B210,B212,B216:B218,B220:B222,B227,B233:B234,B236:B238,B246,B251)</f>
        <v>0.94</v>
      </c>
      <c r="C118" s="111">
        <f t="shared" si="22"/>
        <v>0.94</v>
      </c>
      <c r="D118" s="111">
        <f t="shared" si="22"/>
        <v>0.94</v>
      </c>
      <c r="E118" s="111">
        <f t="shared" si="22"/>
        <v>0.94</v>
      </c>
      <c r="F118" s="111">
        <f t="shared" si="22"/>
        <v>0.94</v>
      </c>
      <c r="G118" s="111">
        <f t="shared" si="22"/>
        <v>0.94</v>
      </c>
      <c r="H118" s="111">
        <f t="shared" si="22"/>
        <v>0.94</v>
      </c>
      <c r="I118" s="111">
        <f t="shared" si="22"/>
        <v>0.94</v>
      </c>
      <c r="J118" s="111">
        <f t="shared" si="22"/>
        <v>0.94</v>
      </c>
      <c r="K118" s="111">
        <f t="shared" si="22"/>
        <v>0.94</v>
      </c>
      <c r="L118" s="111">
        <f t="shared" si="22"/>
        <v>0.94</v>
      </c>
      <c r="M118" s="111">
        <f t="shared" si="22"/>
        <v>0.94</v>
      </c>
      <c r="N118" s="111">
        <f t="shared" si="22"/>
        <v>0.94</v>
      </c>
      <c r="O118" s="111">
        <f t="shared" si="22"/>
        <v>0.94</v>
      </c>
      <c r="P118" s="111">
        <v>42</v>
      </c>
      <c r="Q118" s="111">
        <f t="shared" ref="Q118:AC118" si="23">SUM(Q22,Q28,Q31:Q32,Q66,Q68:Q69,Q71,Q73,Q119:Q123,Q155,Q161,Q167,Q176,Q178,Q190,Q197,Q200:Q201,Q208,Q210,Q212,Q216:Q218,Q220:Q222,Q227,Q233:Q234,Q236:Q238,Q246,Q251)</f>
        <v>0.94</v>
      </c>
      <c r="R118" s="111">
        <f t="shared" si="23"/>
        <v>0.94</v>
      </c>
      <c r="S118" s="111">
        <f t="shared" si="23"/>
        <v>0.94</v>
      </c>
      <c r="T118" s="111">
        <f t="shared" si="23"/>
        <v>0.94</v>
      </c>
      <c r="U118" s="111">
        <f t="shared" si="23"/>
        <v>0.94</v>
      </c>
      <c r="V118" s="111">
        <f t="shared" si="23"/>
        <v>0.94</v>
      </c>
      <c r="W118" s="111">
        <f t="shared" si="23"/>
        <v>0.94</v>
      </c>
      <c r="X118" s="111">
        <f t="shared" si="23"/>
        <v>0.94</v>
      </c>
      <c r="Y118" s="111">
        <f t="shared" si="23"/>
        <v>0.94</v>
      </c>
      <c r="Z118" s="111">
        <f t="shared" si="23"/>
        <v>0.94</v>
      </c>
      <c r="AA118" s="111">
        <f t="shared" si="23"/>
        <v>0.94</v>
      </c>
      <c r="AB118" s="111">
        <f t="shared" si="23"/>
        <v>0.94</v>
      </c>
      <c r="AC118" s="111">
        <f t="shared" si="23"/>
        <v>0.94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0.94</v>
      </c>
      <c r="AF118" s="111">
        <f>SUM(AF22,AF28,AF31:AF32,AF66,AF68:AF69,AF71,AF73,AF119:AF123,AF155,AF161,AF167,AF176,AF178,AF190,AF197,AF200:AF201,AF208,AF210,AF212,AF216:AF218,AF220:AF222,AF227,AF233:AF234,AF236:AF238,AF246,AF251)</f>
        <v>0.94</v>
      </c>
      <c r="AG118" s="112"/>
      <c r="AH118" s="47">
        <f t="shared" si="8"/>
        <v>42</v>
      </c>
      <c r="AI118" s="48">
        <f t="shared" si="9"/>
        <v>0.94</v>
      </c>
    </row>
    <row r="119" spans="1:35" x14ac:dyDescent="0.25">
      <c r="A119" s="181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8"/>
        <v>0</v>
      </c>
      <c r="AI119" s="48">
        <f t="shared" si="9"/>
        <v>0</v>
      </c>
    </row>
    <row r="120" spans="1:35" x14ac:dyDescent="0.25">
      <c r="A120" s="182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8"/>
        <v>0</v>
      </c>
      <c r="AI120" s="48">
        <f t="shared" si="9"/>
        <v>0</v>
      </c>
    </row>
    <row r="121" spans="1:35" x14ac:dyDescent="0.25">
      <c r="A121" s="182" t="s">
        <v>121</v>
      </c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4">
        <v>240</v>
      </c>
      <c r="AH121" s="47">
        <f t="shared" si="8"/>
        <v>0</v>
      </c>
      <c r="AI121" s="48">
        <f t="shared" si="9"/>
        <v>0</v>
      </c>
    </row>
    <row r="122" spans="1:35" ht="15.75" thickBot="1" x14ac:dyDescent="0.3">
      <c r="A122" s="182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8"/>
        <v>0</v>
      </c>
      <c r="AI122" s="48">
        <f t="shared" si="9"/>
        <v>0</v>
      </c>
    </row>
    <row r="123" spans="1:35" x14ac:dyDescent="0.25">
      <c r="A123" s="181" t="s">
        <v>267</v>
      </c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>
        <v>120</v>
      </c>
      <c r="AH123" s="47">
        <f t="shared" si="8"/>
        <v>0</v>
      </c>
      <c r="AI123" s="48">
        <f t="shared" si="9"/>
        <v>0</v>
      </c>
    </row>
    <row r="124" spans="1:35" x14ac:dyDescent="0.25">
      <c r="A124" s="182" t="s">
        <v>266</v>
      </c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8"/>
      <c r="AH124" s="47"/>
      <c r="AI124" s="48"/>
    </row>
    <row r="125" spans="1:35" x14ac:dyDescent="0.25">
      <c r="A125" s="182" t="s">
        <v>263</v>
      </c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8"/>
      <c r="AH125" s="47"/>
      <c r="AI125" s="48"/>
    </row>
    <row r="126" spans="1:35" ht="15.75" thickBot="1" x14ac:dyDescent="0.3">
      <c r="A126" s="182" t="s">
        <v>260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4"/>
      <c r="AH126" s="47">
        <f t="shared" si="8"/>
        <v>0</v>
      </c>
      <c r="AI126" s="48">
        <f t="shared" si="9"/>
        <v>0</v>
      </c>
    </row>
    <row r="127" spans="1:35" x14ac:dyDescent="0.25">
      <c r="A127" s="181" t="s">
        <v>264</v>
      </c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06"/>
      <c r="AG127" s="114"/>
      <c r="AH127" s="47">
        <f t="shared" si="8"/>
        <v>0</v>
      </c>
      <c r="AI127" s="48">
        <f t="shared" si="9"/>
        <v>0</v>
      </c>
    </row>
    <row r="128" spans="1:35" x14ac:dyDescent="0.25">
      <c r="A128" s="182" t="s">
        <v>126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 t="shared" si="8"/>
        <v>0</v>
      </c>
      <c r="AI128" s="48">
        <f t="shared" si="9"/>
        <v>0</v>
      </c>
    </row>
    <row r="129" spans="1:37" x14ac:dyDescent="0.25">
      <c r="A129" s="182" t="s">
        <v>268</v>
      </c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14"/>
      <c r="AH129" s="47">
        <f t="shared" si="8"/>
        <v>0</v>
      </c>
      <c r="AI129" s="48">
        <f t="shared" si="9"/>
        <v>0</v>
      </c>
    </row>
    <row r="130" spans="1:37" ht="15.75" thickBot="1" x14ac:dyDescent="0.3">
      <c r="A130" s="182" t="s">
        <v>265</v>
      </c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14"/>
      <c r="AH130" s="47">
        <f t="shared" si="8"/>
        <v>0</v>
      </c>
      <c r="AI130" s="48">
        <f t="shared" si="9"/>
        <v>0</v>
      </c>
    </row>
    <row r="131" spans="1:37" x14ac:dyDescent="0.25">
      <c r="A131" s="147" t="s">
        <v>242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9"/>
      <c r="AG131" s="43"/>
      <c r="AH131" s="47"/>
      <c r="AI131" s="48"/>
    </row>
    <row r="132" spans="1:37" x14ac:dyDescent="0.25">
      <c r="A132" s="199" t="s">
        <v>376</v>
      </c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2"/>
      <c r="AG132" s="153"/>
      <c r="AH132" s="47"/>
      <c r="AI132" s="48"/>
    </row>
    <row r="133" spans="1:37" x14ac:dyDescent="0.25">
      <c r="A133" s="199" t="s">
        <v>243</v>
      </c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6"/>
      <c r="AG133" s="153"/>
      <c r="AH133" s="47"/>
      <c r="AI133" s="48"/>
    </row>
    <row r="134" spans="1:37" x14ac:dyDescent="0.25">
      <c r="A134" s="199" t="s">
        <v>244</v>
      </c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6"/>
      <c r="AG134" s="153"/>
      <c r="AH134" s="47"/>
      <c r="AI134" s="48"/>
    </row>
    <row r="135" spans="1:37" x14ac:dyDescent="0.25">
      <c r="A135" s="199" t="s">
        <v>245</v>
      </c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6"/>
      <c r="AG135" s="153"/>
      <c r="AH135" s="47"/>
      <c r="AI135" s="48"/>
    </row>
    <row r="136" spans="1:37" x14ac:dyDescent="0.25">
      <c r="A136" s="199" t="s">
        <v>415</v>
      </c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6"/>
      <c r="AG136" s="153"/>
      <c r="AH136" s="47"/>
      <c r="AI136" s="48"/>
    </row>
    <row r="137" spans="1:37" ht="15.75" thickBot="1" x14ac:dyDescent="0.3">
      <c r="A137" s="199" t="s">
        <v>246</v>
      </c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9"/>
      <c r="AG137" s="153"/>
      <c r="AH137" s="47"/>
      <c r="AI137" s="48"/>
    </row>
    <row r="138" spans="1:37" ht="15.75" thickBot="1" x14ac:dyDescent="0.3">
      <c r="A138" s="122" t="s">
        <v>129</v>
      </c>
      <c r="B138" s="123"/>
      <c r="C138" s="123"/>
      <c r="D138" s="123"/>
      <c r="E138" s="123"/>
      <c r="F138" s="176" t="s">
        <v>258</v>
      </c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83"/>
      <c r="AH138" s="47"/>
      <c r="AI138" s="48"/>
      <c r="AK138" s="50"/>
    </row>
    <row r="139" spans="1:37" x14ac:dyDescent="0.25">
      <c r="A139" s="125" t="s">
        <v>130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>
        <v>9.94</v>
      </c>
      <c r="AH139" s="47"/>
      <c r="AI139" s="48"/>
      <c r="AK139" s="50"/>
    </row>
    <row r="140" spans="1:37" x14ac:dyDescent="0.25">
      <c r="A140" s="103" t="s">
        <v>131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47"/>
      <c r="AI140" s="48"/>
      <c r="AK140" s="50"/>
    </row>
    <row r="141" spans="1:37" x14ac:dyDescent="0.25">
      <c r="A141" s="103" t="s">
        <v>132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47"/>
      <c r="AI141" s="48"/>
      <c r="AK141" s="50"/>
    </row>
    <row r="142" spans="1:37" x14ac:dyDescent="0.25">
      <c r="A142" s="103" t="s">
        <v>133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47"/>
      <c r="AI142" s="48"/>
      <c r="AK142" s="50"/>
    </row>
    <row r="143" spans="1:37" x14ac:dyDescent="0.25">
      <c r="A143" s="103" t="s">
        <v>134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47"/>
      <c r="AI143" s="48"/>
      <c r="AK143" s="50"/>
    </row>
    <row r="144" spans="1:37" x14ac:dyDescent="0.25">
      <c r="A144" s="103" t="s">
        <v>135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47"/>
      <c r="AI144" s="48"/>
      <c r="AK144" s="50"/>
    </row>
    <row r="145" spans="1:37" x14ac:dyDescent="0.25">
      <c r="A145" s="103" t="s">
        <v>136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47"/>
      <c r="AI145" s="48"/>
      <c r="AK145" s="50"/>
    </row>
    <row r="146" spans="1:37" x14ac:dyDescent="0.25">
      <c r="A146" s="103" t="s">
        <v>137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47"/>
      <c r="AI146" s="48"/>
      <c r="AK146" s="50"/>
    </row>
    <row r="147" spans="1:37" x14ac:dyDescent="0.25">
      <c r="A147" s="103" t="s">
        <v>138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47"/>
      <c r="AI147" s="48"/>
      <c r="AK147" s="50"/>
    </row>
    <row r="148" spans="1:37" x14ac:dyDescent="0.25">
      <c r="A148" s="103" t="s">
        <v>139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47"/>
      <c r="AI148" s="48"/>
      <c r="AK148" s="50"/>
    </row>
    <row r="149" spans="1:37" x14ac:dyDescent="0.25">
      <c r="A149" s="103" t="s">
        <v>140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47"/>
      <c r="AI149" s="48"/>
      <c r="AK149" s="50"/>
    </row>
    <row r="150" spans="1:37" x14ac:dyDescent="0.25">
      <c r="A150" s="103" t="s">
        <v>141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47"/>
      <c r="AI150" s="48"/>
      <c r="AK150" s="50"/>
    </row>
    <row r="151" spans="1:37" x14ac:dyDescent="0.25">
      <c r="A151" s="103" t="s">
        <v>142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47"/>
      <c r="AI151" s="48"/>
      <c r="AK151" s="50"/>
    </row>
    <row r="152" spans="1:37" x14ac:dyDescent="0.25">
      <c r="A152" s="103" t="s">
        <v>143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47"/>
      <c r="AI152" s="48"/>
      <c r="AK152" s="50"/>
    </row>
    <row r="153" spans="1:37" x14ac:dyDescent="0.25">
      <c r="A153" s="103" t="s">
        <v>144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47"/>
      <c r="AI153" s="48"/>
      <c r="AK153" s="50"/>
    </row>
    <row r="154" spans="1:37" x14ac:dyDescent="0.25">
      <c r="A154" s="103" t="s">
        <v>145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47"/>
      <c r="AI154" s="48"/>
      <c r="AK154" s="50"/>
    </row>
    <row r="155" spans="1:37" x14ac:dyDescent="0.25">
      <c r="A155" s="103" t="s">
        <v>146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1">
        <v>9.9</v>
      </c>
      <c r="AH155" s="47"/>
      <c r="AI155" s="48"/>
      <c r="AK155" s="50"/>
    </row>
    <row r="156" spans="1:37" x14ac:dyDescent="0.25">
      <c r="A156" s="116" t="s">
        <v>147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9.6579999999999995</v>
      </c>
      <c r="AH156" s="47"/>
      <c r="AI156" s="48"/>
      <c r="AK156" s="50"/>
    </row>
    <row r="157" spans="1:37" x14ac:dyDescent="0.25">
      <c r="A157" s="116" t="s">
        <v>148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9.6</v>
      </c>
      <c r="AH157" s="47"/>
      <c r="AI157" s="48"/>
      <c r="AK157" s="50"/>
    </row>
    <row r="158" spans="1:37" x14ac:dyDescent="0.25">
      <c r="A158" s="116" t="s">
        <v>149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9.51</v>
      </c>
      <c r="AH158" s="47"/>
      <c r="AI158" s="48"/>
      <c r="AK158" s="50"/>
    </row>
    <row r="159" spans="1:37" x14ac:dyDescent="0.25">
      <c r="A159" s="116" t="s">
        <v>150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9.4</v>
      </c>
      <c r="AH159" s="47"/>
      <c r="AI159" s="48"/>
      <c r="AK159" s="50"/>
    </row>
    <row r="160" spans="1:37" x14ac:dyDescent="0.25">
      <c r="A160" s="116" t="s">
        <v>151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8.8000000000000007</v>
      </c>
      <c r="AH160" s="47"/>
      <c r="AI160" s="48"/>
      <c r="AK160" s="50"/>
    </row>
    <row r="161" spans="1:37" x14ac:dyDescent="0.25">
      <c r="A161" s="116" t="s">
        <v>152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8.5</v>
      </c>
      <c r="AH161" s="47"/>
      <c r="AI161" s="48"/>
      <c r="AK161" s="50"/>
    </row>
    <row r="162" spans="1:37" x14ac:dyDescent="0.25">
      <c r="A162" s="116" t="s">
        <v>153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8.5</v>
      </c>
      <c r="AH162" s="47"/>
      <c r="AI162" s="48"/>
      <c r="AK162" s="50"/>
    </row>
    <row r="163" spans="1:37" x14ac:dyDescent="0.25">
      <c r="A163" s="116" t="s">
        <v>154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8.4</v>
      </c>
      <c r="AH163" s="47"/>
      <c r="AI163" s="48"/>
      <c r="AK163" s="50"/>
    </row>
    <row r="164" spans="1:37" ht="13.5" customHeight="1" x14ac:dyDescent="0.25">
      <c r="A164" s="116" t="s">
        <v>155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2">
        <v>8</v>
      </c>
      <c r="AH164" s="47"/>
      <c r="AI164" s="48"/>
      <c r="AK164" s="50"/>
    </row>
    <row r="165" spans="1:37" x14ac:dyDescent="0.25">
      <c r="A165" s="116" t="s">
        <v>156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8</v>
      </c>
      <c r="AH165" s="47"/>
      <c r="AI165" s="48"/>
      <c r="AK165" s="50"/>
    </row>
    <row r="166" spans="1:37" x14ac:dyDescent="0.25">
      <c r="A166" s="116" t="s">
        <v>157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8</v>
      </c>
      <c r="AH166" s="47"/>
      <c r="AI166" s="48"/>
      <c r="AK166" s="50"/>
    </row>
    <row r="167" spans="1:37" x14ac:dyDescent="0.25">
      <c r="A167" s="116" t="s">
        <v>158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7.8</v>
      </c>
      <c r="AH167" s="47"/>
      <c r="AI167" s="48"/>
      <c r="AK167" s="50"/>
    </row>
    <row r="168" spans="1:37" x14ac:dyDescent="0.25">
      <c r="A168" s="116" t="s">
        <v>159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7.6</v>
      </c>
      <c r="AH168" s="47"/>
      <c r="AI168" s="48"/>
      <c r="AK168" s="50"/>
    </row>
    <row r="169" spans="1:37" x14ac:dyDescent="0.25">
      <c r="A169" s="116" t="s">
        <v>160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7.5</v>
      </c>
      <c r="AH169" s="47"/>
      <c r="AI169" s="48"/>
      <c r="AK169" s="50"/>
    </row>
    <row r="170" spans="1:37" x14ac:dyDescent="0.25">
      <c r="A170" s="116" t="s">
        <v>161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7.5</v>
      </c>
      <c r="AH170" s="47"/>
      <c r="AI170" s="48"/>
      <c r="AK170" s="50"/>
    </row>
    <row r="171" spans="1:37" x14ac:dyDescent="0.25">
      <c r="A171" s="116" t="s">
        <v>162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7</v>
      </c>
      <c r="AH171" s="47"/>
      <c r="AI171" s="48"/>
      <c r="AK171" s="50"/>
    </row>
    <row r="172" spans="1:37" x14ac:dyDescent="0.25">
      <c r="A172" s="116" t="s">
        <v>163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7</v>
      </c>
      <c r="AH172" s="47"/>
      <c r="AI172" s="48"/>
      <c r="AK172" s="50"/>
    </row>
    <row r="173" spans="1:37" x14ac:dyDescent="0.25">
      <c r="A173" s="116" t="s">
        <v>164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7</v>
      </c>
      <c r="AH173" s="47"/>
      <c r="AI173" s="48"/>
      <c r="AK173" s="50"/>
    </row>
    <row r="174" spans="1:37" x14ac:dyDescent="0.25">
      <c r="A174" s="116" t="s">
        <v>165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7</v>
      </c>
      <c r="AH174" s="47"/>
      <c r="AI174" s="48"/>
      <c r="AK174" s="50"/>
    </row>
    <row r="175" spans="1:37" x14ac:dyDescent="0.25">
      <c r="A175" s="116" t="s">
        <v>166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6.6</v>
      </c>
      <c r="AH175" s="47"/>
      <c r="AI175" s="48"/>
      <c r="AK175" s="50"/>
    </row>
    <row r="176" spans="1:37" x14ac:dyDescent="0.25">
      <c r="A176" s="116" t="s">
        <v>167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6.6</v>
      </c>
      <c r="AH176" s="47"/>
      <c r="AI176" s="48"/>
      <c r="AK176" s="50"/>
    </row>
    <row r="177" spans="1:37" x14ac:dyDescent="0.25">
      <c r="A177" s="116" t="s">
        <v>168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6.4</v>
      </c>
      <c r="AH177" s="47"/>
      <c r="AI177" s="48"/>
      <c r="AK177" s="50"/>
    </row>
    <row r="178" spans="1:37" x14ac:dyDescent="0.25">
      <c r="A178" s="116" t="s">
        <v>169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6</v>
      </c>
      <c r="AH178" s="47"/>
      <c r="AI178" s="48"/>
      <c r="AK178" s="50"/>
    </row>
    <row r="179" spans="1:37" x14ac:dyDescent="0.25">
      <c r="A179" s="116" t="s">
        <v>170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5.0999999999999996</v>
      </c>
      <c r="AH179" s="47"/>
      <c r="AI179" s="48"/>
      <c r="AK179" s="50"/>
    </row>
    <row r="180" spans="1:37" x14ac:dyDescent="0.25">
      <c r="A180" s="116" t="s">
        <v>171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5</v>
      </c>
      <c r="AH180" s="47"/>
      <c r="AI180" s="48"/>
      <c r="AK180" s="50"/>
    </row>
    <row r="181" spans="1:37" x14ac:dyDescent="0.25">
      <c r="A181" s="103" t="s">
        <v>172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1">
        <v>5</v>
      </c>
      <c r="AH181" s="47"/>
      <c r="AI181" s="48"/>
      <c r="AK181" s="50"/>
    </row>
    <row r="182" spans="1:37" x14ac:dyDescent="0.25">
      <c r="A182" s="116" t="s">
        <v>173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5</v>
      </c>
      <c r="AH182" s="47"/>
      <c r="AI182" s="48"/>
      <c r="AK182" s="50"/>
    </row>
    <row r="183" spans="1:37" x14ac:dyDescent="0.25">
      <c r="A183" s="116" t="s">
        <v>174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5</v>
      </c>
      <c r="AH183" s="47"/>
      <c r="AI183" s="48"/>
      <c r="AK183" s="50"/>
    </row>
    <row r="184" spans="1:37" x14ac:dyDescent="0.25">
      <c r="A184" s="116" t="s">
        <v>175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5</v>
      </c>
      <c r="AH184" s="47"/>
      <c r="AI184" s="48"/>
      <c r="AK184" s="50"/>
    </row>
    <row r="185" spans="1:37" x14ac:dyDescent="0.25">
      <c r="A185" s="116" t="s">
        <v>176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5</v>
      </c>
      <c r="AH185" s="47"/>
      <c r="AI185" s="48"/>
      <c r="AK185" s="50"/>
    </row>
    <row r="186" spans="1:37" x14ac:dyDescent="0.25">
      <c r="A186" s="116" t="s">
        <v>177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5</v>
      </c>
      <c r="AH186" s="47"/>
      <c r="AI186" s="48"/>
      <c r="AK186" s="50"/>
    </row>
    <row r="187" spans="1:37" x14ac:dyDescent="0.25">
      <c r="A187" s="116" t="s">
        <v>178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4.9930000000000003</v>
      </c>
      <c r="AH187" s="47"/>
      <c r="AI187" s="48"/>
      <c r="AK187" s="50"/>
    </row>
    <row r="188" spans="1:37" x14ac:dyDescent="0.25">
      <c r="A188" s="116" t="s">
        <v>179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4.9800000000000004</v>
      </c>
      <c r="AH188" s="47"/>
      <c r="AI188" s="48"/>
      <c r="AK188" s="50"/>
    </row>
    <row r="189" spans="1:37" x14ac:dyDescent="0.25">
      <c r="A189" s="116" t="s">
        <v>180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4.95</v>
      </c>
      <c r="AH189" s="47"/>
      <c r="AI189" s="48"/>
      <c r="AK189" s="50"/>
    </row>
    <row r="190" spans="1:37" x14ac:dyDescent="0.25">
      <c r="A190" s="116" t="s">
        <v>181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4.95</v>
      </c>
      <c r="AH190" s="47"/>
      <c r="AI190" s="48"/>
      <c r="AK190" s="50"/>
    </row>
    <row r="191" spans="1:37" x14ac:dyDescent="0.25">
      <c r="A191" s="116" t="s">
        <v>182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4.8</v>
      </c>
      <c r="AH191" s="47"/>
      <c r="AI191" s="48"/>
      <c r="AK191" s="50"/>
    </row>
    <row r="192" spans="1:37" x14ac:dyDescent="0.25">
      <c r="A192" s="116" t="s">
        <v>183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4.8</v>
      </c>
      <c r="AH192" s="47"/>
      <c r="AI192" s="48"/>
      <c r="AK192" s="50"/>
    </row>
    <row r="193" spans="1:37" x14ac:dyDescent="0.25">
      <c r="A193" s="116" t="s">
        <v>184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4.8</v>
      </c>
      <c r="AH193" s="47"/>
      <c r="AI193" s="48"/>
      <c r="AK193" s="50"/>
    </row>
    <row r="194" spans="1:37" x14ac:dyDescent="0.25">
      <c r="A194" s="116" t="s">
        <v>185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4.5</v>
      </c>
      <c r="AH194" s="47"/>
      <c r="AI194" s="48"/>
      <c r="AK194" s="50"/>
    </row>
    <row r="195" spans="1:37" x14ac:dyDescent="0.25">
      <c r="A195" s="116" t="s">
        <v>186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4.5</v>
      </c>
      <c r="AH195" s="47"/>
      <c r="AI195" s="48"/>
      <c r="AK195" s="50"/>
    </row>
    <row r="196" spans="1:37" x14ac:dyDescent="0.25">
      <c r="A196" s="116" t="s">
        <v>187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4.4550000000000001</v>
      </c>
      <c r="AH196" s="47"/>
      <c r="AI196" s="48"/>
      <c r="AK196" s="50"/>
    </row>
    <row r="197" spans="1:37" x14ac:dyDescent="0.25">
      <c r="A197" s="116" t="s">
        <v>188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4.41</v>
      </c>
      <c r="AH197" s="47"/>
      <c r="AI197" s="48"/>
      <c r="AK197" s="50"/>
    </row>
    <row r="198" spans="1:37" x14ac:dyDescent="0.25">
      <c r="A198" s="116" t="s">
        <v>189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4.4000000000000004</v>
      </c>
      <c r="AH198" s="47"/>
      <c r="AI198" s="48"/>
      <c r="AK198" s="50"/>
    </row>
    <row r="199" spans="1:37" x14ac:dyDescent="0.25">
      <c r="A199" s="116" t="s">
        <v>190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4.3600000000000003</v>
      </c>
      <c r="AH199" s="47"/>
      <c r="AI199" s="48"/>
      <c r="AK199" s="50"/>
    </row>
    <row r="200" spans="1:37" x14ac:dyDescent="0.25">
      <c r="A200" s="116" t="s">
        <v>191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4.2</v>
      </c>
      <c r="AH200" s="47"/>
      <c r="AI200" s="48"/>
      <c r="AK200" s="50"/>
    </row>
    <row r="201" spans="1:37" x14ac:dyDescent="0.25">
      <c r="A201" s="116" t="s">
        <v>192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4</v>
      </c>
      <c r="AH201" s="47"/>
      <c r="AI201" s="48"/>
      <c r="AK201" s="50"/>
    </row>
    <row r="202" spans="1:37" x14ac:dyDescent="0.25">
      <c r="A202" s="116" t="s">
        <v>193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4</v>
      </c>
      <c r="AH202" s="47"/>
      <c r="AI202" s="48"/>
      <c r="AK202" s="50"/>
    </row>
    <row r="203" spans="1:37" x14ac:dyDescent="0.25">
      <c r="A203" s="116" t="s">
        <v>194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4</v>
      </c>
      <c r="AH203" s="47"/>
      <c r="AI203" s="48"/>
      <c r="AK203" s="50"/>
    </row>
    <row r="204" spans="1:37" x14ac:dyDescent="0.25">
      <c r="A204" s="116" t="s">
        <v>195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4</v>
      </c>
      <c r="AH204" s="47"/>
      <c r="AI204" s="48"/>
      <c r="AK204" s="50"/>
    </row>
    <row r="205" spans="1:37" x14ac:dyDescent="0.25">
      <c r="A205" s="116" t="s">
        <v>196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4</v>
      </c>
      <c r="AH205" s="47"/>
      <c r="AI205" s="48"/>
      <c r="AK205" s="50"/>
    </row>
    <row r="206" spans="1:37" x14ac:dyDescent="0.25">
      <c r="A206" s="116" t="s">
        <v>197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4</v>
      </c>
      <c r="AH206" s="47"/>
      <c r="AI206" s="48"/>
      <c r="AK206" s="50"/>
    </row>
    <row r="207" spans="1:37" x14ac:dyDescent="0.25">
      <c r="A207" s="116" t="s">
        <v>198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4</v>
      </c>
      <c r="AH207" s="47"/>
      <c r="AI207" s="48"/>
      <c r="AK207" s="50"/>
    </row>
    <row r="208" spans="1:37" x14ac:dyDescent="0.25">
      <c r="A208" s="116" t="s">
        <v>199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4</v>
      </c>
      <c r="AH208" s="47"/>
      <c r="AI208" s="48"/>
      <c r="AK208" s="50"/>
    </row>
    <row r="209" spans="1:37" x14ac:dyDescent="0.25">
      <c r="A209" s="116" t="s">
        <v>200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3.75</v>
      </c>
      <c r="AH209" s="47"/>
      <c r="AI209" s="48"/>
      <c r="AK209" s="50"/>
    </row>
    <row r="210" spans="1:37" x14ac:dyDescent="0.25">
      <c r="A210" s="116" t="s">
        <v>201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3.52</v>
      </c>
      <c r="AH210" s="47"/>
      <c r="AI210" s="48"/>
      <c r="AK210" s="50"/>
    </row>
    <row r="211" spans="1:37" x14ac:dyDescent="0.25">
      <c r="A211" s="116" t="s">
        <v>202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3.33</v>
      </c>
      <c r="AH211" s="47"/>
      <c r="AI211" s="48"/>
      <c r="AK211" s="50"/>
    </row>
    <row r="212" spans="1:37" x14ac:dyDescent="0.25">
      <c r="A212" s="116" t="s">
        <v>203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3.2</v>
      </c>
      <c r="AH212" s="47"/>
      <c r="AI212" s="48"/>
      <c r="AK212" s="50"/>
    </row>
    <row r="213" spans="1:37" x14ac:dyDescent="0.25">
      <c r="A213" s="116" t="s">
        <v>204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3</v>
      </c>
      <c r="AH213" s="47"/>
      <c r="AI213" s="48"/>
      <c r="AK213" s="50"/>
    </row>
    <row r="214" spans="1:37" x14ac:dyDescent="0.25">
      <c r="A214" s="116" t="s">
        <v>205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3</v>
      </c>
      <c r="AH214" s="47"/>
      <c r="AI214" s="48"/>
      <c r="AK214" s="50"/>
    </row>
    <row r="215" spans="1:37" x14ac:dyDescent="0.25">
      <c r="A215" s="116" t="s">
        <v>206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3</v>
      </c>
      <c r="AH215" s="47"/>
      <c r="AI215" s="48"/>
      <c r="AK215" s="50"/>
    </row>
    <row r="216" spans="1:37" x14ac:dyDescent="0.25">
      <c r="A216" s="116" t="s">
        <v>207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3</v>
      </c>
      <c r="AH216" s="47"/>
      <c r="AI216" s="48"/>
      <c r="AK216" s="50"/>
    </row>
    <row r="217" spans="1:37" x14ac:dyDescent="0.25">
      <c r="A217" s="116" t="s">
        <v>208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3</v>
      </c>
      <c r="AH217" s="47"/>
      <c r="AI217" s="48"/>
      <c r="AK217" s="50"/>
    </row>
    <row r="218" spans="1:37" x14ac:dyDescent="0.25">
      <c r="A218" s="116" t="s">
        <v>209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3</v>
      </c>
      <c r="AH218" s="47"/>
      <c r="AI218" s="48"/>
      <c r="AK218" s="50"/>
    </row>
    <row r="219" spans="1:37" x14ac:dyDescent="0.25">
      <c r="A219" s="116" t="s">
        <v>210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3</v>
      </c>
      <c r="AH219" s="47"/>
      <c r="AI219" s="48"/>
      <c r="AK219" s="50"/>
    </row>
    <row r="220" spans="1:37" x14ac:dyDescent="0.25">
      <c r="A220" s="116" t="s">
        <v>211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3</v>
      </c>
      <c r="AH220" s="47"/>
      <c r="AI220" s="48"/>
      <c r="AK220" s="50"/>
    </row>
    <row r="221" spans="1:37" x14ac:dyDescent="0.25">
      <c r="A221" s="116" t="s">
        <v>212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2.83</v>
      </c>
      <c r="AH221" s="47"/>
      <c r="AI221" s="48"/>
      <c r="AK221" s="50"/>
    </row>
    <row r="222" spans="1:37" x14ac:dyDescent="0.25">
      <c r="A222" s="116" t="s">
        <v>213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2.5</v>
      </c>
      <c r="AH222" s="47"/>
      <c r="AI222" s="48"/>
      <c r="AK222" s="50"/>
    </row>
    <row r="223" spans="1:37" x14ac:dyDescent="0.25">
      <c r="A223" s="116" t="s">
        <v>214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2.5</v>
      </c>
      <c r="AH223" s="47"/>
      <c r="AI223" s="48"/>
      <c r="AK223" s="50"/>
    </row>
    <row r="224" spans="1:37" x14ac:dyDescent="0.25">
      <c r="A224" s="116" t="s">
        <v>215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2.4</v>
      </c>
      <c r="AH224" s="47"/>
      <c r="AI224" s="48"/>
      <c r="AK224" s="50"/>
    </row>
    <row r="225" spans="1:37" x14ac:dyDescent="0.25">
      <c r="A225" s="116" t="s">
        <v>216</v>
      </c>
      <c r="B225" s="129"/>
      <c r="C225" s="130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2.4</v>
      </c>
      <c r="AH225" s="47"/>
      <c r="AI225" s="48"/>
      <c r="AK225" s="50"/>
    </row>
    <row r="226" spans="1:37" x14ac:dyDescent="0.25">
      <c r="A226" s="116" t="s">
        <v>217</v>
      </c>
      <c r="B226" s="129"/>
      <c r="C226" s="130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32">
        <v>2.2000000000000002</v>
      </c>
      <c r="AH226" s="47"/>
      <c r="AI226" s="48"/>
      <c r="AK226" s="50"/>
    </row>
    <row r="227" spans="1:37" x14ac:dyDescent="0.25">
      <c r="A227" s="116" t="s">
        <v>218</v>
      </c>
      <c r="B227" s="129"/>
      <c r="C227" s="130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32">
        <v>2</v>
      </c>
      <c r="AH227" s="47"/>
      <c r="AI227" s="48"/>
      <c r="AK227" s="50"/>
    </row>
    <row r="228" spans="1:37" x14ac:dyDescent="0.25">
      <c r="A228" s="116" t="s">
        <v>219</v>
      </c>
      <c r="B228" s="129"/>
      <c r="C228" s="130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32">
        <v>2</v>
      </c>
      <c r="AH228" s="47"/>
      <c r="AI228" s="48"/>
      <c r="AK228" s="50"/>
    </row>
    <row r="229" spans="1:37" x14ac:dyDescent="0.25">
      <c r="A229" s="116" t="s">
        <v>220</v>
      </c>
      <c r="B229" s="129"/>
      <c r="C229" s="130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32">
        <v>2</v>
      </c>
      <c r="AH229" s="47"/>
      <c r="AI229" s="48"/>
      <c r="AK229" s="50"/>
    </row>
    <row r="230" spans="1:37" x14ac:dyDescent="0.25">
      <c r="A230" s="116" t="s">
        <v>221</v>
      </c>
      <c r="B230" s="129"/>
      <c r="C230" s="130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32">
        <v>1.8</v>
      </c>
      <c r="AH230" s="47"/>
      <c r="AI230" s="48"/>
      <c r="AK230" s="50"/>
    </row>
    <row r="231" spans="1:37" x14ac:dyDescent="0.25">
      <c r="A231" s="116" t="s">
        <v>222</v>
      </c>
      <c r="B231" s="129"/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32">
        <v>1.8</v>
      </c>
      <c r="AH231" s="47"/>
      <c r="AI231" s="48"/>
      <c r="AK231" s="50"/>
    </row>
    <row r="232" spans="1:37" x14ac:dyDescent="0.25">
      <c r="A232" s="116" t="s">
        <v>223</v>
      </c>
      <c r="B232" s="129"/>
      <c r="C232" s="130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32">
        <v>1.65</v>
      </c>
      <c r="AH232" s="47"/>
      <c r="AI232" s="48"/>
      <c r="AK232" s="50"/>
    </row>
    <row r="233" spans="1:37" x14ac:dyDescent="0.25">
      <c r="A233" s="116" t="s">
        <v>224</v>
      </c>
      <c r="B233" s="129"/>
      <c r="C233" s="130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32">
        <v>1.5</v>
      </c>
      <c r="AH233" s="47"/>
      <c r="AI233" s="48"/>
      <c r="AK233" s="50"/>
    </row>
    <row r="234" spans="1:37" x14ac:dyDescent="0.25">
      <c r="A234" s="116" t="s">
        <v>225</v>
      </c>
      <c r="B234" s="129"/>
      <c r="C234" s="130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32">
        <v>0.998</v>
      </c>
      <c r="AH234" s="47"/>
      <c r="AI234" s="48"/>
      <c r="AK234" s="50"/>
    </row>
    <row r="235" spans="1:37" x14ac:dyDescent="0.25">
      <c r="A235" s="116" t="s">
        <v>226</v>
      </c>
      <c r="B235" s="129"/>
      <c r="C235" s="130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32">
        <v>0.997</v>
      </c>
      <c r="AH235" s="47"/>
      <c r="AI235" s="48"/>
      <c r="AK235" s="50"/>
    </row>
    <row r="236" spans="1:37" x14ac:dyDescent="0.25">
      <c r="A236" s="116" t="s">
        <v>227</v>
      </c>
      <c r="B236" s="129"/>
      <c r="C236" s="130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32">
        <v>0.997</v>
      </c>
      <c r="AH236" s="47"/>
      <c r="AI236" s="48"/>
      <c r="AK236" s="50"/>
    </row>
    <row r="237" spans="1:37" x14ac:dyDescent="0.25">
      <c r="A237" s="116" t="s">
        <v>228</v>
      </c>
      <c r="B237" s="129"/>
      <c r="C237" s="130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32">
        <v>0.996</v>
      </c>
      <c r="AH237" s="47"/>
      <c r="AI237" s="48"/>
      <c r="AK237" s="50"/>
    </row>
    <row r="238" spans="1:37" x14ac:dyDescent="0.25">
      <c r="A238" s="116" t="s">
        <v>229</v>
      </c>
      <c r="B238" s="129"/>
      <c r="C238" s="130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32">
        <v>0.996</v>
      </c>
      <c r="AH238" s="47"/>
      <c r="AI238" s="48"/>
      <c r="AK238" s="50"/>
    </row>
    <row r="239" spans="1:37" x14ac:dyDescent="0.25">
      <c r="A239" s="116" t="s">
        <v>230</v>
      </c>
      <c r="B239" s="129"/>
      <c r="C239" s="130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32">
        <v>0.996</v>
      </c>
      <c r="AH239" s="47"/>
      <c r="AI239" s="48"/>
      <c r="AK239" s="50"/>
    </row>
    <row r="240" spans="1:37" x14ac:dyDescent="0.25">
      <c r="A240" s="116" t="s">
        <v>231</v>
      </c>
      <c r="B240" s="129"/>
      <c r="C240" s="130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32">
        <v>0.995</v>
      </c>
      <c r="AH240" s="47"/>
      <c r="AI240" s="48"/>
      <c r="AK240" s="50"/>
    </row>
    <row r="241" spans="1:37" x14ac:dyDescent="0.25">
      <c r="A241" s="116" t="s">
        <v>232</v>
      </c>
      <c r="B241" s="129"/>
      <c r="C241" s="130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32">
        <v>0.99299999999999999</v>
      </c>
      <c r="AH241" s="47"/>
      <c r="AI241" s="48"/>
      <c r="AK241" s="50"/>
    </row>
    <row r="242" spans="1:37" x14ac:dyDescent="0.25">
      <c r="A242" s="116" t="s">
        <v>233</v>
      </c>
      <c r="B242" s="129"/>
      <c r="C242" s="127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32">
        <v>0.99</v>
      </c>
      <c r="AH242" s="47"/>
      <c r="AI242" s="48"/>
      <c r="AK242" s="50"/>
    </row>
    <row r="243" spans="1:37" ht="15.75" thickBot="1" x14ac:dyDescent="0.3">
      <c r="A243" s="116" t="s">
        <v>234</v>
      </c>
      <c r="B243" s="133"/>
      <c r="C243" s="134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2">
        <v>0.97899999999999998</v>
      </c>
      <c r="AH243" s="47"/>
      <c r="AI243" s="48"/>
      <c r="AK243" s="50"/>
    </row>
    <row r="244" spans="1:37" ht="15.75" thickBot="1" x14ac:dyDescent="0.3">
      <c r="A244" s="135" t="s">
        <v>235</v>
      </c>
      <c r="B244" s="136">
        <f t="shared" ref="B244:AG244" si="24">SUM(B139:B243)</f>
        <v>0</v>
      </c>
      <c r="C244" s="137">
        <f t="shared" si="24"/>
        <v>0</v>
      </c>
      <c r="D244" s="137">
        <f t="shared" si="24"/>
        <v>0</v>
      </c>
      <c r="E244" s="137">
        <f t="shared" si="24"/>
        <v>0</v>
      </c>
      <c r="F244" s="137">
        <f t="shared" si="24"/>
        <v>0</v>
      </c>
      <c r="G244" s="137">
        <f t="shared" si="24"/>
        <v>0</v>
      </c>
      <c r="H244" s="137">
        <f t="shared" si="24"/>
        <v>0</v>
      </c>
      <c r="I244" s="137">
        <f t="shared" si="24"/>
        <v>0</v>
      </c>
      <c r="J244" s="137">
        <f t="shared" si="24"/>
        <v>0</v>
      </c>
      <c r="K244" s="137">
        <f t="shared" si="24"/>
        <v>0</v>
      </c>
      <c r="L244" s="137">
        <f t="shared" si="24"/>
        <v>0</v>
      </c>
      <c r="M244" s="137">
        <f t="shared" si="24"/>
        <v>0</v>
      </c>
      <c r="N244" s="137">
        <f t="shared" si="24"/>
        <v>0</v>
      </c>
      <c r="O244" s="137">
        <f t="shared" si="24"/>
        <v>0</v>
      </c>
      <c r="P244" s="137">
        <f t="shared" si="24"/>
        <v>0</v>
      </c>
      <c r="Q244" s="137">
        <f t="shared" si="24"/>
        <v>0</v>
      </c>
      <c r="R244" s="137">
        <f t="shared" si="24"/>
        <v>0</v>
      </c>
      <c r="S244" s="137">
        <f t="shared" si="24"/>
        <v>0</v>
      </c>
      <c r="T244" s="137">
        <f t="shared" si="24"/>
        <v>0</v>
      </c>
      <c r="U244" s="137">
        <f t="shared" si="24"/>
        <v>0</v>
      </c>
      <c r="V244" s="137">
        <f t="shared" si="24"/>
        <v>0</v>
      </c>
      <c r="W244" s="137">
        <f t="shared" si="24"/>
        <v>0</v>
      </c>
      <c r="X244" s="137">
        <f t="shared" si="24"/>
        <v>0</v>
      </c>
      <c r="Y244" s="137">
        <f t="shared" si="24"/>
        <v>0</v>
      </c>
      <c r="Z244" s="137">
        <f t="shared" si="24"/>
        <v>0</v>
      </c>
      <c r="AA244" s="137">
        <f t="shared" si="24"/>
        <v>0</v>
      </c>
      <c r="AB244" s="137">
        <f t="shared" si="24"/>
        <v>0</v>
      </c>
      <c r="AC244" s="137">
        <f t="shared" si="24"/>
        <v>0</v>
      </c>
      <c r="AD244" s="137">
        <f t="shared" si="24"/>
        <v>0</v>
      </c>
      <c r="AE244" s="137">
        <f t="shared" si="24"/>
        <v>0</v>
      </c>
      <c r="AF244" s="138">
        <f t="shared" si="24"/>
        <v>0</v>
      </c>
      <c r="AG244" s="139">
        <f t="shared" si="2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19"/>
      <c r="AH245" s="47"/>
      <c r="AI245" s="48"/>
      <c r="AK245" s="50"/>
    </row>
    <row r="246" spans="1:37" x14ac:dyDescent="0.25">
      <c r="A246" s="100" t="s">
        <v>236</v>
      </c>
      <c r="B246" s="141">
        <f t="shared" ref="B246:B251" si="25">AF246</f>
        <v>0.3</v>
      </c>
      <c r="C246" s="141">
        <v>0.3</v>
      </c>
      <c r="D246" s="141">
        <f t="shared" ref="D246:S251" si="26">C246</f>
        <v>0.3</v>
      </c>
      <c r="E246" s="141">
        <f t="shared" si="26"/>
        <v>0.3</v>
      </c>
      <c r="F246" s="141">
        <f t="shared" si="26"/>
        <v>0.3</v>
      </c>
      <c r="G246" s="141">
        <f t="shared" si="26"/>
        <v>0.3</v>
      </c>
      <c r="H246" s="141">
        <f t="shared" si="26"/>
        <v>0.3</v>
      </c>
      <c r="I246" s="141">
        <f t="shared" si="26"/>
        <v>0.3</v>
      </c>
      <c r="J246" s="141">
        <f t="shared" si="26"/>
        <v>0.3</v>
      </c>
      <c r="K246" s="141">
        <f t="shared" si="26"/>
        <v>0.3</v>
      </c>
      <c r="L246" s="141">
        <f t="shared" si="26"/>
        <v>0.3</v>
      </c>
      <c r="M246" s="141">
        <f t="shared" si="26"/>
        <v>0.3</v>
      </c>
      <c r="N246" s="141">
        <f t="shared" si="26"/>
        <v>0.3</v>
      </c>
      <c r="O246" s="141">
        <f t="shared" si="26"/>
        <v>0.3</v>
      </c>
      <c r="P246" s="141">
        <f t="shared" si="26"/>
        <v>0.3</v>
      </c>
      <c r="Q246" s="141">
        <f t="shared" si="26"/>
        <v>0.3</v>
      </c>
      <c r="R246" s="141">
        <f t="shared" si="26"/>
        <v>0.3</v>
      </c>
      <c r="S246" s="141">
        <f t="shared" si="26"/>
        <v>0.3</v>
      </c>
      <c r="T246" s="141">
        <f t="shared" ref="T246:AF251" si="27">S246</f>
        <v>0.3</v>
      </c>
      <c r="U246" s="141">
        <f t="shared" si="27"/>
        <v>0.3</v>
      </c>
      <c r="V246" s="141">
        <f t="shared" si="27"/>
        <v>0.3</v>
      </c>
      <c r="W246" s="141">
        <f t="shared" si="27"/>
        <v>0.3</v>
      </c>
      <c r="X246" s="141">
        <f t="shared" si="27"/>
        <v>0.3</v>
      </c>
      <c r="Y246" s="141">
        <f t="shared" si="27"/>
        <v>0.3</v>
      </c>
      <c r="Z246" s="141">
        <f t="shared" si="27"/>
        <v>0.3</v>
      </c>
      <c r="AA246" s="141">
        <f t="shared" si="27"/>
        <v>0.3</v>
      </c>
      <c r="AB246" s="141">
        <f t="shared" si="27"/>
        <v>0.3</v>
      </c>
      <c r="AC246" s="141">
        <f t="shared" si="27"/>
        <v>0.3</v>
      </c>
      <c r="AD246" s="141">
        <f t="shared" si="27"/>
        <v>0.3</v>
      </c>
      <c r="AE246" s="141">
        <f t="shared" si="27"/>
        <v>0.3</v>
      </c>
      <c r="AF246" s="141">
        <f t="shared" si="27"/>
        <v>0.3</v>
      </c>
      <c r="AG246" s="142">
        <v>2.4</v>
      </c>
      <c r="AH246" s="47"/>
      <c r="AI246" s="48"/>
      <c r="AK246" s="50"/>
    </row>
    <row r="247" spans="1:37" x14ac:dyDescent="0.25">
      <c r="A247" s="103" t="s">
        <v>237</v>
      </c>
      <c r="B247" s="129">
        <f t="shared" si="25"/>
        <v>0.4</v>
      </c>
      <c r="C247" s="129">
        <v>0.4</v>
      </c>
      <c r="D247" s="129">
        <f t="shared" si="26"/>
        <v>0.4</v>
      </c>
      <c r="E247" s="129">
        <f t="shared" si="26"/>
        <v>0.4</v>
      </c>
      <c r="F247" s="129">
        <f t="shared" si="26"/>
        <v>0.4</v>
      </c>
      <c r="G247" s="129">
        <f t="shared" si="26"/>
        <v>0.4</v>
      </c>
      <c r="H247" s="129">
        <f t="shared" si="26"/>
        <v>0.4</v>
      </c>
      <c r="I247" s="129">
        <f t="shared" si="26"/>
        <v>0.4</v>
      </c>
      <c r="J247" s="129">
        <f t="shared" si="26"/>
        <v>0.4</v>
      </c>
      <c r="K247" s="129">
        <f t="shared" si="26"/>
        <v>0.4</v>
      </c>
      <c r="L247" s="129">
        <f t="shared" si="26"/>
        <v>0.4</v>
      </c>
      <c r="M247" s="129">
        <f t="shared" si="26"/>
        <v>0.4</v>
      </c>
      <c r="N247" s="129">
        <f t="shared" si="26"/>
        <v>0.4</v>
      </c>
      <c r="O247" s="129">
        <f t="shared" si="26"/>
        <v>0.4</v>
      </c>
      <c r="P247" s="129">
        <f t="shared" si="26"/>
        <v>0.4</v>
      </c>
      <c r="Q247" s="129">
        <f t="shared" si="26"/>
        <v>0.4</v>
      </c>
      <c r="R247" s="129">
        <f t="shared" si="26"/>
        <v>0.4</v>
      </c>
      <c r="S247" s="129">
        <f t="shared" si="26"/>
        <v>0.4</v>
      </c>
      <c r="T247" s="129">
        <f t="shared" si="27"/>
        <v>0.4</v>
      </c>
      <c r="U247" s="129">
        <f t="shared" si="27"/>
        <v>0.4</v>
      </c>
      <c r="V247" s="129">
        <f t="shared" si="27"/>
        <v>0.4</v>
      </c>
      <c r="W247" s="129">
        <f t="shared" si="27"/>
        <v>0.4</v>
      </c>
      <c r="X247" s="129">
        <f t="shared" si="27"/>
        <v>0.4</v>
      </c>
      <c r="Y247" s="129">
        <f t="shared" si="27"/>
        <v>0.4</v>
      </c>
      <c r="Z247" s="129">
        <f t="shared" si="27"/>
        <v>0.4</v>
      </c>
      <c r="AA247" s="129">
        <f t="shared" si="27"/>
        <v>0.4</v>
      </c>
      <c r="AB247" s="129">
        <f t="shared" si="27"/>
        <v>0.4</v>
      </c>
      <c r="AC247" s="129">
        <f t="shared" si="27"/>
        <v>0.4</v>
      </c>
      <c r="AD247" s="129">
        <f t="shared" si="27"/>
        <v>0.4</v>
      </c>
      <c r="AE247" s="129">
        <f t="shared" si="27"/>
        <v>0.4</v>
      </c>
      <c r="AF247" s="129">
        <f t="shared" si="27"/>
        <v>0.4</v>
      </c>
      <c r="AG247" s="143">
        <v>2</v>
      </c>
      <c r="AH247" s="47"/>
      <c r="AI247" s="48"/>
      <c r="AK247" s="50"/>
    </row>
    <row r="248" spans="1:37" x14ac:dyDescent="0.25">
      <c r="A248" s="103" t="s">
        <v>238</v>
      </c>
      <c r="B248" s="129">
        <f t="shared" si="25"/>
        <v>1.5</v>
      </c>
      <c r="C248" s="129">
        <v>1.5</v>
      </c>
      <c r="D248" s="129">
        <f t="shared" si="26"/>
        <v>1.5</v>
      </c>
      <c r="E248" s="129">
        <f t="shared" si="26"/>
        <v>1.5</v>
      </c>
      <c r="F248" s="129">
        <f t="shared" si="26"/>
        <v>1.5</v>
      </c>
      <c r="G248" s="129">
        <f t="shared" si="26"/>
        <v>1.5</v>
      </c>
      <c r="H248" s="129">
        <f t="shared" si="26"/>
        <v>1.5</v>
      </c>
      <c r="I248" s="129">
        <f t="shared" si="26"/>
        <v>1.5</v>
      </c>
      <c r="J248" s="129">
        <f t="shared" si="26"/>
        <v>1.5</v>
      </c>
      <c r="K248" s="129">
        <f t="shared" si="26"/>
        <v>1.5</v>
      </c>
      <c r="L248" s="129">
        <f t="shared" si="26"/>
        <v>1.5</v>
      </c>
      <c r="M248" s="129">
        <f t="shared" si="26"/>
        <v>1.5</v>
      </c>
      <c r="N248" s="129">
        <f t="shared" si="26"/>
        <v>1.5</v>
      </c>
      <c r="O248" s="129">
        <f t="shared" si="26"/>
        <v>1.5</v>
      </c>
      <c r="P248" s="129">
        <f t="shared" si="26"/>
        <v>1.5</v>
      </c>
      <c r="Q248" s="129">
        <f t="shared" si="26"/>
        <v>1.5</v>
      </c>
      <c r="R248" s="129">
        <f t="shared" si="26"/>
        <v>1.5</v>
      </c>
      <c r="S248" s="129">
        <f t="shared" si="26"/>
        <v>1.5</v>
      </c>
      <c r="T248" s="129">
        <f t="shared" si="27"/>
        <v>1.5</v>
      </c>
      <c r="U248" s="129">
        <f t="shared" si="27"/>
        <v>1.5</v>
      </c>
      <c r="V248" s="129">
        <f t="shared" si="27"/>
        <v>1.5</v>
      </c>
      <c r="W248" s="129">
        <f t="shared" si="27"/>
        <v>1.5</v>
      </c>
      <c r="X248" s="129">
        <f t="shared" si="27"/>
        <v>1.5</v>
      </c>
      <c r="Y248" s="129">
        <f t="shared" si="27"/>
        <v>1.5</v>
      </c>
      <c r="Z248" s="129">
        <f t="shared" si="27"/>
        <v>1.5</v>
      </c>
      <c r="AA248" s="129">
        <f t="shared" si="27"/>
        <v>1.5</v>
      </c>
      <c r="AB248" s="129">
        <f t="shared" si="27"/>
        <v>1.5</v>
      </c>
      <c r="AC248" s="129">
        <f t="shared" si="27"/>
        <v>1.5</v>
      </c>
      <c r="AD248" s="129">
        <f t="shared" si="27"/>
        <v>1.5</v>
      </c>
      <c r="AE248" s="129">
        <f t="shared" si="27"/>
        <v>1.5</v>
      </c>
      <c r="AF248" s="129">
        <f t="shared" si="27"/>
        <v>1.5</v>
      </c>
      <c r="AG248" s="143">
        <v>1.5</v>
      </c>
      <c r="AH248" s="47"/>
      <c r="AI248" s="48"/>
      <c r="AK248" s="50"/>
    </row>
    <row r="249" spans="1:37" x14ac:dyDescent="0.25">
      <c r="A249" s="103" t="s">
        <v>239</v>
      </c>
      <c r="B249" s="129">
        <f t="shared" si="25"/>
        <v>0.3</v>
      </c>
      <c r="C249" s="129">
        <v>0.3</v>
      </c>
      <c r="D249" s="129">
        <f t="shared" si="26"/>
        <v>0.3</v>
      </c>
      <c r="E249" s="129">
        <f t="shared" si="26"/>
        <v>0.3</v>
      </c>
      <c r="F249" s="129">
        <f t="shared" si="26"/>
        <v>0.3</v>
      </c>
      <c r="G249" s="129">
        <f t="shared" si="26"/>
        <v>0.3</v>
      </c>
      <c r="H249" s="129">
        <f t="shared" si="26"/>
        <v>0.3</v>
      </c>
      <c r="I249" s="129">
        <f t="shared" si="26"/>
        <v>0.3</v>
      </c>
      <c r="J249" s="129">
        <f t="shared" si="26"/>
        <v>0.3</v>
      </c>
      <c r="K249" s="129">
        <f t="shared" si="26"/>
        <v>0.3</v>
      </c>
      <c r="L249" s="129">
        <f t="shared" si="26"/>
        <v>0.3</v>
      </c>
      <c r="M249" s="129">
        <f t="shared" si="26"/>
        <v>0.3</v>
      </c>
      <c r="N249" s="129">
        <f t="shared" si="26"/>
        <v>0.3</v>
      </c>
      <c r="O249" s="129">
        <f t="shared" si="26"/>
        <v>0.3</v>
      </c>
      <c r="P249" s="129">
        <f t="shared" si="26"/>
        <v>0.3</v>
      </c>
      <c r="Q249" s="129">
        <f t="shared" si="26"/>
        <v>0.3</v>
      </c>
      <c r="R249" s="129">
        <f t="shared" si="26"/>
        <v>0.3</v>
      </c>
      <c r="S249" s="129">
        <f t="shared" si="26"/>
        <v>0.3</v>
      </c>
      <c r="T249" s="129">
        <f t="shared" si="27"/>
        <v>0.3</v>
      </c>
      <c r="U249" s="129">
        <f t="shared" si="27"/>
        <v>0.3</v>
      </c>
      <c r="V249" s="129">
        <f t="shared" si="27"/>
        <v>0.3</v>
      </c>
      <c r="W249" s="129">
        <f t="shared" si="27"/>
        <v>0.3</v>
      </c>
      <c r="X249" s="129">
        <f t="shared" si="27"/>
        <v>0.3</v>
      </c>
      <c r="Y249" s="129">
        <f t="shared" si="27"/>
        <v>0.3</v>
      </c>
      <c r="Z249" s="129">
        <f t="shared" si="27"/>
        <v>0.3</v>
      </c>
      <c r="AA249" s="129">
        <f t="shared" si="27"/>
        <v>0.3</v>
      </c>
      <c r="AB249" s="129">
        <f t="shared" si="27"/>
        <v>0.3</v>
      </c>
      <c r="AC249" s="129">
        <f t="shared" si="27"/>
        <v>0.3</v>
      </c>
      <c r="AD249" s="129">
        <f t="shared" si="27"/>
        <v>0.3</v>
      </c>
      <c r="AE249" s="129">
        <f t="shared" si="27"/>
        <v>0.3</v>
      </c>
      <c r="AF249" s="129">
        <f t="shared" si="27"/>
        <v>0.3</v>
      </c>
      <c r="AG249" s="143">
        <v>1</v>
      </c>
      <c r="AH249" s="47"/>
      <c r="AI249" s="48"/>
      <c r="AK249" s="50"/>
    </row>
    <row r="250" spans="1:37" x14ac:dyDescent="0.25">
      <c r="A250" s="103" t="s">
        <v>240</v>
      </c>
      <c r="B250" s="129">
        <f t="shared" si="25"/>
        <v>0.4</v>
      </c>
      <c r="C250" s="129">
        <v>0.4</v>
      </c>
      <c r="D250" s="129">
        <f t="shared" si="26"/>
        <v>0.4</v>
      </c>
      <c r="E250" s="129">
        <f t="shared" si="26"/>
        <v>0.4</v>
      </c>
      <c r="F250" s="129">
        <f t="shared" si="26"/>
        <v>0.4</v>
      </c>
      <c r="G250" s="129">
        <f t="shared" si="26"/>
        <v>0.4</v>
      </c>
      <c r="H250" s="129">
        <f t="shared" si="26"/>
        <v>0.4</v>
      </c>
      <c r="I250" s="129">
        <f t="shared" si="26"/>
        <v>0.4</v>
      </c>
      <c r="J250" s="129">
        <f t="shared" si="26"/>
        <v>0.4</v>
      </c>
      <c r="K250" s="129">
        <f t="shared" si="26"/>
        <v>0.4</v>
      </c>
      <c r="L250" s="129">
        <f t="shared" si="26"/>
        <v>0.4</v>
      </c>
      <c r="M250" s="129">
        <f t="shared" si="26"/>
        <v>0.4</v>
      </c>
      <c r="N250" s="129">
        <f t="shared" si="26"/>
        <v>0.4</v>
      </c>
      <c r="O250" s="129">
        <f t="shared" si="26"/>
        <v>0.4</v>
      </c>
      <c r="P250" s="129">
        <f t="shared" si="26"/>
        <v>0.4</v>
      </c>
      <c r="Q250" s="129">
        <f t="shared" si="26"/>
        <v>0.4</v>
      </c>
      <c r="R250" s="129">
        <f t="shared" si="26"/>
        <v>0.4</v>
      </c>
      <c r="S250" s="129">
        <f t="shared" si="26"/>
        <v>0.4</v>
      </c>
      <c r="T250" s="129">
        <f t="shared" si="27"/>
        <v>0.4</v>
      </c>
      <c r="U250" s="129">
        <f t="shared" si="27"/>
        <v>0.4</v>
      </c>
      <c r="V250" s="129">
        <f t="shared" si="27"/>
        <v>0.4</v>
      </c>
      <c r="W250" s="129">
        <f t="shared" si="27"/>
        <v>0.4</v>
      </c>
      <c r="X250" s="129">
        <f t="shared" si="27"/>
        <v>0.4</v>
      </c>
      <c r="Y250" s="129">
        <f t="shared" si="27"/>
        <v>0.4</v>
      </c>
      <c r="Z250" s="129">
        <f t="shared" si="27"/>
        <v>0.4</v>
      </c>
      <c r="AA250" s="129">
        <f t="shared" si="27"/>
        <v>0.4</v>
      </c>
      <c r="AB250" s="129">
        <f t="shared" si="27"/>
        <v>0.4</v>
      </c>
      <c r="AC250" s="129">
        <f t="shared" si="27"/>
        <v>0.4</v>
      </c>
      <c r="AD250" s="129">
        <f t="shared" si="27"/>
        <v>0.4</v>
      </c>
      <c r="AE250" s="129">
        <f t="shared" si="27"/>
        <v>0.4</v>
      </c>
      <c r="AF250" s="129">
        <f t="shared" si="27"/>
        <v>0.4</v>
      </c>
      <c r="AG250" s="143">
        <v>1</v>
      </c>
      <c r="AH250" s="47"/>
      <c r="AI250" s="48"/>
      <c r="AK250" s="50"/>
    </row>
    <row r="251" spans="1:37" ht="15.75" thickBot="1" x14ac:dyDescent="0.3">
      <c r="A251" s="116" t="s">
        <v>241</v>
      </c>
      <c r="B251" s="133">
        <f t="shared" si="25"/>
        <v>0.64</v>
      </c>
      <c r="C251" s="133">
        <v>0.64</v>
      </c>
      <c r="D251" s="133">
        <f t="shared" si="26"/>
        <v>0.64</v>
      </c>
      <c r="E251" s="133">
        <f t="shared" si="26"/>
        <v>0.64</v>
      </c>
      <c r="F251" s="133">
        <f t="shared" si="26"/>
        <v>0.64</v>
      </c>
      <c r="G251" s="133">
        <f t="shared" si="26"/>
        <v>0.64</v>
      </c>
      <c r="H251" s="133">
        <f t="shared" si="26"/>
        <v>0.64</v>
      </c>
      <c r="I251" s="133">
        <f t="shared" si="26"/>
        <v>0.64</v>
      </c>
      <c r="J251" s="133">
        <f t="shared" si="26"/>
        <v>0.64</v>
      </c>
      <c r="K251" s="133">
        <f t="shared" si="26"/>
        <v>0.64</v>
      </c>
      <c r="L251" s="133">
        <f t="shared" si="26"/>
        <v>0.64</v>
      </c>
      <c r="M251" s="133">
        <f t="shared" si="26"/>
        <v>0.64</v>
      </c>
      <c r="N251" s="133">
        <f t="shared" si="26"/>
        <v>0.64</v>
      </c>
      <c r="O251" s="133">
        <f t="shared" si="26"/>
        <v>0.64</v>
      </c>
      <c r="P251" s="133">
        <f t="shared" si="26"/>
        <v>0.64</v>
      </c>
      <c r="Q251" s="133">
        <f t="shared" si="26"/>
        <v>0.64</v>
      </c>
      <c r="R251" s="133">
        <f t="shared" si="26"/>
        <v>0.64</v>
      </c>
      <c r="S251" s="133">
        <f t="shared" si="26"/>
        <v>0.64</v>
      </c>
      <c r="T251" s="133">
        <f t="shared" si="27"/>
        <v>0.64</v>
      </c>
      <c r="U251" s="133">
        <f t="shared" si="27"/>
        <v>0.64</v>
      </c>
      <c r="V251" s="133">
        <f t="shared" si="27"/>
        <v>0.64</v>
      </c>
      <c r="W251" s="133">
        <f t="shared" si="27"/>
        <v>0.64</v>
      </c>
      <c r="X251" s="133">
        <f t="shared" si="27"/>
        <v>0.64</v>
      </c>
      <c r="Y251" s="133">
        <f t="shared" si="27"/>
        <v>0.64</v>
      </c>
      <c r="Z251" s="133">
        <f t="shared" si="27"/>
        <v>0.64</v>
      </c>
      <c r="AA251" s="133">
        <f t="shared" si="27"/>
        <v>0.64</v>
      </c>
      <c r="AB251" s="133">
        <f t="shared" si="27"/>
        <v>0.64</v>
      </c>
      <c r="AC251" s="133">
        <f t="shared" si="27"/>
        <v>0.64</v>
      </c>
      <c r="AD251" s="133">
        <f t="shared" si="27"/>
        <v>0.64</v>
      </c>
      <c r="AE251" s="133">
        <f t="shared" si="27"/>
        <v>0.64</v>
      </c>
      <c r="AF251" s="133">
        <f t="shared" si="27"/>
        <v>0.64</v>
      </c>
      <c r="AG251" s="144">
        <v>0.66</v>
      </c>
      <c r="AH251" s="47"/>
      <c r="AI251" s="48"/>
    </row>
    <row r="252" spans="1:37" ht="15.75" thickBot="1" x14ac:dyDescent="0.3">
      <c r="A252" s="145" t="s">
        <v>75</v>
      </c>
      <c r="B252" s="137">
        <f t="shared" ref="B252:AG252" si="28">SUM(B246:B251)</f>
        <v>3.54</v>
      </c>
      <c r="C252" s="137">
        <f t="shared" si="28"/>
        <v>3.54</v>
      </c>
      <c r="D252" s="137">
        <f t="shared" si="28"/>
        <v>3.54</v>
      </c>
      <c r="E252" s="137">
        <f t="shared" si="28"/>
        <v>3.54</v>
      </c>
      <c r="F252" s="137">
        <f t="shared" si="28"/>
        <v>3.54</v>
      </c>
      <c r="G252" s="137">
        <f t="shared" si="28"/>
        <v>3.54</v>
      </c>
      <c r="H252" s="137">
        <f t="shared" si="28"/>
        <v>3.54</v>
      </c>
      <c r="I252" s="137">
        <f t="shared" si="28"/>
        <v>3.54</v>
      </c>
      <c r="J252" s="137">
        <f t="shared" si="28"/>
        <v>3.54</v>
      </c>
      <c r="K252" s="137">
        <f t="shared" si="28"/>
        <v>3.54</v>
      </c>
      <c r="L252" s="137">
        <f t="shared" si="28"/>
        <v>3.54</v>
      </c>
      <c r="M252" s="137">
        <f t="shared" si="28"/>
        <v>3.54</v>
      </c>
      <c r="N252" s="137">
        <f t="shared" si="28"/>
        <v>3.54</v>
      </c>
      <c r="O252" s="137">
        <f t="shared" si="28"/>
        <v>3.54</v>
      </c>
      <c r="P252" s="137">
        <f t="shared" si="28"/>
        <v>3.54</v>
      </c>
      <c r="Q252" s="137">
        <f t="shared" si="28"/>
        <v>3.54</v>
      </c>
      <c r="R252" s="137">
        <f t="shared" si="28"/>
        <v>3.54</v>
      </c>
      <c r="S252" s="137">
        <f t="shared" si="28"/>
        <v>3.54</v>
      </c>
      <c r="T252" s="137">
        <f t="shared" si="28"/>
        <v>3.54</v>
      </c>
      <c r="U252" s="137">
        <f t="shared" si="28"/>
        <v>3.54</v>
      </c>
      <c r="V252" s="137">
        <f t="shared" si="28"/>
        <v>3.54</v>
      </c>
      <c r="W252" s="137">
        <f t="shared" si="28"/>
        <v>3.54</v>
      </c>
      <c r="X252" s="137">
        <f t="shared" si="28"/>
        <v>3.54</v>
      </c>
      <c r="Y252" s="137">
        <f t="shared" si="28"/>
        <v>3.54</v>
      </c>
      <c r="Z252" s="137">
        <f t="shared" si="28"/>
        <v>3.54</v>
      </c>
      <c r="AA252" s="137">
        <f t="shared" si="28"/>
        <v>3.54</v>
      </c>
      <c r="AB252" s="137">
        <f t="shared" si="28"/>
        <v>3.54</v>
      </c>
      <c r="AC252" s="137">
        <f t="shared" si="28"/>
        <v>3.54</v>
      </c>
      <c r="AD252" s="137">
        <f t="shared" si="28"/>
        <v>3.54</v>
      </c>
      <c r="AE252" s="137">
        <f t="shared" si="28"/>
        <v>3.54</v>
      </c>
      <c r="AF252" s="137">
        <f t="shared" si="28"/>
        <v>3.54</v>
      </c>
      <c r="AG252" s="146">
        <f t="shared" si="2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40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60" t="s">
        <v>247</v>
      </c>
      <c r="B256" s="161">
        <f>MAX(G99:N99)</f>
        <v>3.54</v>
      </c>
      <c r="C256" s="162">
        <f>INDEX(G9:N9,1,MATCH(MAX(G99:N99),G99:N99,0))</f>
        <v>0.20833333333333301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63" t="str">
        <f ca="1">MID(CELL("filename",C7),FIND("]",CELL("filename",C7))+1,600)</f>
        <v>NSample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33" t="s">
        <v>248</v>
      </c>
      <c r="B258" s="233"/>
      <c r="C258" s="43"/>
      <c r="D258" s="163" t="e">
        <f ca="1">"Pie Chart of Daily Peak Demand(Inclusive of Export) of Nepal ("&amp;A4&amp;" "&amp;B4&amp;")"</f>
        <v>#VALUE!</v>
      </c>
      <c r="E258" s="43"/>
      <c r="F258" s="43"/>
      <c r="G258" s="16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63" t="e">
        <f ca="1">"Daily Load Curve(Excluding of Export) of Nepal ("&amp;A4&amp;" "&amp;B4&amp;")"</f>
        <v>#VALUE!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64" t="s">
        <v>7</v>
      </c>
      <c r="B259" s="165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64" t="s">
        <v>249</v>
      </c>
      <c r="B260" s="16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6" t="s">
        <v>250</v>
      </c>
      <c r="T260" s="167">
        <v>0</v>
      </c>
      <c r="U260" s="168">
        <v>4.1666666666666664E-2</v>
      </c>
      <c r="V260" s="169">
        <v>8.3333333333333301E-2</v>
      </c>
      <c r="W260" s="169">
        <v>0.125</v>
      </c>
      <c r="X260" s="169">
        <v>0.16666666666666699</v>
      </c>
      <c r="Y260" s="169">
        <v>0.20833333333333301</v>
      </c>
      <c r="Z260" s="169">
        <v>0.22916666666666666</v>
      </c>
      <c r="AA260" s="169">
        <v>0.25</v>
      </c>
      <c r="AB260" s="169">
        <v>0.27083333333333331</v>
      </c>
      <c r="AC260" s="169">
        <v>0.29166666666666669</v>
      </c>
      <c r="AD260" s="169">
        <v>0.3125</v>
      </c>
      <c r="AE260" s="170">
        <v>0.33333333333333331</v>
      </c>
      <c r="AF260" s="170">
        <v>0.375</v>
      </c>
      <c r="AG260" s="170">
        <v>0.41666666666666702</v>
      </c>
      <c r="AH260" s="170">
        <v>0.45833333333333298</v>
      </c>
      <c r="AI260" s="170">
        <v>0.5</v>
      </c>
      <c r="AJ260" s="170">
        <v>0.54166666666666696</v>
      </c>
      <c r="AK260" s="170">
        <v>0.58333333333333304</v>
      </c>
      <c r="AL260" s="170">
        <v>0.625</v>
      </c>
      <c r="AM260" s="170">
        <v>0.66666666666666696</v>
      </c>
      <c r="AN260" s="170">
        <v>0.70833333333333304</v>
      </c>
      <c r="AO260" s="170">
        <v>0.72916666666666663</v>
      </c>
      <c r="AP260" s="170">
        <v>0.75</v>
      </c>
      <c r="AQ260" s="170">
        <v>0.77083333333333337</v>
      </c>
      <c r="AR260" s="170">
        <v>0.79166666666666663</v>
      </c>
      <c r="AS260" s="170">
        <v>0.8125</v>
      </c>
      <c r="AT260" s="169">
        <v>0.83333333333333337</v>
      </c>
      <c r="AU260" s="169">
        <v>0.85416666666666663</v>
      </c>
      <c r="AV260" s="169">
        <v>0.875</v>
      </c>
      <c r="AW260" s="169">
        <v>0.91666666666666696</v>
      </c>
      <c r="AX260" s="169">
        <v>0.95833333333333304</v>
      </c>
    </row>
    <row r="261" spans="1:50" x14ac:dyDescent="0.25">
      <c r="A261" s="164" t="s">
        <v>251</v>
      </c>
      <c r="B261" s="16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252</v>
      </c>
      <c r="T261" s="171">
        <f t="shared" ref="T261:AX261" si="29">B99</f>
        <v>3.54</v>
      </c>
      <c r="U261" s="171">
        <f t="shared" si="29"/>
        <v>3.54</v>
      </c>
      <c r="V261" s="171">
        <f t="shared" si="29"/>
        <v>3.54</v>
      </c>
      <c r="W261" s="171">
        <f t="shared" si="29"/>
        <v>3.54</v>
      </c>
      <c r="X261" s="171">
        <f t="shared" si="29"/>
        <v>3.54</v>
      </c>
      <c r="Y261" s="171">
        <f t="shared" si="29"/>
        <v>3.54</v>
      </c>
      <c r="Z261" s="171">
        <f t="shared" si="29"/>
        <v>3.54</v>
      </c>
      <c r="AA261" s="171">
        <f t="shared" si="29"/>
        <v>3.54</v>
      </c>
      <c r="AB261" s="171">
        <f t="shared" si="29"/>
        <v>3.54</v>
      </c>
      <c r="AC261" s="171">
        <f t="shared" si="29"/>
        <v>3.54</v>
      </c>
      <c r="AD261" s="171">
        <f t="shared" si="29"/>
        <v>3.54</v>
      </c>
      <c r="AE261" s="171">
        <f t="shared" si="29"/>
        <v>3.54</v>
      </c>
      <c r="AF261" s="171">
        <f t="shared" si="29"/>
        <v>3.54</v>
      </c>
      <c r="AG261" s="171">
        <f t="shared" si="29"/>
        <v>3.54</v>
      </c>
      <c r="AH261" s="171">
        <f t="shared" si="29"/>
        <v>3.54</v>
      </c>
      <c r="AI261" s="171">
        <f t="shared" si="29"/>
        <v>3.54</v>
      </c>
      <c r="AJ261" s="171">
        <f t="shared" si="29"/>
        <v>3.54</v>
      </c>
      <c r="AK261" s="171">
        <f t="shared" si="29"/>
        <v>3.54</v>
      </c>
      <c r="AL261" s="171">
        <f t="shared" si="29"/>
        <v>3.54</v>
      </c>
      <c r="AM261" s="171">
        <f t="shared" si="29"/>
        <v>3.54</v>
      </c>
      <c r="AN261" s="171">
        <f t="shared" si="29"/>
        <v>3.54</v>
      </c>
      <c r="AO261" s="171">
        <f t="shared" si="29"/>
        <v>3.54</v>
      </c>
      <c r="AP261" s="171">
        <f t="shared" si="29"/>
        <v>3.54</v>
      </c>
      <c r="AQ261" s="171">
        <f t="shared" si="29"/>
        <v>3.54</v>
      </c>
      <c r="AR261" s="171">
        <f t="shared" si="29"/>
        <v>3.54</v>
      </c>
      <c r="AS261" s="171">
        <f t="shared" si="29"/>
        <v>3.54</v>
      </c>
      <c r="AT261" s="171">
        <f t="shared" si="29"/>
        <v>3.54</v>
      </c>
      <c r="AU261" s="171">
        <f t="shared" si="29"/>
        <v>3.54</v>
      </c>
      <c r="AV261" s="171">
        <f t="shared" si="29"/>
        <v>3.54</v>
      </c>
      <c r="AW261" s="171">
        <f t="shared" si="29"/>
        <v>3.54</v>
      </c>
      <c r="AX261" s="171">
        <f t="shared" si="29"/>
        <v>3.54</v>
      </c>
    </row>
    <row r="262" spans="1:50" x14ac:dyDescent="0.25">
      <c r="A262" s="164" t="s">
        <v>253</v>
      </c>
      <c r="B262" s="16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64" t="s">
        <v>254</v>
      </c>
      <c r="B263" s="16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64" t="s">
        <v>255</v>
      </c>
      <c r="B264" s="16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64" t="s">
        <v>256</v>
      </c>
      <c r="B265" s="17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64" t="s">
        <v>257</v>
      </c>
      <c r="B266" s="16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73" t="s">
        <v>242</v>
      </c>
      <c r="B282" s="174">
        <f t="shared" ref="B282:AE282" si="30">C251</f>
        <v>0.64</v>
      </c>
      <c r="C282" s="174">
        <f t="shared" si="30"/>
        <v>0.64</v>
      </c>
      <c r="D282" s="174">
        <f t="shared" si="30"/>
        <v>0.64</v>
      </c>
      <c r="E282" s="174">
        <f t="shared" si="30"/>
        <v>0.64</v>
      </c>
      <c r="F282" s="174">
        <f t="shared" si="30"/>
        <v>0.64</v>
      </c>
      <c r="G282" s="174">
        <f t="shared" si="30"/>
        <v>0.64</v>
      </c>
      <c r="H282" s="174">
        <f t="shared" si="30"/>
        <v>0.64</v>
      </c>
      <c r="I282" s="174">
        <f t="shared" si="30"/>
        <v>0.64</v>
      </c>
      <c r="J282" s="174">
        <f t="shared" si="30"/>
        <v>0.64</v>
      </c>
      <c r="K282" s="174">
        <f t="shared" si="30"/>
        <v>0.64</v>
      </c>
      <c r="L282" s="174">
        <f t="shared" si="30"/>
        <v>0.64</v>
      </c>
      <c r="M282" s="174">
        <f t="shared" si="30"/>
        <v>0.64</v>
      </c>
      <c r="N282" s="174">
        <f t="shared" si="30"/>
        <v>0.64</v>
      </c>
      <c r="O282" s="174">
        <f t="shared" si="30"/>
        <v>0.64</v>
      </c>
      <c r="P282" s="174">
        <f t="shared" si="30"/>
        <v>0.64</v>
      </c>
      <c r="Q282" s="174">
        <f t="shared" si="30"/>
        <v>0.64</v>
      </c>
      <c r="R282" s="174">
        <f t="shared" si="30"/>
        <v>0.64</v>
      </c>
      <c r="S282" s="174">
        <f t="shared" si="30"/>
        <v>0.64</v>
      </c>
      <c r="T282" s="174">
        <f t="shared" si="30"/>
        <v>0.64</v>
      </c>
      <c r="U282" s="174">
        <f t="shared" si="30"/>
        <v>0.64</v>
      </c>
      <c r="V282" s="174">
        <f t="shared" si="30"/>
        <v>0.64</v>
      </c>
      <c r="W282" s="174">
        <f t="shared" si="30"/>
        <v>0.64</v>
      </c>
      <c r="X282" s="174">
        <f t="shared" si="30"/>
        <v>0.64</v>
      </c>
      <c r="Y282" s="174">
        <f t="shared" si="30"/>
        <v>0.64</v>
      </c>
      <c r="Z282" s="174">
        <f t="shared" si="30"/>
        <v>0.64</v>
      </c>
      <c r="AA282" s="174">
        <f t="shared" si="30"/>
        <v>0.64</v>
      </c>
      <c r="AB282" s="174">
        <f t="shared" si="30"/>
        <v>0.64</v>
      </c>
      <c r="AC282" s="174">
        <f t="shared" si="30"/>
        <v>0.64</v>
      </c>
      <c r="AD282" s="174">
        <f t="shared" si="30"/>
        <v>0.64</v>
      </c>
      <c r="AE282" s="174">
        <f t="shared" si="30"/>
        <v>0.64</v>
      </c>
      <c r="AF282" s="174">
        <f>B251</f>
        <v>0.64</v>
      </c>
      <c r="AG282" s="43"/>
      <c r="AH282" s="43"/>
    </row>
    <row r="283" spans="1:34" x14ac:dyDescent="0.25">
      <c r="A283" s="175" t="e">
        <f>#REF!</f>
        <v>#REF!</v>
      </c>
      <c r="B283" s="175" t="e">
        <f>IF(#REF!&lt;100,"",#REF!-520)</f>
        <v>#REF!</v>
      </c>
      <c r="C283" s="175" t="e">
        <f>IF(#REF!&lt;100,"",#REF!-520)</f>
        <v>#REF!</v>
      </c>
      <c r="D283" s="175" t="e">
        <f>IF(#REF!&lt;100,"",#REF!-520)</f>
        <v>#REF!</v>
      </c>
      <c r="E283" s="175" t="e">
        <f>IF(#REF!&lt;100,"",#REF!-520)</f>
        <v>#REF!</v>
      </c>
      <c r="F283" s="175" t="e">
        <f>IF(#REF!&lt;100,"",#REF!-520)</f>
        <v>#REF!</v>
      </c>
      <c r="G283" s="175" t="e">
        <f>IF(#REF!&lt;100,"",#REF!-520)</f>
        <v>#REF!</v>
      </c>
      <c r="H283" s="175" t="e">
        <f>IF(#REF!&lt;100,"",#REF!-520)</f>
        <v>#REF!</v>
      </c>
      <c r="I283" s="175" t="e">
        <f>IF(#REF!&lt;100,"",#REF!-520)</f>
        <v>#REF!</v>
      </c>
      <c r="J283" s="175" t="e">
        <f>IF(#REF!&lt;100,"",#REF!-520)</f>
        <v>#REF!</v>
      </c>
      <c r="K283" s="175" t="e">
        <f>IF(#REF!&lt;100,"",#REF!-520)</f>
        <v>#REF!</v>
      </c>
      <c r="L283" s="175" t="e">
        <f>IF(#REF!&lt;100,"",#REF!-520)</f>
        <v>#REF!</v>
      </c>
      <c r="M283" s="175" t="e">
        <f>IF(#REF!&lt;100,"",#REF!-520)</f>
        <v>#REF!</v>
      </c>
      <c r="N283" s="175" t="e">
        <f>IF(#REF!&lt;100,"",#REF!-520)</f>
        <v>#REF!</v>
      </c>
      <c r="O283" s="175" t="e">
        <f>IF(#REF!&lt;100,"",#REF!-520)</f>
        <v>#REF!</v>
      </c>
      <c r="P283" s="175" t="e">
        <f>IF(#REF!&lt;100,"",#REF!-520)</f>
        <v>#REF!</v>
      </c>
      <c r="Q283" s="175" t="e">
        <f>IF(#REF!&lt;100,"",#REF!-520)</f>
        <v>#REF!</v>
      </c>
      <c r="R283" s="175" t="e">
        <f>IF(#REF!&lt;100,"",#REF!-520)</f>
        <v>#REF!</v>
      </c>
      <c r="S283" s="175" t="e">
        <f>IF(#REF!&lt;100,"",#REF!-520)</f>
        <v>#REF!</v>
      </c>
      <c r="T283" s="175" t="e">
        <f>IF(#REF!&lt;100,"",#REF!-520)</f>
        <v>#REF!</v>
      </c>
      <c r="U283" s="175" t="e">
        <f>IF(#REF!&lt;100,"",#REF!-520)</f>
        <v>#REF!</v>
      </c>
      <c r="V283" s="175" t="e">
        <f>IF(#REF!&lt;100,"",#REF!-520)</f>
        <v>#REF!</v>
      </c>
      <c r="W283" s="175" t="e">
        <f>IF(#REF!&lt;100,"",#REF!-520)</f>
        <v>#REF!</v>
      </c>
      <c r="X283" s="175" t="e">
        <f>IF(#REF!&lt;100,"",#REF!-520)</f>
        <v>#REF!</v>
      </c>
      <c r="Y283" s="175" t="e">
        <f>IF(#REF!&lt;100,"",#REF!-520)</f>
        <v>#REF!</v>
      </c>
      <c r="Z283" s="175" t="e">
        <f>IF(#REF!&lt;100,"",#REF!-520)</f>
        <v>#REF!</v>
      </c>
      <c r="AA283" s="175" t="e">
        <f>IF(#REF!&lt;100,"",#REF!-520)</f>
        <v>#REF!</v>
      </c>
      <c r="AB283" s="175" t="e">
        <f>IF(#REF!&lt;100,"",#REF!-520)</f>
        <v>#REF!</v>
      </c>
      <c r="AC283" s="175" t="e">
        <f>IF(#REF!&lt;100,"",#REF!-520)</f>
        <v>#REF!</v>
      </c>
      <c r="AD283" s="175" t="e">
        <f>IF(#REF!&lt;100,"",#REF!-520)</f>
        <v>#REF!</v>
      </c>
      <c r="AE283" s="175" t="e">
        <f>IF(#REF!&lt;100,"",#REF!-520)</f>
        <v>#REF!</v>
      </c>
      <c r="AF283" s="175" t="e">
        <f>IF(#REF!&lt;100,"",#REF!-520)</f>
        <v>#REF!</v>
      </c>
      <c r="AG283" s="43"/>
      <c r="AH283" s="43"/>
    </row>
    <row r="284" spans="1:34" x14ac:dyDescent="0.25">
      <c r="A284" s="175" t="e">
        <f>#REF!</f>
        <v>#REF!</v>
      </c>
      <c r="B284" s="175" t="e">
        <f>IF(#REF!&lt;100,"",#REF!-620)</f>
        <v>#REF!</v>
      </c>
      <c r="C284" s="175" t="e">
        <f>IF(#REF!&lt;100,"",#REF!-620)</f>
        <v>#REF!</v>
      </c>
      <c r="D284" s="175" t="e">
        <f>IF(#REF!&lt;100,"",#REF!-620)</f>
        <v>#REF!</v>
      </c>
      <c r="E284" s="175" t="e">
        <f>IF(#REF!&lt;100,"",#REF!-620)</f>
        <v>#REF!</v>
      </c>
      <c r="F284" s="175" t="e">
        <f>IF(#REF!&lt;100,"",#REF!-620)</f>
        <v>#REF!</v>
      </c>
      <c r="G284" s="175" t="e">
        <f>IF(#REF!&lt;100,"",#REF!-620)</f>
        <v>#REF!</v>
      </c>
      <c r="H284" s="175" t="e">
        <f>IF(#REF!&lt;100,"",#REF!-620)</f>
        <v>#REF!</v>
      </c>
      <c r="I284" s="175" t="e">
        <f>IF(#REF!&lt;100,"",#REF!-620)</f>
        <v>#REF!</v>
      </c>
      <c r="J284" s="175" t="e">
        <f>IF(#REF!&lt;100,"",#REF!-620)</f>
        <v>#REF!</v>
      </c>
      <c r="K284" s="175" t="e">
        <f>IF(#REF!&lt;100,"",#REF!-620)</f>
        <v>#REF!</v>
      </c>
      <c r="L284" s="175" t="e">
        <f>IF(#REF!&lt;100,"",#REF!-620)</f>
        <v>#REF!</v>
      </c>
      <c r="M284" s="175" t="e">
        <f>IF(#REF!&lt;100,"",#REF!-620)</f>
        <v>#REF!</v>
      </c>
      <c r="N284" s="175" t="e">
        <f>IF(#REF!&lt;100,"",#REF!-620)</f>
        <v>#REF!</v>
      </c>
      <c r="O284" s="175" t="e">
        <f>IF(#REF!&lt;100,"",#REF!-620)</f>
        <v>#REF!</v>
      </c>
      <c r="P284" s="175" t="e">
        <f>IF(#REF!&lt;100,"",#REF!-620)</f>
        <v>#REF!</v>
      </c>
      <c r="Q284" s="175" t="e">
        <f>IF(#REF!&lt;100,"",#REF!-620)</f>
        <v>#REF!</v>
      </c>
      <c r="R284" s="175" t="e">
        <f>IF(#REF!&lt;100,"",#REF!-620)</f>
        <v>#REF!</v>
      </c>
      <c r="S284" s="175" t="e">
        <f>IF(#REF!&lt;100,"",#REF!-620)</f>
        <v>#REF!</v>
      </c>
      <c r="T284" s="175" t="e">
        <f>IF(#REF!&lt;100,"",#REF!-620)</f>
        <v>#REF!</v>
      </c>
      <c r="U284" s="175" t="e">
        <f>IF(#REF!&lt;100,"",#REF!-620)</f>
        <v>#REF!</v>
      </c>
      <c r="V284" s="175" t="e">
        <f>IF(#REF!&lt;100,"",#REF!-620)</f>
        <v>#REF!</v>
      </c>
      <c r="W284" s="175" t="e">
        <f>IF(#REF!&lt;100,"",#REF!-620)</f>
        <v>#REF!</v>
      </c>
      <c r="X284" s="175" t="e">
        <f>IF(#REF!&lt;100,"",#REF!-620)</f>
        <v>#REF!</v>
      </c>
      <c r="Y284" s="175" t="e">
        <f>IF(#REF!&lt;100,"",#REF!-620)</f>
        <v>#REF!</v>
      </c>
      <c r="Z284" s="175" t="e">
        <f>IF(#REF!&lt;100,"",#REF!-620)</f>
        <v>#REF!</v>
      </c>
      <c r="AA284" s="175" t="e">
        <f>IF(#REF!&lt;100,"",#REF!-620)</f>
        <v>#REF!</v>
      </c>
      <c r="AB284" s="175" t="e">
        <f>IF(#REF!&lt;100,"",#REF!-620)</f>
        <v>#REF!</v>
      </c>
      <c r="AC284" s="175" t="e">
        <f>IF(#REF!&lt;100,"",#REF!-620)</f>
        <v>#REF!</v>
      </c>
      <c r="AD284" s="175" t="e">
        <f>IF(#REF!&lt;100,"",#REF!-620)</f>
        <v>#REF!</v>
      </c>
      <c r="AE284" s="175" t="e">
        <f>IF(#REF!&lt;100,"",#REF!-620)</f>
        <v>#REF!</v>
      </c>
      <c r="AF284" s="175" t="e">
        <f>IF(#REF!&lt;100,"",#REF!-620)</f>
        <v>#REF!</v>
      </c>
      <c r="AG284" s="43"/>
      <c r="AH284" s="43"/>
    </row>
    <row r="285" spans="1:34" x14ac:dyDescent="0.25">
      <c r="A285" s="175" t="e">
        <f>#REF!</f>
        <v>#REF!</v>
      </c>
      <c r="B285" s="175" t="e">
        <f>IF(#REF!&lt;100,"",#REF!-330)</f>
        <v>#REF!</v>
      </c>
      <c r="C285" s="175" t="e">
        <f>IF(#REF!&lt;100,"",#REF!-330)</f>
        <v>#REF!</v>
      </c>
      <c r="D285" s="175" t="e">
        <f>IF(#REF!&lt;100,"",#REF!-330)</f>
        <v>#REF!</v>
      </c>
      <c r="E285" s="175" t="e">
        <f>IF(#REF!&lt;100,"",#REF!-330)</f>
        <v>#REF!</v>
      </c>
      <c r="F285" s="175" t="e">
        <f>IF(#REF!&lt;100,"",#REF!-330)</f>
        <v>#REF!</v>
      </c>
      <c r="G285" s="175" t="e">
        <f>IF(#REF!&lt;100,"",#REF!-330)</f>
        <v>#REF!</v>
      </c>
      <c r="H285" s="175" t="e">
        <f>IF(#REF!&lt;100,"",#REF!-330)</f>
        <v>#REF!</v>
      </c>
      <c r="I285" s="175" t="e">
        <f>IF(#REF!&lt;100,"",#REF!-330)</f>
        <v>#REF!</v>
      </c>
      <c r="J285" s="175" t="e">
        <f>IF(#REF!&lt;100,"",#REF!-330)</f>
        <v>#REF!</v>
      </c>
      <c r="K285" s="175" t="e">
        <f>IF(#REF!&lt;100,"",#REF!-330)</f>
        <v>#REF!</v>
      </c>
      <c r="L285" s="175" t="e">
        <f>IF(#REF!&lt;100,"",#REF!-330)</f>
        <v>#REF!</v>
      </c>
      <c r="M285" s="175" t="e">
        <f>IF(#REF!&lt;100,"",#REF!-330)</f>
        <v>#REF!</v>
      </c>
      <c r="N285" s="175" t="e">
        <f>IF(#REF!&lt;100,"",#REF!-330)</f>
        <v>#REF!</v>
      </c>
      <c r="O285" s="175" t="e">
        <f>IF(#REF!&lt;100,"",#REF!-330)</f>
        <v>#REF!</v>
      </c>
      <c r="P285" s="175" t="e">
        <f>IF(#REF!&lt;100,"",#REF!-330)</f>
        <v>#REF!</v>
      </c>
      <c r="Q285" s="175" t="e">
        <f>IF(#REF!&lt;100,"",#REF!-330)</f>
        <v>#REF!</v>
      </c>
      <c r="R285" s="175" t="e">
        <f>IF(#REF!&lt;100,"",#REF!-330)</f>
        <v>#REF!</v>
      </c>
      <c r="S285" s="175" t="e">
        <f>IF(#REF!&lt;100,"",#REF!-330)</f>
        <v>#REF!</v>
      </c>
      <c r="T285" s="175" t="e">
        <f>IF(#REF!&lt;100,"",#REF!-330)</f>
        <v>#REF!</v>
      </c>
      <c r="U285" s="175" t="e">
        <f>IF(#REF!&lt;100,"",#REF!-330)</f>
        <v>#REF!</v>
      </c>
      <c r="V285" s="175" t="e">
        <f>IF(#REF!&lt;100,"",#REF!-330)</f>
        <v>#REF!</v>
      </c>
      <c r="W285" s="175" t="e">
        <f>IF(#REF!&lt;100,"",#REF!-330)</f>
        <v>#REF!</v>
      </c>
      <c r="X285" s="175" t="e">
        <f>IF(#REF!&lt;100,"",#REF!-330)</f>
        <v>#REF!</v>
      </c>
      <c r="Y285" s="175" t="e">
        <f>IF(#REF!&lt;100,"",#REF!-330)</f>
        <v>#REF!</v>
      </c>
      <c r="Z285" s="175" t="e">
        <f>IF(#REF!&lt;100,"",#REF!-330)</f>
        <v>#REF!</v>
      </c>
      <c r="AA285" s="175" t="e">
        <f>IF(#REF!&lt;100,"",#REF!-330)</f>
        <v>#REF!</v>
      </c>
      <c r="AB285" s="175" t="e">
        <f>IF(#REF!&lt;100,"",#REF!-330)</f>
        <v>#REF!</v>
      </c>
      <c r="AC285" s="175" t="e">
        <f>IF(#REF!&lt;100,"",#REF!-330)</f>
        <v>#REF!</v>
      </c>
      <c r="AD285" s="175" t="e">
        <f>IF(#REF!&lt;100,"",#REF!-330)</f>
        <v>#REF!</v>
      </c>
      <c r="AE285" s="175" t="e">
        <f>IF(#REF!&lt;100,"",#REF!-330)</f>
        <v>#REF!</v>
      </c>
      <c r="AF285" s="175" t="e">
        <f>IF(#REF!&lt;100,"",#REF!-330)</f>
        <v>#REF!</v>
      </c>
      <c r="AG285" s="43"/>
      <c r="AH285" s="43"/>
    </row>
    <row r="286" spans="1:34" x14ac:dyDescent="0.25">
      <c r="A286" s="175" t="e">
        <f>#REF!</f>
        <v>#REF!</v>
      </c>
      <c r="B286" s="175" t="e">
        <f>IF(#REF!&lt;100,"",#REF!-1500)</f>
        <v>#REF!</v>
      </c>
      <c r="C286" s="175" t="e">
        <f>IF(#REF!&lt;100,"",#REF!-1500)</f>
        <v>#REF!</v>
      </c>
      <c r="D286" s="175" t="e">
        <f>IF(#REF!&lt;100,"",#REF!-1500)</f>
        <v>#REF!</v>
      </c>
      <c r="E286" s="175" t="e">
        <f>IF(#REF!&lt;100,"",#REF!-1500)</f>
        <v>#REF!</v>
      </c>
      <c r="F286" s="175" t="e">
        <f>IF(#REF!&lt;100,"",#REF!-1500)</f>
        <v>#REF!</v>
      </c>
      <c r="G286" s="175" t="e">
        <f>IF(#REF!&lt;100,"",#REF!-1500)</f>
        <v>#REF!</v>
      </c>
      <c r="H286" s="175" t="e">
        <f>IF(#REF!&lt;100,"",#REF!-1500)</f>
        <v>#REF!</v>
      </c>
      <c r="I286" s="175" t="e">
        <f>IF(#REF!&lt;100,"",#REF!-1500)</f>
        <v>#REF!</v>
      </c>
      <c r="J286" s="175" t="e">
        <f>IF(#REF!&lt;100,"",#REF!-1500)</f>
        <v>#REF!</v>
      </c>
      <c r="K286" s="175" t="e">
        <f>IF(#REF!&lt;100,"",#REF!-1500)</f>
        <v>#REF!</v>
      </c>
      <c r="L286" s="175" t="e">
        <f>IF(#REF!&lt;100,"",#REF!-1500)</f>
        <v>#REF!</v>
      </c>
      <c r="M286" s="175" t="e">
        <f>IF(#REF!&lt;100,"",#REF!-1500)</f>
        <v>#REF!</v>
      </c>
      <c r="N286" s="175" t="e">
        <f>IF(#REF!&lt;100,"",#REF!-1500)</f>
        <v>#REF!</v>
      </c>
      <c r="O286" s="175" t="e">
        <f>IF(#REF!&lt;100,"",#REF!-1500)</f>
        <v>#REF!</v>
      </c>
      <c r="P286" s="175" t="e">
        <f>IF(#REF!&lt;100,"",#REF!-1500)</f>
        <v>#REF!</v>
      </c>
      <c r="Q286" s="175" t="e">
        <f>IF(#REF!&lt;100,"",#REF!-1500)</f>
        <v>#REF!</v>
      </c>
      <c r="R286" s="175" t="e">
        <f>IF(#REF!&lt;100,"",#REF!-1500)</f>
        <v>#REF!</v>
      </c>
      <c r="S286" s="175" t="e">
        <f>IF(#REF!&lt;100,"",#REF!-1500)</f>
        <v>#REF!</v>
      </c>
      <c r="T286" s="175" t="e">
        <f>IF(#REF!&lt;100,"",#REF!-1500)</f>
        <v>#REF!</v>
      </c>
      <c r="U286" s="175" t="e">
        <f>IF(#REF!&lt;100,"",#REF!-1500)</f>
        <v>#REF!</v>
      </c>
      <c r="V286" s="175" t="e">
        <f>IF(#REF!&lt;100,"",#REF!-1500)</f>
        <v>#REF!</v>
      </c>
      <c r="W286" s="175" t="e">
        <f>IF(#REF!&lt;100,"",#REF!-1500)</f>
        <v>#REF!</v>
      </c>
      <c r="X286" s="175" t="e">
        <f>IF(#REF!&lt;100,"",#REF!-1500)</f>
        <v>#REF!</v>
      </c>
      <c r="Y286" s="175" t="e">
        <f>IF(#REF!&lt;100,"",#REF!-1500)</f>
        <v>#REF!</v>
      </c>
      <c r="Z286" s="175" t="e">
        <f>IF(#REF!&lt;100,"",#REF!-1500)</f>
        <v>#REF!</v>
      </c>
      <c r="AA286" s="175" t="e">
        <f>IF(#REF!&lt;100,"",#REF!-1500)</f>
        <v>#REF!</v>
      </c>
      <c r="AB286" s="175" t="e">
        <f>IF(#REF!&lt;100,"",#REF!-1500)</f>
        <v>#REF!</v>
      </c>
      <c r="AC286" s="175" t="e">
        <f>IF(#REF!&lt;100,"",#REF!-1500)</f>
        <v>#REF!</v>
      </c>
      <c r="AD286" s="175" t="e">
        <f>IF(#REF!&lt;100,"",#REF!-1500)</f>
        <v>#REF!</v>
      </c>
      <c r="AE286" s="175" t="e">
        <f>IF(#REF!&lt;100,"",#REF!-1500)</f>
        <v>#REF!</v>
      </c>
      <c r="AF286" s="175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21" priority="62">
      <formula>$AH11=0</formula>
    </cfRule>
  </conditionalFormatting>
  <conditionalFormatting sqref="A132:A253">
    <cfRule type="expression" dxfId="120" priority="5">
      <formula>$AH132=0</formula>
    </cfRule>
  </conditionalFormatting>
  <conditionalFormatting sqref="B8 M8 S8 AB8">
    <cfRule type="expression" dxfId="119" priority="122">
      <formula>AND(C$9&gt;=14/24,C$9&lt;20/24)</formula>
    </cfRule>
    <cfRule type="expression" dxfId="118" priority="123">
      <formula>AND(C$9&gt;=8/24,C$9&lt;14/24)</formula>
    </cfRule>
    <cfRule type="expression" dxfId="117" priority="124">
      <formula>C$9&lt;8/24</formula>
    </cfRule>
  </conditionalFormatting>
  <conditionalFormatting sqref="B63:I74 J64:J74 K69:L71">
    <cfRule type="expression" dxfId="116" priority="25">
      <formula>AND(B$9&gt;=14/24,B$9&lt;20/24)</formula>
    </cfRule>
    <cfRule type="expression" dxfId="115" priority="24">
      <formula>B$9&gt;=20/24</formula>
    </cfRule>
    <cfRule type="expression" dxfId="114" priority="27">
      <formula>B$9&lt;8/24</formula>
    </cfRule>
    <cfRule type="expression" dxfId="113" priority="26">
      <formula>AND(B$9&gt;=8/24,B$9&lt;14/24)</formula>
    </cfRule>
  </conditionalFormatting>
  <conditionalFormatting sqref="B51:J54">
    <cfRule type="expression" dxfId="112" priority="14">
      <formula>B51&gt;$AG51</formula>
    </cfRule>
  </conditionalFormatting>
  <conditionalFormatting sqref="B53:J54">
    <cfRule type="expression" dxfId="111" priority="13">
      <formula>B$9&lt;8/24</formula>
    </cfRule>
  </conditionalFormatting>
  <conditionalFormatting sqref="B55:J55">
    <cfRule type="expression" dxfId="110" priority="42">
      <formula>B55&gt;$AG55</formula>
    </cfRule>
  </conditionalFormatting>
  <conditionalFormatting sqref="B55:J57">
    <cfRule type="expression" dxfId="109" priority="41">
      <formula>B$9&lt;8/24</formula>
    </cfRule>
  </conditionalFormatting>
  <conditionalFormatting sqref="B9:AF52">
    <cfRule type="expression" dxfId="108" priority="33">
      <formula>B$9&gt;=20/24</formula>
    </cfRule>
    <cfRule type="expression" dxfId="107" priority="34">
      <formula>AND(B$9&gt;=14/24,B$9&lt;20/24)</formula>
    </cfRule>
    <cfRule type="expression" dxfId="106" priority="35">
      <formula>AND(B$9&gt;=8/24,B$9&lt;14/24)</formula>
    </cfRule>
    <cfRule type="expression" dxfId="105" priority="36">
      <formula>B$9&lt;8/24</formula>
    </cfRule>
  </conditionalFormatting>
  <conditionalFormatting sqref="B11:AF50 K51:AF52">
    <cfRule type="expression" dxfId="104" priority="32">
      <formula>B11&gt;$AG11</formula>
    </cfRule>
  </conditionalFormatting>
  <conditionalFormatting sqref="B53:AF54">
    <cfRule type="expression" dxfId="103" priority="12">
      <formula>AND(B$9&gt;=8/24,B$9&lt;14/24)</formula>
    </cfRule>
    <cfRule type="expression" dxfId="102" priority="11">
      <formula>AND(B$9&gt;=14/24,B$9&lt;20/24)</formula>
    </cfRule>
    <cfRule type="expression" dxfId="101" priority="10">
      <formula>B$9&gt;=20/24</formula>
    </cfRule>
  </conditionalFormatting>
  <conditionalFormatting sqref="B55:AF57">
    <cfRule type="expression" dxfId="100" priority="39">
      <formula>AND(B$9&gt;=14/24,B$9&lt;20/24)</formula>
    </cfRule>
    <cfRule type="expression" dxfId="99" priority="38">
      <formula>B$9&gt;=20/24</formula>
    </cfRule>
    <cfRule type="expression" dxfId="98" priority="40">
      <formula>AND(B$9&gt;=8/24,B$9&lt;14/24)</formula>
    </cfRule>
  </conditionalFormatting>
  <conditionalFormatting sqref="B56:AF61">
    <cfRule type="expression" dxfId="97" priority="37">
      <formula>B56&gt;$AG56</formula>
    </cfRule>
  </conditionalFormatting>
  <conditionalFormatting sqref="B59:AF61">
    <cfRule type="expression" dxfId="96" priority="51">
      <formula>B$9&lt;8/24</formula>
    </cfRule>
    <cfRule type="expression" dxfId="95" priority="50">
      <formula>AND(B$9&gt;=8/24,B$9&lt;14/24)</formula>
    </cfRule>
    <cfRule type="expression" dxfId="94" priority="49">
      <formula>AND(B$9&gt;=14/24,B$9&lt;20/24)</formula>
    </cfRule>
    <cfRule type="expression" dxfId="93" priority="48">
      <formula>B$9&gt;=20/24</formula>
    </cfRule>
  </conditionalFormatting>
  <conditionalFormatting sqref="B63:AF74">
    <cfRule type="expression" dxfId="92" priority="23">
      <formula>B63&gt;$AG63</formula>
    </cfRule>
  </conditionalFormatting>
  <conditionalFormatting sqref="B77:AF79">
    <cfRule type="expression" dxfId="91" priority="54">
      <formula>AND(B$9&gt;=14/24,B$9&lt;20/24)</formula>
    </cfRule>
    <cfRule type="expression" dxfId="90" priority="53">
      <formula>B$9&gt;=20/24</formula>
    </cfRule>
    <cfRule type="expression" dxfId="89" priority="52">
      <formula>B77&gt;$AG77</formula>
    </cfRule>
    <cfRule type="expression" dxfId="88" priority="55">
      <formula>AND(B$9&gt;=8/24,B$9&lt;14/24)</formula>
    </cfRule>
    <cfRule type="expression" dxfId="87" priority="56">
      <formula>B$9&lt;8/24</formula>
    </cfRule>
  </conditionalFormatting>
  <conditionalFormatting sqref="B81:AF99">
    <cfRule type="expression" dxfId="86" priority="22">
      <formula>B$9&lt;8/24</formula>
    </cfRule>
    <cfRule type="expression" dxfId="85" priority="21">
      <formula>AND(B$9&gt;=8/24,B$9&lt;14/24)</formula>
    </cfRule>
    <cfRule type="expression" dxfId="84" priority="19">
      <formula>B$9&gt;=20/24</formula>
    </cfRule>
    <cfRule type="expression" dxfId="83" priority="20">
      <formula>AND(B$9&gt;=14/24,B$9&lt;20/24)</formula>
    </cfRule>
  </conditionalFormatting>
  <conditionalFormatting sqref="B101:AF117">
    <cfRule type="expression" dxfId="82" priority="8">
      <formula>AND(B$9&gt;=8/24,B$9&lt;14/24)</formula>
    </cfRule>
    <cfRule type="expression" dxfId="81" priority="7">
      <formula>AND(B$9&gt;=14/24,B$9&lt;20/24)</formula>
    </cfRule>
    <cfRule type="expression" dxfId="80" priority="6">
      <formula>B$9&gt;=20/24</formula>
    </cfRule>
    <cfRule type="expression" dxfId="79" priority="9">
      <formula>B$9&lt;8/24</formula>
    </cfRule>
  </conditionalFormatting>
  <conditionalFormatting sqref="B119:AF137">
    <cfRule type="expression" dxfId="78" priority="1">
      <formula>B$9&gt;=20/24</formula>
    </cfRule>
    <cfRule type="expression" dxfId="77" priority="4">
      <formula>B$9&lt;8/24</formula>
    </cfRule>
    <cfRule type="expression" dxfId="76" priority="3">
      <formula>AND(B$9&gt;=8/24,B$9&lt;14/24)</formula>
    </cfRule>
    <cfRule type="expression" dxfId="75" priority="2">
      <formula>AND(B$9&gt;=14/24,B$9&lt;20/24)</formula>
    </cfRule>
  </conditionalFormatting>
  <conditionalFormatting sqref="B244:AF244 B246:B252 D246:AF252 U260:AF260">
    <cfRule type="expression" dxfId="74" priority="118">
      <formula>B$9&lt;8/24</formula>
    </cfRule>
    <cfRule type="expression" dxfId="73" priority="117">
      <formula>AND(B$9&gt;=8/24,B$9&lt;14/24)</formula>
    </cfRule>
    <cfRule type="expression" dxfId="72" priority="116">
      <formula>AND(B$9&gt;=14/24,B$9&lt;20/24)</formula>
    </cfRule>
    <cfRule type="expression" dxfId="71" priority="115">
      <formula>B$9&gt;=20/24</formula>
    </cfRule>
  </conditionalFormatting>
  <conditionalFormatting sqref="B62:AG62">
    <cfRule type="expression" dxfId="70" priority="58">
      <formula>B$9&gt;=20/24</formula>
    </cfRule>
    <cfRule type="expression" dxfId="69" priority="59">
      <formula>AND(B$9&gt;=14/24,B$9&lt;20/24)</formula>
    </cfRule>
    <cfRule type="expression" dxfId="68" priority="60">
      <formula>AND(B$9&gt;=8/24,B$9&lt;14/24)</formula>
    </cfRule>
    <cfRule type="expression" dxfId="67" priority="61">
      <formula>B$9&lt;8/24</formula>
    </cfRule>
    <cfRule type="expression" dxfId="66" priority="57">
      <formula>B62&gt;$AG62</formula>
    </cfRule>
  </conditionalFormatting>
  <conditionalFormatting sqref="B75:AG76 B80:AG80">
    <cfRule type="expression" dxfId="65" priority="43">
      <formula>B75&gt;$AG75</formula>
    </cfRule>
  </conditionalFormatting>
  <conditionalFormatting sqref="B80:AG80">
    <cfRule type="expression" dxfId="64" priority="44">
      <formula>B$9&gt;=20/24</formula>
    </cfRule>
    <cfRule type="expression" dxfId="63" priority="45">
      <formula>AND(B$9&gt;=14/24,B$9&lt;20/24)</formula>
    </cfRule>
    <cfRule type="expression" dxfId="62" priority="46">
      <formula>AND(B$9&gt;=8/24,B$9&lt;14/24)</formula>
    </cfRule>
    <cfRule type="expression" dxfId="61" priority="47">
      <formula>B$9&lt;8/24</formula>
    </cfRule>
  </conditionalFormatting>
  <conditionalFormatting sqref="F63:L65">
    <cfRule type="expression" dxfId="60" priority="99">
      <formula>F$9&lt;8/24</formula>
    </cfRule>
    <cfRule type="expression" dxfId="59" priority="98">
      <formula>AND(F$9&gt;=8/24,F$9&lt;14/24)</formula>
    </cfRule>
    <cfRule type="expression" dxfId="58" priority="97">
      <formula>AND(F$9&gt;=14/24,F$9&lt;20/24)</formula>
    </cfRule>
    <cfRule type="expression" dxfId="57" priority="96">
      <formula>F$9&gt;=20/24</formula>
    </cfRule>
  </conditionalFormatting>
  <conditionalFormatting sqref="F68:R68">
    <cfRule type="expression" dxfId="56" priority="74">
      <formula>AND(F$9&gt;=14/24,F$9&lt;20/24)</formula>
    </cfRule>
    <cfRule type="expression" dxfId="55" priority="75">
      <formula>AND(F$9&gt;=8/24,F$9&lt;14/24)</formula>
    </cfRule>
    <cfRule type="expression" dxfId="54" priority="76">
      <formula>F$9&lt;8/24</formula>
    </cfRule>
    <cfRule type="expression" dxfId="53" priority="73">
      <formula>F$9&gt;=20/24</formula>
    </cfRule>
  </conditionalFormatting>
  <conditionalFormatting sqref="F69:AF74">
    <cfRule type="expression" dxfId="52" priority="63">
      <formula>F$9&gt;=20/24</formula>
    </cfRule>
    <cfRule type="expression" dxfId="51" priority="64">
      <formula>AND(F$9&gt;=14/24,F$9&lt;20/24)</formula>
    </cfRule>
    <cfRule type="expression" dxfId="50" priority="66">
      <formula>F$9&lt;8/24</formula>
    </cfRule>
    <cfRule type="expression" dxfId="49" priority="65">
      <formula>AND(F$9&gt;=8/24,F$9&lt;14/24)</formula>
    </cfRule>
  </conditionalFormatting>
  <conditionalFormatting sqref="K53:AF55">
    <cfRule type="expression" dxfId="48" priority="72">
      <formula>K53&gt;$AG53</formula>
    </cfRule>
  </conditionalFormatting>
  <conditionalFormatting sqref="K53:AF57 B56:L56">
    <cfRule type="expression" dxfId="47" priority="71">
      <formula>B$9&lt;8/24</formula>
    </cfRule>
  </conditionalFormatting>
  <conditionalFormatting sqref="M63:R67">
    <cfRule type="expression" dxfId="46" priority="102">
      <formula>AND(M$9&gt;=8/24,M$9&lt;14/24)</formula>
    </cfRule>
    <cfRule type="expression" dxfId="45" priority="100">
      <formula>M$9&gt;=20/24</formula>
    </cfRule>
    <cfRule type="expression" dxfId="44" priority="101">
      <formula>AND(M$9&gt;=14/24,M$9&lt;20/24)</formula>
    </cfRule>
    <cfRule type="expression" dxfId="43" priority="103">
      <formula>M$9&lt;8/24</formula>
    </cfRule>
  </conditionalFormatting>
  <conditionalFormatting sqref="O3:P3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2" priority="121">
      <formula>C$9&gt;=20/24</formula>
    </cfRule>
  </conditionalFormatting>
  <conditionalFormatting sqref="S8">
    <cfRule type="expression" dxfId="41" priority="110">
      <formula>AND(U$9&gt;=8/24,U$9&lt;14/24)</formula>
    </cfRule>
    <cfRule type="expression" dxfId="40" priority="111">
      <formula>U$9&lt;8/24</formula>
    </cfRule>
    <cfRule type="expression" dxfId="39" priority="108">
      <formula>U$9&gt;=20/24</formula>
    </cfRule>
    <cfRule type="expression" dxfId="38" priority="109">
      <formula>AND(U$9&gt;=14/24,U$9&lt;20/24)</formula>
    </cfRule>
  </conditionalFormatting>
  <conditionalFormatting sqref="S63:AF68">
    <cfRule type="expression" dxfId="37" priority="67">
      <formula>S$9&gt;=20/24</formula>
    </cfRule>
    <cfRule type="expression" dxfId="36" priority="68">
      <formula>AND(S$9&gt;=14/24,S$9&lt;20/24)</formula>
    </cfRule>
    <cfRule type="expression" dxfId="35" priority="70">
      <formula>S$9&lt;8/24</formula>
    </cfRule>
    <cfRule type="expression" dxfId="34" priority="69">
      <formula>AND(S$9&gt;=8/24,S$9&lt;14/24)</formula>
    </cfRule>
  </conditionalFormatting>
  <conditionalFormatting sqref="T260">
    <cfRule type="expression" dxfId="33" priority="136">
      <formula>AX$9&lt;8/24</formula>
    </cfRule>
    <cfRule type="expression" dxfId="32" priority="134">
      <formula>AND(AX$9&gt;=14/24,AX$9&lt;20/24)</formula>
    </cfRule>
    <cfRule type="expression" dxfId="31" priority="133">
      <formula>AX$9&gt;=20/24</formula>
    </cfRule>
    <cfRule type="expression" dxfId="30" priority="135">
      <formula>AND(AX$9&gt;=8/24,AX$9&lt;14/24)</formula>
    </cfRule>
  </conditionalFormatting>
  <conditionalFormatting sqref="V3 AB3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9" priority="104">
      <formula>AD$9&gt;=20/24</formula>
    </cfRule>
    <cfRule type="expression" dxfId="28" priority="105">
      <formula>AND(AD$9&gt;=14/24,AD$9&lt;20/24)</formula>
    </cfRule>
    <cfRule type="expression" dxfId="27" priority="106">
      <formula>AND(AD$9&gt;=8/24,AD$9&lt;14/24)</formula>
    </cfRule>
    <cfRule type="expression" dxfId="26" priority="107">
      <formula>AD$9&lt;8/24</formula>
    </cfRule>
  </conditionalFormatting>
  <conditionalFormatting sqref="AG58">
    <cfRule type="expression" dxfId="25" priority="91">
      <formula>AG58&gt;$AG58</formula>
    </cfRule>
  </conditionalFormatting>
  <conditionalFormatting sqref="AG97">
    <cfRule type="expression" dxfId="24" priority="92">
      <formula>AG$9&gt;=20/24</formula>
    </cfRule>
    <cfRule type="expression" dxfId="23" priority="93">
      <formula>AND(AG$9&gt;=14/24,AG$9&lt;20/24)</formula>
    </cfRule>
    <cfRule type="expression" dxfId="22" priority="94">
      <formula>AND(AG$9&gt;=8/24,AG$9&lt;14/24)</formula>
    </cfRule>
    <cfRule type="expression" dxfId="21" priority="95">
      <formula>AG$9&lt;8/24</formula>
    </cfRule>
  </conditionalFormatting>
  <conditionalFormatting sqref="AG260">
    <cfRule type="expression" dxfId="20" priority="127">
      <formula>AND(B$9&gt;=8/24,B$9&lt;14/24)</formula>
    </cfRule>
    <cfRule type="expression" dxfId="19" priority="128">
      <formula>B$9&lt;8/24</formula>
    </cfRule>
    <cfRule type="expression" dxfId="18" priority="125">
      <formula>B$9&gt;=20/24</formula>
    </cfRule>
    <cfRule type="expression" dxfId="17" priority="126">
      <formula>AND(B$9&gt;=14/24,B$9&lt;20/24)</formula>
    </cfRule>
  </conditionalFormatting>
  <conditionalFormatting sqref="AH260:AX260">
    <cfRule type="expression" dxfId="16" priority="129">
      <formula>AG$9&gt;=20/24</formula>
    </cfRule>
    <cfRule type="expression" dxfId="15" priority="130">
      <formula>AND(AG$9&gt;=14/24,AG$9&lt;20/24)</formula>
    </cfRule>
    <cfRule type="expression" dxfId="14" priority="131">
      <formula>AND(AG$9&gt;=8/24,AG$9&lt;14/24)</formula>
    </cfRule>
    <cfRule type="expression" dxfId="13" priority="132">
      <formula>AG$9&lt;8/24</formula>
    </cfRule>
  </conditionalFormatting>
  <conditionalFormatting sqref="AL4:AL6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9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2" priority="138">
      <formula>AJ$9&gt;=20/24</formula>
    </cfRule>
    <cfRule type="expression" dxfId="11" priority="139">
      <formula>AND(AJ$9&gt;=14/24,AJ$9&lt;20/24)</formula>
    </cfRule>
    <cfRule type="expression" dxfId="10" priority="140">
      <formula>AND(AJ$9&gt;=8/24,AJ$9&lt;14/24)</formula>
    </cfRule>
    <cfRule type="expression" dxfId="9" priority="141">
      <formula>AJ$9&lt;8/24</formula>
    </cfRule>
  </conditionalFormatting>
  <conditionalFormatting sqref="AL88:AN88 AL94:AN94">
    <cfRule type="expression" dxfId="8" priority="87">
      <formula>AL$9&lt;8/24</formula>
    </cfRule>
    <cfRule type="expression" dxfId="7" priority="85">
      <formula>AND(AL$9&gt;=14/24,AL$9&lt;20/24)</formula>
    </cfRule>
    <cfRule type="expression" dxfId="6" priority="84">
      <formula>AL$9&gt;=20/24</formula>
    </cfRule>
    <cfRule type="expression" dxfId="5" priority="86">
      <formula>AND(AL$9&gt;=8/24,AL$9&lt;14/24)</formula>
    </cfRule>
  </conditionalFormatting>
  <conditionalFormatting sqref="AN89:AN92">
    <cfRule type="expression" dxfId="4" priority="83">
      <formula>AN$9&lt;8/24</formula>
    </cfRule>
    <cfRule type="expression" dxfId="3" priority="82">
      <formula>AND(AN$9&gt;=8/24,AN$9&lt;14/24)</formula>
    </cfRule>
    <cfRule type="expression" dxfId="2" priority="81">
      <formula>AND(AN$9&gt;=14/24,AN$9&lt;20/24)</formula>
    </cfRule>
    <cfRule type="expression" dxfId="1" priority="80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8438-2E17-4A43-B584-01F9D0D4A896}">
  <sheetPr codeName="Sheet30"/>
  <dimension ref="M10"/>
  <sheetViews>
    <sheetView workbookViewId="0">
      <selection activeCell="M10" sqref="M10"/>
    </sheetView>
  </sheetViews>
  <sheetFormatPr defaultRowHeight="15" x14ac:dyDescent="0.25"/>
  <sheetData>
    <row r="10" spans="13:13" x14ac:dyDescent="0.25">
      <c r="M10">
        <f>110+70+45+46+12</f>
        <v>283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B9E4-E021-4DE9-9804-80E24094011A}">
  <sheetPr codeName="Sheet4"/>
  <dimension ref="C10:G13"/>
  <sheetViews>
    <sheetView workbookViewId="0">
      <selection activeCell="G13" sqref="G13"/>
    </sheetView>
  </sheetViews>
  <sheetFormatPr defaultRowHeight="15" x14ac:dyDescent="0.25"/>
  <sheetData>
    <row r="10" spans="3:7" x14ac:dyDescent="0.25">
      <c r="C10">
        <v>4</v>
      </c>
      <c r="D10">
        <v>2494</v>
      </c>
      <c r="E10">
        <v>453</v>
      </c>
      <c r="F10">
        <v>11542</v>
      </c>
    </row>
    <row r="11" spans="3:7" x14ac:dyDescent="0.25">
      <c r="C11">
        <v>6</v>
      </c>
      <c r="D11">
        <v>2423</v>
      </c>
      <c r="E11">
        <v>380</v>
      </c>
      <c r="F11">
        <v>11351</v>
      </c>
    </row>
    <row r="12" spans="3:7" x14ac:dyDescent="0.25">
      <c r="C12">
        <v>11</v>
      </c>
      <c r="D12">
        <f>D10-D11</f>
        <v>71</v>
      </c>
      <c r="E12">
        <f t="shared" ref="E12:F12" si="0">E10-E11</f>
        <v>73</v>
      </c>
      <c r="F12">
        <f t="shared" si="0"/>
        <v>191</v>
      </c>
      <c r="G12">
        <f>F12-D12</f>
        <v>120</v>
      </c>
    </row>
    <row r="13" spans="3:7" x14ac:dyDescent="0.25">
      <c r="C13">
        <f>C12-C11-C10</f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8476-2E86-4E90-A293-C7F328318C88}">
  <sheetPr codeName="Sheet31"/>
  <dimension ref="A1:T105"/>
  <sheetViews>
    <sheetView topLeftCell="A74" workbookViewId="0">
      <selection activeCell="B106" sqref="B106"/>
    </sheetView>
  </sheetViews>
  <sheetFormatPr defaultRowHeight="15" x14ac:dyDescent="0.25"/>
  <cols>
    <col min="1" max="1" width="21.42578125" customWidth="1"/>
    <col min="2" max="2" width="25.42578125" customWidth="1"/>
    <col min="3" max="3" width="12.5703125" customWidth="1"/>
    <col min="4" max="4" width="15" customWidth="1"/>
    <col min="5" max="8" width="10.42578125" bestFit="1" customWidth="1"/>
    <col min="9" max="9" width="17.5703125" customWidth="1"/>
    <col min="10" max="11" width="10.42578125" bestFit="1" customWidth="1"/>
    <col min="12" max="12" width="15.140625" customWidth="1"/>
    <col min="13" max="13" width="10.42578125" bestFit="1" customWidth="1"/>
    <col min="14" max="14" width="15.140625" customWidth="1"/>
    <col min="15" max="15" width="17.140625" customWidth="1"/>
    <col min="16" max="16" width="11.42578125" bestFit="1" customWidth="1"/>
    <col min="18" max="18" width="18.140625" customWidth="1"/>
  </cols>
  <sheetData>
    <row r="1" spans="1:18" x14ac:dyDescent="0.25">
      <c r="A1" t="s">
        <v>278</v>
      </c>
      <c r="B1">
        <v>60171</v>
      </c>
    </row>
    <row r="2" spans="1:18" x14ac:dyDescent="0.25">
      <c r="A2" t="s">
        <v>279</v>
      </c>
      <c r="B2">
        <v>60176</v>
      </c>
      <c r="C2">
        <v>19.3</v>
      </c>
    </row>
    <row r="3" spans="1:18" x14ac:dyDescent="0.25">
      <c r="A3" t="s">
        <v>280</v>
      </c>
      <c r="B3">
        <v>60175</v>
      </c>
      <c r="C3">
        <v>12</v>
      </c>
    </row>
    <row r="4" spans="1:18" x14ac:dyDescent="0.25">
      <c r="A4" t="s">
        <v>281</v>
      </c>
      <c r="B4">
        <v>60174</v>
      </c>
      <c r="C4">
        <v>5.7</v>
      </c>
    </row>
    <row r="5" spans="1:18" x14ac:dyDescent="0.25">
      <c r="A5" t="s">
        <v>282</v>
      </c>
      <c r="B5">
        <v>60173</v>
      </c>
      <c r="C5">
        <v>26</v>
      </c>
      <c r="P5">
        <v>16</v>
      </c>
    </row>
    <row r="6" spans="1:18" x14ac:dyDescent="0.25">
      <c r="A6" t="s">
        <v>283</v>
      </c>
      <c r="C6">
        <v>5</v>
      </c>
      <c r="O6" t="s">
        <v>284</v>
      </c>
      <c r="P6">
        <v>8</v>
      </c>
      <c r="Q6" t="s">
        <v>285</v>
      </c>
    </row>
    <row r="7" spans="1:18" x14ac:dyDescent="0.25">
      <c r="C7">
        <f>SUM(C2:C6)+15</f>
        <v>83</v>
      </c>
      <c r="O7" t="s">
        <v>286</v>
      </c>
      <c r="P7" t="s">
        <v>287</v>
      </c>
      <c r="Q7">
        <v>125</v>
      </c>
    </row>
    <row r="8" spans="1:18" x14ac:dyDescent="0.25">
      <c r="H8" t="s">
        <v>288</v>
      </c>
      <c r="I8">
        <v>638400</v>
      </c>
      <c r="O8" t="s">
        <v>289</v>
      </c>
    </row>
    <row r="11" spans="1:18" x14ac:dyDescent="0.25">
      <c r="O11" t="s">
        <v>290</v>
      </c>
      <c r="P11" t="s">
        <v>291</v>
      </c>
      <c r="Q11" t="s">
        <v>292</v>
      </c>
    </row>
    <row r="12" spans="1:18" x14ac:dyDescent="0.25">
      <c r="P12" t="s">
        <v>293</v>
      </c>
      <c r="Q12" t="s">
        <v>294</v>
      </c>
    </row>
    <row r="13" spans="1:18" x14ac:dyDescent="0.25">
      <c r="A13" s="185" t="s">
        <v>63</v>
      </c>
      <c r="B13" s="185"/>
      <c r="K13">
        <v>82.834999999999994</v>
      </c>
      <c r="P13" t="s">
        <v>295</v>
      </c>
    </row>
    <row r="14" spans="1:18" x14ac:dyDescent="0.25">
      <c r="A14" s="185" t="s">
        <v>64</v>
      </c>
      <c r="B14" s="185">
        <v>70</v>
      </c>
    </row>
    <row r="15" spans="1:18" x14ac:dyDescent="0.25">
      <c r="A15" s="185" t="s">
        <v>65</v>
      </c>
      <c r="B15" s="185">
        <v>69</v>
      </c>
      <c r="O15" t="s">
        <v>296</v>
      </c>
      <c r="P15" t="s">
        <v>297</v>
      </c>
    </row>
    <row r="16" spans="1:18" x14ac:dyDescent="0.25">
      <c r="A16" s="185" t="s">
        <v>66</v>
      </c>
      <c r="B16" s="185">
        <v>60</v>
      </c>
      <c r="N16">
        <f>76*4</f>
        <v>304</v>
      </c>
      <c r="P16" t="s">
        <v>298</v>
      </c>
      <c r="Q16" t="s">
        <v>299</v>
      </c>
      <c r="R16" t="s">
        <v>300</v>
      </c>
    </row>
    <row r="17" spans="1:20" x14ac:dyDescent="0.25">
      <c r="A17" s="185" t="s">
        <v>67</v>
      </c>
      <c r="B17" s="185">
        <v>30</v>
      </c>
    </row>
    <row r="18" spans="1:20" x14ac:dyDescent="0.25">
      <c r="A18" s="185" t="s">
        <v>69</v>
      </c>
      <c r="B18" s="185">
        <v>14.8</v>
      </c>
      <c r="O18" t="s">
        <v>301</v>
      </c>
      <c r="P18" t="s">
        <v>302</v>
      </c>
      <c r="Q18" t="s">
        <v>303</v>
      </c>
      <c r="R18" t="s">
        <v>304</v>
      </c>
    </row>
    <row r="19" spans="1:20" x14ac:dyDescent="0.25">
      <c r="A19" s="185" t="s">
        <v>70</v>
      </c>
      <c r="B19" s="185"/>
      <c r="P19" t="s">
        <v>305</v>
      </c>
    </row>
    <row r="20" spans="1:20" x14ac:dyDescent="0.25">
      <c r="A20" s="185" t="s">
        <v>71</v>
      </c>
      <c r="B20" s="185">
        <v>13</v>
      </c>
      <c r="P20" t="s">
        <v>306</v>
      </c>
      <c r="Q20" t="s">
        <v>307</v>
      </c>
    </row>
    <row r="21" spans="1:20" x14ac:dyDescent="0.25">
      <c r="A21" s="185" t="s">
        <v>72</v>
      </c>
      <c r="B21" s="185">
        <v>14</v>
      </c>
      <c r="P21" t="s">
        <v>308</v>
      </c>
      <c r="Q21" t="s">
        <v>309</v>
      </c>
    </row>
    <row r="22" spans="1:20" x14ac:dyDescent="0.25">
      <c r="A22" s="185" t="s">
        <v>73</v>
      </c>
      <c r="B22" s="185"/>
    </row>
    <row r="23" spans="1:20" x14ac:dyDescent="0.25">
      <c r="A23" s="185" t="s">
        <v>74</v>
      </c>
      <c r="B23" s="185"/>
    </row>
    <row r="27" spans="1:20" x14ac:dyDescent="0.25">
      <c r="A27" s="185"/>
      <c r="B27" s="185"/>
      <c r="C27" s="186">
        <v>0.9</v>
      </c>
      <c r="D27" s="186">
        <v>0.8</v>
      </c>
      <c r="E27" s="186">
        <v>0.75</v>
      </c>
      <c r="F27" s="186">
        <v>0.75</v>
      </c>
      <c r="G27" s="186">
        <v>0.2</v>
      </c>
    </row>
    <row r="28" spans="1:20" x14ac:dyDescent="0.25">
      <c r="A28" s="185" t="s">
        <v>310</v>
      </c>
      <c r="B28" s="185">
        <v>30</v>
      </c>
      <c r="C28">
        <f>B28*$C$27</f>
        <v>27</v>
      </c>
      <c r="D28">
        <f>B28*$D$27</f>
        <v>24</v>
      </c>
      <c r="E28">
        <f>B28*$E$27</f>
        <v>22.5</v>
      </c>
      <c r="F28">
        <f>$F$27*B28</f>
        <v>22.5</v>
      </c>
      <c r="G28">
        <f>B28*$G$27</f>
        <v>6</v>
      </c>
      <c r="H28">
        <v>22.5</v>
      </c>
      <c r="L28" t="s">
        <v>311</v>
      </c>
      <c r="M28">
        <v>40</v>
      </c>
      <c r="O28" t="s">
        <v>312</v>
      </c>
      <c r="P28">
        <v>60174</v>
      </c>
      <c r="Q28">
        <v>56</v>
      </c>
      <c r="S28" t="s">
        <v>313</v>
      </c>
      <c r="T28">
        <v>60086</v>
      </c>
    </row>
    <row r="29" spans="1:20" x14ac:dyDescent="0.25">
      <c r="A29" s="185" t="s">
        <v>314</v>
      </c>
      <c r="B29" s="185">
        <v>13</v>
      </c>
      <c r="C29">
        <v>13</v>
      </c>
      <c r="D29">
        <v>13</v>
      </c>
      <c r="E29">
        <v>13</v>
      </c>
      <c r="F29">
        <v>13</v>
      </c>
      <c r="G29">
        <v>8</v>
      </c>
      <c r="H29">
        <v>0</v>
      </c>
      <c r="L29" t="s">
        <v>315</v>
      </c>
      <c r="M29">
        <v>5</v>
      </c>
      <c r="O29" t="s">
        <v>316</v>
      </c>
      <c r="P29">
        <v>60173</v>
      </c>
    </row>
    <row r="30" spans="1:20" x14ac:dyDescent="0.25">
      <c r="A30" s="185" t="s">
        <v>317</v>
      </c>
      <c r="B30" s="185">
        <v>25</v>
      </c>
      <c r="C30">
        <f>B30*$C$27</f>
        <v>22.5</v>
      </c>
      <c r="D30">
        <f>B30*$D$27</f>
        <v>20</v>
      </c>
      <c r="E30">
        <f>B30*$E$27</f>
        <v>18.75</v>
      </c>
      <c r="F30">
        <f>$F$27*B30</f>
        <v>18.75</v>
      </c>
      <c r="G30">
        <f>B30*$G$27</f>
        <v>5</v>
      </c>
      <c r="H30">
        <v>14.35</v>
      </c>
      <c r="L30" t="s">
        <v>318</v>
      </c>
      <c r="M30">
        <v>14</v>
      </c>
    </row>
    <row r="31" spans="1:20" x14ac:dyDescent="0.25">
      <c r="A31" s="185" t="s">
        <v>319</v>
      </c>
      <c r="B31" s="185">
        <v>27</v>
      </c>
      <c r="C31">
        <f>B31*$C$27</f>
        <v>24.3</v>
      </c>
      <c r="D31">
        <f>B31*$D$27</f>
        <v>21.6</v>
      </c>
      <c r="E31">
        <f>B31*$E$27</f>
        <v>20.25</v>
      </c>
      <c r="F31">
        <f>$F$27*B31</f>
        <v>20.25</v>
      </c>
      <c r="G31">
        <f>B31*$G$27</f>
        <v>5.4</v>
      </c>
      <c r="H31">
        <v>13.2</v>
      </c>
      <c r="L31" t="s">
        <v>320</v>
      </c>
      <c r="M31">
        <v>10</v>
      </c>
    </row>
    <row r="32" spans="1:20" x14ac:dyDescent="0.25">
      <c r="A32" s="185" t="s">
        <v>321</v>
      </c>
      <c r="B32" s="185">
        <v>12</v>
      </c>
      <c r="C32">
        <f>B32*$C$27</f>
        <v>10.8</v>
      </c>
      <c r="D32">
        <f>B32*$D$27</f>
        <v>9.6000000000000014</v>
      </c>
      <c r="E32">
        <f>B32*$E$27</f>
        <v>9</v>
      </c>
      <c r="F32">
        <f>$F$27*B32</f>
        <v>9</v>
      </c>
      <c r="G32">
        <f>B32*$G$27</f>
        <v>2.4000000000000004</v>
      </c>
      <c r="H32">
        <v>6.5</v>
      </c>
      <c r="L32" t="s">
        <v>322</v>
      </c>
      <c r="M32">
        <v>20</v>
      </c>
    </row>
    <row r="33" spans="1:17" x14ac:dyDescent="0.25">
      <c r="A33" s="185" t="s">
        <v>323</v>
      </c>
      <c r="B33" s="185">
        <v>8.6</v>
      </c>
      <c r="C33">
        <f>B33*$C$27</f>
        <v>7.74</v>
      </c>
      <c r="D33">
        <f>B33*$D$27</f>
        <v>6.88</v>
      </c>
      <c r="E33">
        <f>B33*$E$27</f>
        <v>6.4499999999999993</v>
      </c>
      <c r="F33">
        <f>$F$27*B33</f>
        <v>6.4499999999999993</v>
      </c>
      <c r="G33">
        <f>B33*$G$27</f>
        <v>1.72</v>
      </c>
      <c r="H33">
        <v>7.5</v>
      </c>
      <c r="I33">
        <v>8</v>
      </c>
      <c r="M33">
        <f>SUM(M28:M32)</f>
        <v>89</v>
      </c>
    </row>
    <row r="34" spans="1:17" x14ac:dyDescent="0.25">
      <c r="A34" s="185" t="s">
        <v>324</v>
      </c>
      <c r="B34" s="187">
        <f>SUM(B28:B33)</f>
        <v>115.6</v>
      </c>
      <c r="C34">
        <f>SUM(C28:C33)</f>
        <v>105.33999999999999</v>
      </c>
      <c r="D34">
        <f t="shared" ref="D34:E34" si="0">SUM(D29:D33)</f>
        <v>71.08</v>
      </c>
      <c r="E34">
        <f t="shared" si="0"/>
        <v>67.45</v>
      </c>
      <c r="F34">
        <f>SUM(F29:F33)</f>
        <v>67.45</v>
      </c>
      <c r="G34">
        <f>SUM(G29:G33)</f>
        <v>22.519999999999996</v>
      </c>
      <c r="H34">
        <f>SUM(H28:H33)</f>
        <v>64.05</v>
      </c>
    </row>
    <row r="35" spans="1:17" x14ac:dyDescent="0.25">
      <c r="H35">
        <f>5.4+20.7</f>
        <v>26.1</v>
      </c>
    </row>
    <row r="36" spans="1:17" ht="30" x14ac:dyDescent="0.25">
      <c r="G36" s="188" t="s">
        <v>325</v>
      </c>
      <c r="H36" s="189">
        <f>H34-H35</f>
        <v>37.949999999999996</v>
      </c>
    </row>
    <row r="37" spans="1:17" x14ac:dyDescent="0.25">
      <c r="A37" s="185" t="s">
        <v>326</v>
      </c>
      <c r="B37" s="185"/>
      <c r="G37" t="s">
        <v>243</v>
      </c>
      <c r="H37">
        <v>40</v>
      </c>
    </row>
    <row r="38" spans="1:17" x14ac:dyDescent="0.25">
      <c r="A38" s="185"/>
      <c r="B38" s="185"/>
      <c r="G38" t="s">
        <v>244</v>
      </c>
      <c r="H38">
        <v>15</v>
      </c>
    </row>
    <row r="39" spans="1:17" x14ac:dyDescent="0.25">
      <c r="A39" s="185" t="s">
        <v>327</v>
      </c>
      <c r="B39" s="185">
        <v>11</v>
      </c>
      <c r="G39" t="s">
        <v>245</v>
      </c>
      <c r="H39">
        <v>35</v>
      </c>
    </row>
    <row r="40" spans="1:17" x14ac:dyDescent="0.25">
      <c r="A40" s="185" t="s">
        <v>328</v>
      </c>
      <c r="B40" s="185"/>
      <c r="G40" t="s">
        <v>329</v>
      </c>
      <c r="M40">
        <f>4*76</f>
        <v>304</v>
      </c>
    </row>
    <row r="41" spans="1:17" x14ac:dyDescent="0.25">
      <c r="A41" s="185" t="s">
        <v>330</v>
      </c>
      <c r="B41" s="185">
        <v>9.5</v>
      </c>
      <c r="C41">
        <v>5.5</v>
      </c>
      <c r="G41" t="s">
        <v>331</v>
      </c>
      <c r="K41" s="258" t="s">
        <v>332</v>
      </c>
      <c r="L41" t="s">
        <v>333</v>
      </c>
      <c r="M41">
        <v>1361</v>
      </c>
      <c r="N41" t="s">
        <v>334</v>
      </c>
      <c r="O41">
        <v>350</v>
      </c>
      <c r="P41" t="s">
        <v>335</v>
      </c>
      <c r="Q41">
        <v>456</v>
      </c>
    </row>
    <row r="42" spans="1:17" x14ac:dyDescent="0.25">
      <c r="A42" s="185" t="s">
        <v>336</v>
      </c>
      <c r="B42" s="185">
        <v>2.5</v>
      </c>
      <c r="G42" t="s">
        <v>337</v>
      </c>
      <c r="K42" s="258"/>
      <c r="L42" t="s">
        <v>338</v>
      </c>
      <c r="M42">
        <v>991</v>
      </c>
      <c r="N42" t="s">
        <v>339</v>
      </c>
      <c r="O42">
        <v>300</v>
      </c>
      <c r="P42" t="s">
        <v>340</v>
      </c>
      <c r="Q42">
        <v>65</v>
      </c>
    </row>
    <row r="43" spans="1:17" x14ac:dyDescent="0.25">
      <c r="A43" s="185" t="s">
        <v>341</v>
      </c>
      <c r="B43" s="185">
        <v>7.5</v>
      </c>
      <c r="C43">
        <v>4</v>
      </c>
      <c r="G43" t="s">
        <v>342</v>
      </c>
      <c r="L43" t="s">
        <v>343</v>
      </c>
      <c r="M43">
        <f>M41-M42</f>
        <v>370</v>
      </c>
      <c r="N43" t="s">
        <v>344</v>
      </c>
      <c r="O43">
        <v>50</v>
      </c>
      <c r="P43" t="s">
        <v>345</v>
      </c>
      <c r="Q43">
        <f>Q41-Q42</f>
        <v>391</v>
      </c>
    </row>
    <row r="44" spans="1:17" x14ac:dyDescent="0.25">
      <c r="A44" s="185"/>
      <c r="B44" s="187"/>
      <c r="G44" t="s">
        <v>346</v>
      </c>
    </row>
    <row r="46" spans="1:17" x14ac:dyDescent="0.25">
      <c r="A46" s="185" t="s">
        <v>347</v>
      </c>
      <c r="B46" s="185">
        <v>60084</v>
      </c>
      <c r="L46" t="s">
        <v>345</v>
      </c>
    </row>
    <row r="47" spans="1:17" x14ac:dyDescent="0.25">
      <c r="A47" s="185" t="s">
        <v>348</v>
      </c>
      <c r="B47" s="185">
        <v>17551</v>
      </c>
      <c r="L47" t="s">
        <v>349</v>
      </c>
    </row>
    <row r="48" spans="1:17" x14ac:dyDescent="0.25">
      <c r="A48" s="185" t="s">
        <v>350</v>
      </c>
      <c r="B48" s="190">
        <v>10.5</v>
      </c>
      <c r="L48" t="s">
        <v>351</v>
      </c>
    </row>
    <row r="49" spans="1:9" x14ac:dyDescent="0.25">
      <c r="A49" s="185" t="s">
        <v>352</v>
      </c>
      <c r="B49" s="190">
        <v>9.5</v>
      </c>
      <c r="C49">
        <v>9.5</v>
      </c>
    </row>
    <row r="50" spans="1:9" x14ac:dyDescent="0.25">
      <c r="A50" s="185"/>
      <c r="B50" s="190"/>
    </row>
    <row r="51" spans="1:9" x14ac:dyDescent="0.25">
      <c r="A51" s="185" t="s">
        <v>353</v>
      </c>
      <c r="B51" s="185">
        <v>2</v>
      </c>
    </row>
    <row r="52" spans="1:9" x14ac:dyDescent="0.25">
      <c r="A52" s="185"/>
      <c r="B52" s="191"/>
    </row>
    <row r="54" spans="1:9" x14ac:dyDescent="0.25">
      <c r="A54" s="185" t="s">
        <v>354</v>
      </c>
      <c r="B54" s="185">
        <v>60092</v>
      </c>
    </row>
    <row r="55" spans="1:9" x14ac:dyDescent="0.25">
      <c r="A55" s="185" t="s">
        <v>355</v>
      </c>
      <c r="B55" s="185"/>
    </row>
    <row r="56" spans="1:9" x14ac:dyDescent="0.25">
      <c r="A56" s="192" t="s">
        <v>356</v>
      </c>
      <c r="B56" s="185"/>
    </row>
    <row r="57" spans="1:9" x14ac:dyDescent="0.25">
      <c r="A57" s="185" t="s">
        <v>357</v>
      </c>
      <c r="B57" s="185">
        <v>60091</v>
      </c>
    </row>
    <row r="58" spans="1:9" x14ac:dyDescent="0.25">
      <c r="A58" s="185" t="s">
        <v>358</v>
      </c>
      <c r="B58" s="185">
        <v>60086</v>
      </c>
    </row>
    <row r="59" spans="1:9" x14ac:dyDescent="0.25">
      <c r="A59" s="185" t="s">
        <v>359</v>
      </c>
      <c r="B59" s="185"/>
    </row>
    <row r="60" spans="1:9" x14ac:dyDescent="0.25">
      <c r="A60" s="185" t="s">
        <v>360</v>
      </c>
      <c r="B60" s="185"/>
    </row>
    <row r="61" spans="1:9" x14ac:dyDescent="0.25">
      <c r="A61" s="185" t="s">
        <v>361</v>
      </c>
      <c r="B61" s="185">
        <v>17</v>
      </c>
    </row>
    <row r="62" spans="1:9" x14ac:dyDescent="0.25">
      <c r="A62" s="185" t="s">
        <v>362</v>
      </c>
      <c r="B62" s="185">
        <v>4</v>
      </c>
      <c r="I62">
        <v>121</v>
      </c>
    </row>
    <row r="63" spans="1:9" x14ac:dyDescent="0.25">
      <c r="A63" s="185" t="s">
        <v>363</v>
      </c>
      <c r="B63" s="185">
        <v>2.4</v>
      </c>
      <c r="I63">
        <v>10.5</v>
      </c>
    </row>
    <row r="64" spans="1:9" x14ac:dyDescent="0.25">
      <c r="A64" s="185"/>
      <c r="B64" s="178" t="s">
        <v>364</v>
      </c>
      <c r="I64">
        <v>84</v>
      </c>
    </row>
    <row r="65" spans="1:9" x14ac:dyDescent="0.25">
      <c r="A65" s="185"/>
      <c r="B65" s="178"/>
      <c r="I65">
        <v>14</v>
      </c>
    </row>
    <row r="66" spans="1:9" x14ac:dyDescent="0.25">
      <c r="A66" s="185" t="s">
        <v>365</v>
      </c>
      <c r="B66" s="178">
        <v>60093</v>
      </c>
      <c r="I66">
        <v>12</v>
      </c>
    </row>
    <row r="67" spans="1:9" x14ac:dyDescent="0.25">
      <c r="A67" s="185" t="s">
        <v>366</v>
      </c>
      <c r="B67" s="178">
        <v>60087</v>
      </c>
      <c r="H67" t="s">
        <v>367</v>
      </c>
      <c r="I67">
        <v>3.1</v>
      </c>
    </row>
    <row r="68" spans="1:9" x14ac:dyDescent="0.25">
      <c r="B68" s="193"/>
      <c r="I68">
        <f>SUM(I62:I66)-I67</f>
        <v>238.4</v>
      </c>
    </row>
    <row r="69" spans="1:9" ht="15.75" thickBot="1" x14ac:dyDescent="0.3">
      <c r="A69" t="s">
        <v>301</v>
      </c>
      <c r="B69" s="193" t="s">
        <v>368</v>
      </c>
    </row>
    <row r="70" spans="1:9" x14ac:dyDescent="0.25">
      <c r="A70" t="s">
        <v>296</v>
      </c>
      <c r="B70" t="s">
        <v>369</v>
      </c>
      <c r="C70" t="s">
        <v>370</v>
      </c>
      <c r="I70" s="100" t="s">
        <v>119</v>
      </c>
    </row>
    <row r="71" spans="1:9" x14ac:dyDescent="0.25">
      <c r="A71" t="s">
        <v>290</v>
      </c>
      <c r="B71" t="s">
        <v>371</v>
      </c>
      <c r="C71" t="s">
        <v>372</v>
      </c>
      <c r="D71" t="s">
        <v>373</v>
      </c>
      <c r="E71" t="s">
        <v>374</v>
      </c>
      <c r="I71" s="103" t="s">
        <v>120</v>
      </c>
    </row>
    <row r="72" spans="1:9" x14ac:dyDescent="0.25">
      <c r="I72" s="103" t="s">
        <v>121</v>
      </c>
    </row>
    <row r="73" spans="1:9" x14ac:dyDescent="0.25">
      <c r="A73" t="s">
        <v>375</v>
      </c>
      <c r="B73" t="s">
        <v>393</v>
      </c>
      <c r="C73" t="s">
        <v>394</v>
      </c>
      <c r="D73" t="s">
        <v>395</v>
      </c>
      <c r="I73" s="103" t="s">
        <v>122</v>
      </c>
    </row>
    <row r="74" spans="1:9" x14ac:dyDescent="0.25">
      <c r="I74" s="116" t="s">
        <v>123</v>
      </c>
    </row>
    <row r="75" spans="1:9" x14ac:dyDescent="0.25">
      <c r="A75" t="s">
        <v>425</v>
      </c>
    </row>
    <row r="76" spans="1:9" x14ac:dyDescent="0.25">
      <c r="B76" t="s">
        <v>423</v>
      </c>
      <c r="C76" t="s">
        <v>424</v>
      </c>
    </row>
    <row r="84" spans="1:12" x14ac:dyDescent="0.25">
      <c r="B84" t="s">
        <v>376</v>
      </c>
    </row>
    <row r="85" spans="1:12" x14ac:dyDescent="0.25">
      <c r="A85" s="194">
        <v>0.7368055555555556</v>
      </c>
    </row>
    <row r="88" spans="1:12" x14ac:dyDescent="0.25">
      <c r="L88">
        <v>22</v>
      </c>
    </row>
    <row r="89" spans="1:12" x14ac:dyDescent="0.25">
      <c r="A89" t="s">
        <v>377</v>
      </c>
      <c r="B89" t="s">
        <v>378</v>
      </c>
      <c r="C89">
        <v>29</v>
      </c>
      <c r="D89">
        <v>10</v>
      </c>
      <c r="L89">
        <v>5</v>
      </c>
    </row>
    <row r="90" spans="1:12" x14ac:dyDescent="0.25">
      <c r="B90" t="s">
        <v>379</v>
      </c>
      <c r="C90">
        <v>25.8</v>
      </c>
      <c r="D90">
        <v>8.5</v>
      </c>
      <c r="L90">
        <v>10</v>
      </c>
    </row>
    <row r="91" spans="1:12" x14ac:dyDescent="0.25">
      <c r="B91" t="s">
        <v>380</v>
      </c>
      <c r="C91">
        <v>12.6</v>
      </c>
      <c r="D91">
        <v>4.4000000000000004</v>
      </c>
      <c r="L91">
        <v>8</v>
      </c>
    </row>
    <row r="92" spans="1:12" x14ac:dyDescent="0.25">
      <c r="B92" t="s">
        <v>381</v>
      </c>
      <c r="C92">
        <v>6.2</v>
      </c>
      <c r="D92">
        <v>3.5</v>
      </c>
      <c r="L92">
        <v>10</v>
      </c>
    </row>
    <row r="93" spans="1:12" x14ac:dyDescent="0.25">
      <c r="B93" t="s">
        <v>382</v>
      </c>
      <c r="C93">
        <v>7.6</v>
      </c>
      <c r="D93">
        <v>2.5</v>
      </c>
      <c r="L93">
        <v>20</v>
      </c>
    </row>
    <row r="94" spans="1:12" x14ac:dyDescent="0.25">
      <c r="B94" t="s">
        <v>383</v>
      </c>
      <c r="C94">
        <v>4</v>
      </c>
      <c r="D94">
        <v>1</v>
      </c>
      <c r="L94">
        <v>15</v>
      </c>
    </row>
    <row r="95" spans="1:12" x14ac:dyDescent="0.25">
      <c r="B95" t="s">
        <v>384</v>
      </c>
      <c r="C95">
        <v>8</v>
      </c>
      <c r="D95">
        <v>0</v>
      </c>
      <c r="L95">
        <f>SUM(L88:L94)</f>
        <v>90</v>
      </c>
    </row>
    <row r="96" spans="1:12" x14ac:dyDescent="0.25">
      <c r="B96" t="s">
        <v>385</v>
      </c>
      <c r="C96">
        <v>9.5</v>
      </c>
      <c r="D96">
        <v>5.75</v>
      </c>
    </row>
    <row r="97" spans="1:4" x14ac:dyDescent="0.25">
      <c r="C97">
        <f>SUM(C89:C96)</f>
        <v>102.69999999999999</v>
      </c>
    </row>
    <row r="98" spans="1:4" x14ac:dyDescent="0.25">
      <c r="A98" t="s">
        <v>390</v>
      </c>
      <c r="B98" t="s">
        <v>390</v>
      </c>
      <c r="C98" t="s">
        <v>392</v>
      </c>
      <c r="D98" t="s">
        <v>418</v>
      </c>
    </row>
    <row r="99" spans="1:4" x14ac:dyDescent="0.25">
      <c r="B99" t="s">
        <v>391</v>
      </c>
      <c r="C99" t="s">
        <v>392</v>
      </c>
    </row>
    <row r="101" spans="1:4" x14ac:dyDescent="0.25">
      <c r="A101" t="s">
        <v>419</v>
      </c>
      <c r="B101" t="s">
        <v>420</v>
      </c>
    </row>
    <row r="102" spans="1:4" x14ac:dyDescent="0.25">
      <c r="B102" t="s">
        <v>421</v>
      </c>
    </row>
    <row r="103" spans="1:4" x14ac:dyDescent="0.25">
      <c r="B103" t="s">
        <v>422</v>
      </c>
    </row>
    <row r="105" spans="1:4" x14ac:dyDescent="0.25">
      <c r="A105" t="s">
        <v>426</v>
      </c>
      <c r="B105" t="s">
        <v>427</v>
      </c>
    </row>
  </sheetData>
  <mergeCells count="1">
    <mergeCell ref="K41:K42"/>
  </mergeCells>
  <conditionalFormatting sqref="I70:I74">
    <cfRule type="expression" dxfId="0" priority="1">
      <formula>$AH70=0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F0AD-0D78-4018-AFBC-3599839C59F8}">
  <sheetPr codeName="Sheet32"/>
  <dimension ref="A1:C22"/>
  <sheetViews>
    <sheetView workbookViewId="0">
      <selection activeCell="J10" sqref="J10"/>
    </sheetView>
  </sheetViews>
  <sheetFormatPr defaultRowHeight="15" x14ac:dyDescent="0.25"/>
  <cols>
    <col min="1" max="1" width="26.42578125" customWidth="1"/>
    <col min="2" max="2" width="9.7109375" style="195" bestFit="1" customWidth="1"/>
    <col min="3" max="3" width="14.140625" customWidth="1"/>
  </cols>
  <sheetData>
    <row r="1" spans="1:3" ht="18.75" x14ac:dyDescent="0.3">
      <c r="A1" s="196"/>
      <c r="B1" s="197" t="s">
        <v>388</v>
      </c>
      <c r="C1" s="196" t="s">
        <v>389</v>
      </c>
    </row>
    <row r="2" spans="1:3" ht="18.75" x14ac:dyDescent="0.25">
      <c r="A2" s="198" t="s">
        <v>414</v>
      </c>
      <c r="B2" s="198">
        <v>0</v>
      </c>
      <c r="C2" s="198">
        <v>10.42</v>
      </c>
    </row>
    <row r="3" spans="1:3" ht="18.75" x14ac:dyDescent="0.25">
      <c r="A3" s="198" t="s">
        <v>396</v>
      </c>
      <c r="B3" s="198">
        <v>0</v>
      </c>
      <c r="C3" s="198">
        <v>12.97</v>
      </c>
    </row>
    <row r="4" spans="1:3" ht="18.75" x14ac:dyDescent="0.25">
      <c r="A4" s="198" t="s">
        <v>397</v>
      </c>
      <c r="B4" s="198">
        <v>0</v>
      </c>
      <c r="C4" s="198">
        <v>12.9</v>
      </c>
    </row>
    <row r="5" spans="1:3" ht="18.75" x14ac:dyDescent="0.25">
      <c r="A5" s="198" t="s">
        <v>398</v>
      </c>
      <c r="B5" s="198">
        <v>13.96</v>
      </c>
      <c r="C5" s="198">
        <v>15.78</v>
      </c>
    </row>
    <row r="6" spans="1:3" ht="18.75" x14ac:dyDescent="0.25">
      <c r="A6" s="198" t="s">
        <v>399</v>
      </c>
      <c r="B6" s="198">
        <v>25.36</v>
      </c>
      <c r="C6" s="198">
        <v>20.8</v>
      </c>
    </row>
    <row r="7" spans="1:3" ht="18.75" x14ac:dyDescent="0.25">
      <c r="A7" s="198" t="s">
        <v>400</v>
      </c>
      <c r="B7" s="198">
        <v>55.66</v>
      </c>
      <c r="C7" s="198">
        <v>21.88</v>
      </c>
    </row>
    <row r="8" spans="1:3" ht="18.75" x14ac:dyDescent="0.25">
      <c r="A8" s="198" t="s">
        <v>401</v>
      </c>
      <c r="B8" s="198">
        <v>143.91999999999999</v>
      </c>
      <c r="C8" s="198">
        <v>41.3</v>
      </c>
    </row>
    <row r="9" spans="1:3" ht="18.75" x14ac:dyDescent="0.25">
      <c r="A9" s="198" t="s">
        <v>402</v>
      </c>
      <c r="B9" s="198">
        <v>164.71</v>
      </c>
      <c r="C9" s="198">
        <v>45.88</v>
      </c>
    </row>
    <row r="10" spans="1:3" ht="18.75" x14ac:dyDescent="0.25">
      <c r="A10" s="198" t="s">
        <v>403</v>
      </c>
      <c r="B10" s="198">
        <v>150.03</v>
      </c>
      <c r="C10" s="198">
        <v>42.65</v>
      </c>
    </row>
    <row r="11" spans="1:3" ht="18.75" x14ac:dyDescent="0.25">
      <c r="A11" s="198" t="s">
        <v>404</v>
      </c>
      <c r="B11" s="198">
        <v>192.8</v>
      </c>
      <c r="C11" s="198">
        <v>52.06</v>
      </c>
    </row>
    <row r="12" spans="1:3" ht="18.75" x14ac:dyDescent="0.25">
      <c r="A12" s="198" t="s">
        <v>405</v>
      </c>
      <c r="B12" s="198">
        <v>289.2</v>
      </c>
      <c r="C12" s="198">
        <v>52.06</v>
      </c>
    </row>
    <row r="13" spans="1:3" ht="18.75" x14ac:dyDescent="0.25">
      <c r="A13" s="198" t="s">
        <v>406</v>
      </c>
      <c r="B13" s="198">
        <v>289.2</v>
      </c>
      <c r="C13" s="198">
        <v>52.06</v>
      </c>
    </row>
    <row r="14" spans="1:3" ht="18.75" x14ac:dyDescent="0.25">
      <c r="A14" s="198" t="s">
        <v>407</v>
      </c>
      <c r="B14" s="198">
        <v>289.2</v>
      </c>
      <c r="C14" s="198">
        <v>52.06</v>
      </c>
    </row>
    <row r="15" spans="1:3" ht="18.75" x14ac:dyDescent="0.25">
      <c r="A15" s="198" t="s">
        <v>408</v>
      </c>
      <c r="B15" s="198">
        <v>289.2</v>
      </c>
      <c r="C15" s="198">
        <v>52.06</v>
      </c>
    </row>
    <row r="16" spans="1:3" ht="18.75" x14ac:dyDescent="0.25">
      <c r="A16" s="198" t="s">
        <v>409</v>
      </c>
      <c r="B16" s="198">
        <v>337.4</v>
      </c>
      <c r="C16" s="198">
        <v>52.06</v>
      </c>
    </row>
    <row r="17" spans="1:3" ht="18.75" x14ac:dyDescent="0.25">
      <c r="A17" s="198" t="s">
        <v>410</v>
      </c>
      <c r="B17" s="198">
        <v>337.4</v>
      </c>
      <c r="C17" s="198">
        <v>52.06</v>
      </c>
    </row>
    <row r="18" spans="1:3" ht="18.75" x14ac:dyDescent="0.25">
      <c r="A18" s="198" t="s">
        <v>411</v>
      </c>
      <c r="B18" s="198">
        <v>366.32</v>
      </c>
      <c r="C18" s="198">
        <v>57.84</v>
      </c>
    </row>
    <row r="19" spans="1:3" ht="18.75" x14ac:dyDescent="0.25">
      <c r="A19" s="198" t="s">
        <v>412</v>
      </c>
      <c r="B19" s="198">
        <v>366.32</v>
      </c>
      <c r="C19" s="198">
        <v>57.84</v>
      </c>
    </row>
    <row r="20" spans="1:3" ht="18.75" x14ac:dyDescent="0.25">
      <c r="A20" s="198" t="s">
        <v>413</v>
      </c>
      <c r="B20" s="198">
        <v>366.32</v>
      </c>
      <c r="C20" s="198">
        <v>57.84</v>
      </c>
    </row>
    <row r="21" spans="1:3" ht="18.75" x14ac:dyDescent="0.25">
      <c r="A21" s="198" t="s">
        <v>386</v>
      </c>
      <c r="B21" s="198">
        <v>366.32</v>
      </c>
      <c r="C21" s="198">
        <v>57.84</v>
      </c>
    </row>
    <row r="22" spans="1:3" ht="18.75" x14ac:dyDescent="0.25">
      <c r="A22" s="198" t="s">
        <v>387</v>
      </c>
      <c r="B22" s="198">
        <v>366.32</v>
      </c>
      <c r="C22" s="198">
        <v>57.84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mag1</vt:lpstr>
      <vt:lpstr>NSample</vt:lpstr>
      <vt:lpstr>Sheet4</vt:lpstr>
      <vt:lpstr>Sheet1</vt:lpstr>
      <vt:lpstr>Praveen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 LDC  System Operation Department</dc:creator>
  <cp:lastModifiedBy>Control Room LDC  System Operation Department</cp:lastModifiedBy>
  <cp:lastPrinted>2024-01-05T03:35:44Z</cp:lastPrinted>
  <dcterms:created xsi:type="dcterms:W3CDTF">2023-12-16T21:08:49Z</dcterms:created>
  <dcterms:modified xsi:type="dcterms:W3CDTF">2024-12-21T02:34:35Z</dcterms:modified>
</cp:coreProperties>
</file>